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drawings/drawing4.xml" ContentType="application/vnd.openxmlformats-officedocument.drawing+xml"/>
  <Override PartName="/xl/ctrlProps/ctrlProp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2018009\Desktop\자동차금융1팀_김영태(대리)\김영태업무\견적시트\메리츠자료\리스_견적시트\25년_리스견적시트\25년_10월_리스견적시트\"/>
    </mc:Choice>
  </mc:AlternateContent>
  <bookViews>
    <workbookView xWindow="-105" yWindow="-105" windowWidth="23250" windowHeight="12570" tabRatio="828" firstSheet="1" activeTab="2"/>
  </bookViews>
  <sheets>
    <sheet name="에이전트수수료입력" sheetId="2" state="hidden" r:id="rId1"/>
    <sheet name="펀딩신청서" sheetId="17" r:id="rId2"/>
    <sheet name="운용리스" sheetId="4" r:id="rId3"/>
    <sheet name="금융리스" sheetId="5" r:id="rId4"/>
    <sheet name="할부오토론" sheetId="6" r:id="rId5"/>
    <sheet name="유입경로확인서(작성필수)" sheetId="16" r:id="rId6"/>
    <sheet name="견적관리자용" sheetId="1" state="hidden" r:id="rId7"/>
    <sheet name="차량DB" sheetId="3" state="hidden" r:id="rId8"/>
    <sheet name="잔가map" sheetId="12" state="hidden" r:id="rId9"/>
    <sheet name="부속서류" sheetId="10" state="hidden" r:id="rId10"/>
    <sheet name="CM등록서류" sheetId="11" state="hidden" r:id="rId11"/>
    <sheet name="공채확인서" sheetId="7" state="hidden" r:id="rId12"/>
    <sheet name="위임장_연대보증인미입보시" sheetId="15" state="hidden" r:id="rId13"/>
    <sheet name="본사사업자등록증(세금계산서,보험)" sheetId="8" r:id="rId14"/>
    <sheet name="지점사업자등록증(차량등록용)" sheetId="9" r:id="rId15"/>
  </sheets>
  <externalReferences>
    <externalReference r:id="rId16"/>
    <externalReference r:id="rId17"/>
    <externalReference r:id="rId18"/>
  </externalReferences>
  <definedNames>
    <definedName name="_xlnm._FilterDatabase" localSheetId="7" hidden="1">차량DB!$A$5:$AL$5</definedName>
    <definedName name="ASTON_MARTIN">차량DB!$F$626:$F$631</definedName>
    <definedName name="Audi">차량DB!$F$6:$F$89</definedName>
    <definedName name="Audi_잔가보장">#REF!</definedName>
    <definedName name="Bentley">차량DB!$F$220:$F$224</definedName>
    <definedName name="Benz">차량DB!$F$391:$F$477</definedName>
    <definedName name="BMW">차량DB!$F$90:$F$219</definedName>
    <definedName name="Brand">견적관리자용!$E$9:$E$33</definedName>
    <definedName name="Cadillac">차량DB!$F$225:$F$237</definedName>
    <definedName name="Chevrolet">차량DB!$F$455:$F$457</definedName>
    <definedName name="Citroen">차량DB!$F$385:$F$389</definedName>
    <definedName name="Ferrari">차량DB!$F$238:$F$240</definedName>
    <definedName name="Ford">차량DB!$F$243:$F$252</definedName>
    <definedName name="Honda">차량DB!$F$253:$F$260</definedName>
    <definedName name="Jaguar_Landrover">차량DB!$F$261:$F$307</definedName>
    <definedName name="Jeep">차량DB!$F$308:$F$328</definedName>
    <definedName name="Lamborghini">차량DB!$F$330:$F$337</definedName>
    <definedName name="Lexus">차량DB!$F$338:$F$361</definedName>
    <definedName name="Lincoln">차량DB!$F$363:$F$370</definedName>
    <definedName name="Maserati">차량DB!$F$371:$F$390</definedName>
    <definedName name="McLaren">차량DB!$F$632:$F$634</definedName>
    <definedName name="MINI">차량DB!$F$478:$F$506</definedName>
    <definedName name="Peugeot">차량DB!$F$509:$F$525</definedName>
    <definedName name="Porsche">차량DB!$F$529:$F$578</definedName>
    <definedName name="_xlnm.Print_Area" localSheetId="6">견적관리자용!$E$7:$J$28</definedName>
    <definedName name="_xlnm.Print_Area" localSheetId="11">공채확인서!$B$1:$G$28</definedName>
    <definedName name="_xlnm.Print_Area" localSheetId="3">금융리스!$B$2:$AR$39</definedName>
    <definedName name="_xlnm.Print_Area" localSheetId="13">'본사사업자등록증(세금계산서,보험)'!$A$1:$J$44</definedName>
    <definedName name="_xlnm.Print_Area" localSheetId="2">운용리스!$C$3:$BZ$37</definedName>
    <definedName name="_xlnm.Print_Area" localSheetId="12">위임장_연대보증인미입보시!$A$1:$I$40</definedName>
    <definedName name="_xlnm.Print_Area" localSheetId="5">'유입경로확인서(작성필수)'!$A$1:$J$49</definedName>
    <definedName name="_xlnm.Print_Area" localSheetId="14">'지점사업자등록증(차량등록용)'!$A$1:$J$43</definedName>
    <definedName name="_xlnm.Print_Area" localSheetId="7">차량DB!$E$3:$I$640</definedName>
    <definedName name="_xlnm.Print_Area" localSheetId="1">펀딩신청서!$A$1:$K$21</definedName>
    <definedName name="_xlnm.Print_Area" localSheetId="4">할부오토론!$C$2:$AR$38</definedName>
    <definedName name="Rolls_Royce">차량DB!$F$655</definedName>
    <definedName name="Tesla">차량DB!$F$579:$F$585</definedName>
    <definedName name="Toyota">차량DB!$F$588:$F$603</definedName>
    <definedName name="Volkswagen">차량DB!$F$604:$F$625</definedName>
    <definedName name="Volvo">차량DB!$F$635:$F$654</definedName>
    <definedName name="병행수입">차량DB!#REF!</definedName>
    <definedName name="부가서비스">견적관리자용!$L$25:$L$27</definedName>
    <definedName name="약정주행거리">견적관리자용!$O$43:$O$45</definedName>
    <definedName name="제휴사">견적관리자용!$F$54:$F$55</definedName>
    <definedName name="제휴사_Audi">견적관리자용!$F$58:$F$61</definedName>
    <definedName name="제휴사_vw">견적관리자용!$F$62:$F$64</definedName>
    <definedName name="제휴사_잔가보장">견적관리자용!$F$54:$F$61</definedName>
    <definedName name="주행거리_보장">견적관리자용!$O$42:$O$45</definedName>
    <definedName name="차종구분">견적관리자용!$S$8:$S$17</definedName>
    <definedName name="차종구분10">[1]견적관리자용!$S$8:$S$17</definedName>
    <definedName name="차종구분2">[2]견적관리자용!$S$8:$S$17</definedName>
    <definedName name="차종구분3">[3]견적관리자용!$S$8:$S$17</definedName>
    <definedName name="프로모브랜드">잔가map!#REF!</definedName>
  </definedNames>
  <calcPr calcId="152511"/>
</workbook>
</file>

<file path=xl/calcChain.xml><?xml version="1.0" encoding="utf-8"?>
<calcChain xmlns="http://schemas.openxmlformats.org/spreadsheetml/2006/main">
  <c r="AD418" i="3" l="1"/>
  <c r="AC418" i="3"/>
  <c r="AB418" i="3"/>
  <c r="AA418" i="3"/>
  <c r="Z418" i="3"/>
  <c r="CP56" i="4" l="1"/>
  <c r="CP60" i="4" s="1"/>
  <c r="Z7" i="3"/>
  <c r="AA7" i="3"/>
  <c r="AB7" i="3"/>
  <c r="AC7" i="3"/>
  <c r="AD7" i="3"/>
  <c r="Z8" i="3"/>
  <c r="AA8" i="3"/>
  <c r="AB8" i="3"/>
  <c r="AC8" i="3"/>
  <c r="AD8" i="3"/>
  <c r="Z9" i="3"/>
  <c r="AA9" i="3"/>
  <c r="AB9" i="3"/>
  <c r="AC9" i="3"/>
  <c r="AD9" i="3"/>
  <c r="Z10" i="3"/>
  <c r="AA10" i="3"/>
  <c r="AB10" i="3"/>
  <c r="AC10" i="3"/>
  <c r="AD10" i="3"/>
  <c r="Z11" i="3"/>
  <c r="AA11" i="3"/>
  <c r="AB11" i="3"/>
  <c r="AC11" i="3"/>
  <c r="AD11" i="3"/>
  <c r="Z12" i="3"/>
  <c r="AA12" i="3"/>
  <c r="AB12" i="3"/>
  <c r="AC12" i="3"/>
  <c r="AD12" i="3"/>
  <c r="Z13" i="3"/>
  <c r="AA13" i="3"/>
  <c r="AB13" i="3"/>
  <c r="AC13" i="3"/>
  <c r="AD13" i="3"/>
  <c r="Z14" i="3"/>
  <c r="AA14" i="3"/>
  <c r="AB14" i="3"/>
  <c r="AC14" i="3"/>
  <c r="AD14" i="3"/>
  <c r="Z15" i="3"/>
  <c r="AA15" i="3"/>
  <c r="AB15" i="3"/>
  <c r="AC15" i="3"/>
  <c r="AD15" i="3"/>
  <c r="Z16" i="3"/>
  <c r="AA16" i="3"/>
  <c r="AB16" i="3"/>
  <c r="AC16" i="3"/>
  <c r="AD16" i="3"/>
  <c r="Z17" i="3"/>
  <c r="AA17" i="3"/>
  <c r="AB17" i="3"/>
  <c r="AC17" i="3"/>
  <c r="AD17" i="3"/>
  <c r="Z18" i="3"/>
  <c r="AA18" i="3"/>
  <c r="AB18" i="3"/>
  <c r="AC18" i="3"/>
  <c r="AD18" i="3"/>
  <c r="Z19" i="3"/>
  <c r="AA19" i="3"/>
  <c r="AB19" i="3"/>
  <c r="AC19" i="3"/>
  <c r="AD19" i="3"/>
  <c r="Z20" i="3"/>
  <c r="AA20" i="3"/>
  <c r="AB20" i="3"/>
  <c r="AC20" i="3"/>
  <c r="AD20" i="3"/>
  <c r="Z21" i="3"/>
  <c r="AA21" i="3"/>
  <c r="AB21" i="3"/>
  <c r="AC21" i="3"/>
  <c r="AD21" i="3"/>
  <c r="Z22" i="3"/>
  <c r="AA22" i="3"/>
  <c r="AB22" i="3"/>
  <c r="AC22" i="3"/>
  <c r="AD22" i="3"/>
  <c r="Z23" i="3"/>
  <c r="AA23" i="3"/>
  <c r="AB23" i="3"/>
  <c r="AC23" i="3"/>
  <c r="AD23" i="3"/>
  <c r="Z24" i="3"/>
  <c r="AA24" i="3"/>
  <c r="AB24" i="3"/>
  <c r="AC24" i="3"/>
  <c r="AD24" i="3"/>
  <c r="Z25" i="3"/>
  <c r="AA25" i="3"/>
  <c r="AB25" i="3"/>
  <c r="AC25" i="3"/>
  <c r="AD25" i="3"/>
  <c r="Z26" i="3"/>
  <c r="AA26" i="3"/>
  <c r="AB26" i="3"/>
  <c r="AC26" i="3"/>
  <c r="AD26" i="3"/>
  <c r="Z27" i="3"/>
  <c r="AA27" i="3"/>
  <c r="AB27" i="3"/>
  <c r="AC27" i="3"/>
  <c r="AD27" i="3"/>
  <c r="Z28" i="3"/>
  <c r="AA28" i="3"/>
  <c r="AB28" i="3"/>
  <c r="AC28" i="3"/>
  <c r="AD28" i="3"/>
  <c r="Z29" i="3"/>
  <c r="AA29" i="3"/>
  <c r="AB29" i="3"/>
  <c r="AC29" i="3"/>
  <c r="AD29" i="3"/>
  <c r="Z30" i="3"/>
  <c r="AA30" i="3"/>
  <c r="AB30" i="3"/>
  <c r="AC30" i="3"/>
  <c r="AD30" i="3"/>
  <c r="Z31" i="3"/>
  <c r="AA31" i="3"/>
  <c r="AB31" i="3"/>
  <c r="AC31" i="3"/>
  <c r="AD31" i="3"/>
  <c r="Z32" i="3"/>
  <c r="AA32" i="3"/>
  <c r="AB32" i="3"/>
  <c r="AC32" i="3"/>
  <c r="AD32" i="3"/>
  <c r="Z33" i="3"/>
  <c r="AA33" i="3"/>
  <c r="AB33" i="3"/>
  <c r="AC33" i="3"/>
  <c r="AD33" i="3"/>
  <c r="Z34" i="3"/>
  <c r="AA34" i="3"/>
  <c r="AB34" i="3"/>
  <c r="AC34" i="3"/>
  <c r="AD34" i="3"/>
  <c r="Z35" i="3"/>
  <c r="AA35" i="3"/>
  <c r="AB35" i="3"/>
  <c r="AC35" i="3"/>
  <c r="AD35" i="3"/>
  <c r="Z36" i="3"/>
  <c r="AA36" i="3"/>
  <c r="AB36" i="3"/>
  <c r="AC36" i="3"/>
  <c r="AD36" i="3"/>
  <c r="Z37" i="3"/>
  <c r="AA37" i="3"/>
  <c r="AB37" i="3"/>
  <c r="AC37" i="3"/>
  <c r="AD37" i="3"/>
  <c r="Z38" i="3"/>
  <c r="AA38" i="3"/>
  <c r="AB38" i="3"/>
  <c r="AC38" i="3"/>
  <c r="AD38" i="3"/>
  <c r="Z39" i="3"/>
  <c r="AA39" i="3"/>
  <c r="AB39" i="3"/>
  <c r="AC39" i="3"/>
  <c r="AD39" i="3"/>
  <c r="Z40" i="3"/>
  <c r="AA40" i="3"/>
  <c r="AB40" i="3"/>
  <c r="AC40" i="3"/>
  <c r="AD40" i="3"/>
  <c r="Z41" i="3"/>
  <c r="AA41" i="3"/>
  <c r="AB41" i="3"/>
  <c r="AC41" i="3"/>
  <c r="AD41" i="3"/>
  <c r="Z42" i="3"/>
  <c r="AA42" i="3"/>
  <c r="AB42" i="3"/>
  <c r="AC42" i="3"/>
  <c r="AD42" i="3"/>
  <c r="Z43" i="3"/>
  <c r="AA43" i="3"/>
  <c r="AB43" i="3"/>
  <c r="AC43" i="3"/>
  <c r="AD43" i="3"/>
  <c r="Z44" i="3"/>
  <c r="AA44" i="3"/>
  <c r="AB44" i="3"/>
  <c r="AC44" i="3"/>
  <c r="AD44" i="3"/>
  <c r="Z45" i="3"/>
  <c r="AA45" i="3"/>
  <c r="AB45" i="3"/>
  <c r="AC45" i="3"/>
  <c r="AD45" i="3"/>
  <c r="Z46" i="3"/>
  <c r="AA46" i="3"/>
  <c r="AB46" i="3"/>
  <c r="AC46" i="3"/>
  <c r="AD46" i="3"/>
  <c r="Z47" i="3"/>
  <c r="AA47" i="3"/>
  <c r="AB47" i="3"/>
  <c r="AC47" i="3"/>
  <c r="AD47" i="3"/>
  <c r="Z48" i="3"/>
  <c r="AA48" i="3"/>
  <c r="AB48" i="3"/>
  <c r="AC48" i="3"/>
  <c r="AD48" i="3"/>
  <c r="Z49" i="3"/>
  <c r="AA49" i="3"/>
  <c r="AB49" i="3"/>
  <c r="AC49" i="3"/>
  <c r="AD49" i="3"/>
  <c r="Z50" i="3"/>
  <c r="AA50" i="3"/>
  <c r="AB50" i="3"/>
  <c r="AC50" i="3"/>
  <c r="AD50" i="3"/>
  <c r="Z51" i="3"/>
  <c r="AA51" i="3"/>
  <c r="AB51" i="3"/>
  <c r="AC51" i="3"/>
  <c r="AD51" i="3"/>
  <c r="Z52" i="3"/>
  <c r="AA52" i="3"/>
  <c r="AB52" i="3"/>
  <c r="AC52" i="3"/>
  <c r="AD52" i="3"/>
  <c r="Z53" i="3"/>
  <c r="AA53" i="3"/>
  <c r="AB53" i="3"/>
  <c r="AC53" i="3"/>
  <c r="AD53" i="3"/>
  <c r="Z54" i="3"/>
  <c r="AA54" i="3"/>
  <c r="AB54" i="3"/>
  <c r="AC54" i="3"/>
  <c r="AD54" i="3"/>
  <c r="Z55" i="3"/>
  <c r="AA55" i="3"/>
  <c r="AB55" i="3"/>
  <c r="AC55" i="3"/>
  <c r="AD55" i="3"/>
  <c r="Z56" i="3"/>
  <c r="AA56" i="3"/>
  <c r="AB56" i="3"/>
  <c r="AC56" i="3"/>
  <c r="AD56" i="3"/>
  <c r="Z57" i="3"/>
  <c r="AA57" i="3"/>
  <c r="AB57" i="3"/>
  <c r="AC57" i="3"/>
  <c r="AD57" i="3"/>
  <c r="Z58" i="3"/>
  <c r="AA58" i="3"/>
  <c r="AB58" i="3"/>
  <c r="AC58" i="3"/>
  <c r="AD58" i="3"/>
  <c r="Z59" i="3"/>
  <c r="AA59" i="3"/>
  <c r="AB59" i="3"/>
  <c r="AC59" i="3"/>
  <c r="AD59" i="3"/>
  <c r="Z60" i="3"/>
  <c r="AA60" i="3"/>
  <c r="AB60" i="3"/>
  <c r="AC60" i="3"/>
  <c r="AD60" i="3"/>
  <c r="Z61" i="3"/>
  <c r="AA61" i="3"/>
  <c r="AB61" i="3"/>
  <c r="AC61" i="3"/>
  <c r="AD61" i="3"/>
  <c r="Z62" i="3"/>
  <c r="AA62" i="3"/>
  <c r="AB62" i="3"/>
  <c r="AC62" i="3"/>
  <c r="AD62" i="3"/>
  <c r="Z63" i="3"/>
  <c r="AA63" i="3"/>
  <c r="AB63" i="3"/>
  <c r="AC63" i="3"/>
  <c r="AD63" i="3"/>
  <c r="Z64" i="3"/>
  <c r="AA64" i="3"/>
  <c r="AB64" i="3"/>
  <c r="AC64" i="3"/>
  <c r="AD64" i="3"/>
  <c r="Z65" i="3"/>
  <c r="AA65" i="3"/>
  <c r="AB65" i="3"/>
  <c r="AC65" i="3"/>
  <c r="AD65" i="3"/>
  <c r="Z66" i="3"/>
  <c r="AA66" i="3"/>
  <c r="AB66" i="3"/>
  <c r="AC66" i="3"/>
  <c r="AD66" i="3"/>
  <c r="Z67" i="3"/>
  <c r="AA67" i="3"/>
  <c r="AB67" i="3"/>
  <c r="AC67" i="3"/>
  <c r="AD67" i="3"/>
  <c r="Z68" i="3"/>
  <c r="AA68" i="3"/>
  <c r="AB68" i="3"/>
  <c r="AC68" i="3"/>
  <c r="AD68" i="3"/>
  <c r="Z69" i="3"/>
  <c r="AA69" i="3"/>
  <c r="AB69" i="3"/>
  <c r="AC69" i="3"/>
  <c r="AD69" i="3"/>
  <c r="Z70" i="3"/>
  <c r="AA70" i="3"/>
  <c r="AB70" i="3"/>
  <c r="AC70" i="3"/>
  <c r="AD70" i="3"/>
  <c r="Z71" i="3"/>
  <c r="AA71" i="3"/>
  <c r="AB71" i="3"/>
  <c r="AC71" i="3"/>
  <c r="AD71" i="3"/>
  <c r="Z72" i="3"/>
  <c r="AA72" i="3"/>
  <c r="AB72" i="3"/>
  <c r="AC72" i="3"/>
  <c r="AD72" i="3"/>
  <c r="Z73" i="3"/>
  <c r="AA73" i="3"/>
  <c r="AB73" i="3"/>
  <c r="AC73" i="3"/>
  <c r="AD73" i="3"/>
  <c r="Z74" i="3"/>
  <c r="AA74" i="3"/>
  <c r="AB74" i="3"/>
  <c r="AC74" i="3"/>
  <c r="AD74" i="3"/>
  <c r="Z75" i="3"/>
  <c r="AA75" i="3"/>
  <c r="AB75" i="3"/>
  <c r="AC75" i="3"/>
  <c r="AD75" i="3"/>
  <c r="Z76" i="3"/>
  <c r="AA76" i="3"/>
  <c r="AB76" i="3"/>
  <c r="AC76" i="3"/>
  <c r="AD76" i="3"/>
  <c r="Z77" i="3"/>
  <c r="AA77" i="3"/>
  <c r="AB77" i="3"/>
  <c r="AC77" i="3"/>
  <c r="AD77" i="3"/>
  <c r="Z78" i="3"/>
  <c r="AA78" i="3"/>
  <c r="AB78" i="3"/>
  <c r="AC78" i="3"/>
  <c r="AD78" i="3"/>
  <c r="Z79" i="3"/>
  <c r="AA79" i="3"/>
  <c r="AB79" i="3"/>
  <c r="AC79" i="3"/>
  <c r="AD79" i="3"/>
  <c r="Z80" i="3"/>
  <c r="AA80" i="3"/>
  <c r="AB80" i="3"/>
  <c r="AC80" i="3"/>
  <c r="AD80" i="3"/>
  <c r="Z81" i="3"/>
  <c r="AA81" i="3"/>
  <c r="AB81" i="3"/>
  <c r="AC81" i="3"/>
  <c r="AD81" i="3"/>
  <c r="Z82" i="3"/>
  <c r="AA82" i="3"/>
  <c r="AB82" i="3"/>
  <c r="AC82" i="3"/>
  <c r="AD82" i="3"/>
  <c r="Z83" i="3"/>
  <c r="AA83" i="3"/>
  <c r="AB83" i="3"/>
  <c r="AC83" i="3"/>
  <c r="AD83" i="3"/>
  <c r="Z84" i="3"/>
  <c r="AA84" i="3"/>
  <c r="AB84" i="3"/>
  <c r="AC84" i="3"/>
  <c r="AD84" i="3"/>
  <c r="Z85" i="3"/>
  <c r="AA85" i="3"/>
  <c r="AB85" i="3"/>
  <c r="AC85" i="3"/>
  <c r="AD85" i="3"/>
  <c r="Z86" i="3"/>
  <c r="AA86" i="3"/>
  <c r="AB86" i="3"/>
  <c r="AC86" i="3"/>
  <c r="AD86" i="3"/>
  <c r="Z87" i="3"/>
  <c r="AA87" i="3"/>
  <c r="AB87" i="3"/>
  <c r="AC87" i="3"/>
  <c r="AD87" i="3"/>
  <c r="Z88" i="3"/>
  <c r="AA88" i="3"/>
  <c r="AB88" i="3"/>
  <c r="AC88" i="3"/>
  <c r="AD88" i="3"/>
  <c r="Z89" i="3"/>
  <c r="AA89" i="3"/>
  <c r="AB89" i="3"/>
  <c r="AC89" i="3"/>
  <c r="AD89" i="3"/>
  <c r="Z90" i="3"/>
  <c r="AA90" i="3"/>
  <c r="AB90" i="3"/>
  <c r="AC90" i="3"/>
  <c r="AD90" i="3"/>
  <c r="Z91" i="3"/>
  <c r="AA91" i="3"/>
  <c r="AB91" i="3"/>
  <c r="AC91" i="3"/>
  <c r="AD91" i="3"/>
  <c r="Z92" i="3"/>
  <c r="AA92" i="3"/>
  <c r="AB92" i="3"/>
  <c r="AC92" i="3"/>
  <c r="AD92" i="3"/>
  <c r="Z93" i="3"/>
  <c r="AA93" i="3"/>
  <c r="AB93" i="3"/>
  <c r="AC93" i="3"/>
  <c r="AD93" i="3"/>
  <c r="Z94" i="3"/>
  <c r="AA94" i="3"/>
  <c r="AB94" i="3"/>
  <c r="AC94" i="3"/>
  <c r="AD94" i="3"/>
  <c r="Z95" i="3"/>
  <c r="AA95" i="3"/>
  <c r="AB95" i="3"/>
  <c r="AC95" i="3"/>
  <c r="AD95" i="3"/>
  <c r="Z96" i="3"/>
  <c r="AA96" i="3"/>
  <c r="AB96" i="3"/>
  <c r="AC96" i="3"/>
  <c r="AD96" i="3"/>
  <c r="Z97" i="3"/>
  <c r="AA97" i="3"/>
  <c r="AB97" i="3"/>
  <c r="AC97" i="3"/>
  <c r="AD97" i="3"/>
  <c r="Z98" i="3"/>
  <c r="AA98" i="3"/>
  <c r="AB98" i="3"/>
  <c r="AC98" i="3"/>
  <c r="AD98" i="3"/>
  <c r="Z99" i="3"/>
  <c r="AA99" i="3"/>
  <c r="AB99" i="3"/>
  <c r="AC99" i="3"/>
  <c r="AD99" i="3"/>
  <c r="Z100" i="3"/>
  <c r="AA100" i="3"/>
  <c r="AB100" i="3"/>
  <c r="AC100" i="3"/>
  <c r="AD100" i="3"/>
  <c r="Z101" i="3"/>
  <c r="AA101" i="3"/>
  <c r="AB101" i="3"/>
  <c r="AC101" i="3"/>
  <c r="AD101" i="3"/>
  <c r="Z102" i="3"/>
  <c r="AA102" i="3"/>
  <c r="AB102" i="3"/>
  <c r="AC102" i="3"/>
  <c r="AD102" i="3"/>
  <c r="Z103" i="3"/>
  <c r="AA103" i="3"/>
  <c r="AB103" i="3"/>
  <c r="AC103" i="3"/>
  <c r="AD103" i="3"/>
  <c r="Z104" i="3"/>
  <c r="AA104" i="3"/>
  <c r="AB104" i="3"/>
  <c r="AC104" i="3"/>
  <c r="AD104" i="3"/>
  <c r="Z105" i="3"/>
  <c r="AA105" i="3"/>
  <c r="AB105" i="3"/>
  <c r="AC105" i="3"/>
  <c r="AD105" i="3"/>
  <c r="Z106" i="3"/>
  <c r="AA106" i="3"/>
  <c r="AB106" i="3"/>
  <c r="AC106" i="3"/>
  <c r="AD106" i="3"/>
  <c r="Z107" i="3"/>
  <c r="AA107" i="3"/>
  <c r="AB107" i="3"/>
  <c r="AC107" i="3"/>
  <c r="AD107" i="3"/>
  <c r="Z108" i="3"/>
  <c r="AA108" i="3"/>
  <c r="AB108" i="3"/>
  <c r="AC108" i="3"/>
  <c r="AD108" i="3"/>
  <c r="Z109" i="3"/>
  <c r="AA109" i="3"/>
  <c r="AB109" i="3"/>
  <c r="AC109" i="3"/>
  <c r="AD109" i="3"/>
  <c r="Z110" i="3"/>
  <c r="AA110" i="3"/>
  <c r="AB110" i="3"/>
  <c r="AC110" i="3"/>
  <c r="AD110" i="3"/>
  <c r="Z111" i="3"/>
  <c r="AA111" i="3"/>
  <c r="AB111" i="3"/>
  <c r="AC111" i="3"/>
  <c r="AD111" i="3"/>
  <c r="Z112" i="3"/>
  <c r="AA112" i="3"/>
  <c r="AB112" i="3"/>
  <c r="AC112" i="3"/>
  <c r="AD112" i="3"/>
  <c r="Z113" i="3"/>
  <c r="AA113" i="3"/>
  <c r="AB113" i="3"/>
  <c r="AC113" i="3"/>
  <c r="AD113" i="3"/>
  <c r="Z114" i="3"/>
  <c r="AA114" i="3"/>
  <c r="AB114" i="3"/>
  <c r="AC114" i="3"/>
  <c r="AD114" i="3"/>
  <c r="Z115" i="3"/>
  <c r="AA115" i="3"/>
  <c r="AB115" i="3"/>
  <c r="AC115" i="3"/>
  <c r="AD115" i="3"/>
  <c r="Z116" i="3"/>
  <c r="AA116" i="3"/>
  <c r="AB116" i="3"/>
  <c r="AC116" i="3"/>
  <c r="AD116" i="3"/>
  <c r="Z117" i="3"/>
  <c r="AA117" i="3"/>
  <c r="AB117" i="3"/>
  <c r="AC117" i="3"/>
  <c r="AD117" i="3"/>
  <c r="Z118" i="3"/>
  <c r="AA118" i="3"/>
  <c r="AB118" i="3"/>
  <c r="AC118" i="3"/>
  <c r="AD118" i="3"/>
  <c r="Z119" i="3"/>
  <c r="AA119" i="3"/>
  <c r="AB119" i="3"/>
  <c r="AC119" i="3"/>
  <c r="AD119" i="3"/>
  <c r="Z120" i="3"/>
  <c r="AA120" i="3"/>
  <c r="AB120" i="3"/>
  <c r="AC120" i="3"/>
  <c r="AD120" i="3"/>
  <c r="Z121" i="3"/>
  <c r="AA121" i="3"/>
  <c r="AB121" i="3"/>
  <c r="AC121" i="3"/>
  <c r="AD121" i="3"/>
  <c r="Z122" i="3"/>
  <c r="AA122" i="3"/>
  <c r="AB122" i="3"/>
  <c r="AC122" i="3"/>
  <c r="AD122" i="3"/>
  <c r="Z123" i="3"/>
  <c r="AA123" i="3"/>
  <c r="AB123" i="3"/>
  <c r="AC123" i="3"/>
  <c r="AD123" i="3"/>
  <c r="Z124" i="3"/>
  <c r="AA124" i="3"/>
  <c r="AB124" i="3"/>
  <c r="AC124" i="3"/>
  <c r="AD124" i="3"/>
  <c r="Z125" i="3"/>
  <c r="AA125" i="3"/>
  <c r="AB125" i="3"/>
  <c r="AC125" i="3"/>
  <c r="AD125" i="3"/>
  <c r="Z126" i="3"/>
  <c r="AA126" i="3"/>
  <c r="AB126" i="3"/>
  <c r="AC126" i="3"/>
  <c r="AD126" i="3"/>
  <c r="Z127" i="3"/>
  <c r="AA127" i="3"/>
  <c r="AB127" i="3"/>
  <c r="AC127" i="3"/>
  <c r="AD127" i="3"/>
  <c r="Z128" i="3"/>
  <c r="AA128" i="3"/>
  <c r="AB128" i="3"/>
  <c r="AC128" i="3"/>
  <c r="AD128" i="3"/>
  <c r="Z129" i="3"/>
  <c r="AA129" i="3"/>
  <c r="AB129" i="3"/>
  <c r="AC129" i="3"/>
  <c r="AD129" i="3"/>
  <c r="Z130" i="3"/>
  <c r="AA130" i="3"/>
  <c r="AB130" i="3"/>
  <c r="AC130" i="3"/>
  <c r="AD130" i="3"/>
  <c r="Z131" i="3"/>
  <c r="AA131" i="3"/>
  <c r="AB131" i="3"/>
  <c r="AC131" i="3"/>
  <c r="AD131" i="3"/>
  <c r="Z132" i="3"/>
  <c r="AA132" i="3"/>
  <c r="AB132" i="3"/>
  <c r="AC132" i="3"/>
  <c r="AD132" i="3"/>
  <c r="Z133" i="3"/>
  <c r="AA133" i="3"/>
  <c r="AB133" i="3"/>
  <c r="AC133" i="3"/>
  <c r="AD133" i="3"/>
  <c r="Z134" i="3"/>
  <c r="AA134" i="3"/>
  <c r="AB134" i="3"/>
  <c r="AC134" i="3"/>
  <c r="AD134" i="3"/>
  <c r="Z135" i="3"/>
  <c r="AA135" i="3"/>
  <c r="AB135" i="3"/>
  <c r="AC135" i="3"/>
  <c r="AD135" i="3"/>
  <c r="Z136" i="3"/>
  <c r="AA136" i="3"/>
  <c r="AB136" i="3"/>
  <c r="AC136" i="3"/>
  <c r="AD136" i="3"/>
  <c r="Z137" i="3"/>
  <c r="AA137" i="3"/>
  <c r="AB137" i="3"/>
  <c r="AC137" i="3"/>
  <c r="AD137" i="3"/>
  <c r="Z138" i="3"/>
  <c r="AA138" i="3"/>
  <c r="AB138" i="3"/>
  <c r="AC138" i="3"/>
  <c r="AD138" i="3"/>
  <c r="Z139" i="3"/>
  <c r="AA139" i="3"/>
  <c r="AB139" i="3"/>
  <c r="AC139" i="3"/>
  <c r="AD139" i="3"/>
  <c r="Z140" i="3"/>
  <c r="AA140" i="3"/>
  <c r="AB140" i="3"/>
  <c r="AC140" i="3"/>
  <c r="AD140" i="3"/>
  <c r="Z141" i="3"/>
  <c r="AA141" i="3"/>
  <c r="AB141" i="3"/>
  <c r="AC141" i="3"/>
  <c r="AD141" i="3"/>
  <c r="Z142" i="3"/>
  <c r="AA142" i="3"/>
  <c r="AB142" i="3"/>
  <c r="AC142" i="3"/>
  <c r="AD142" i="3"/>
  <c r="Z143" i="3"/>
  <c r="AA143" i="3"/>
  <c r="AB143" i="3"/>
  <c r="AC143" i="3"/>
  <c r="AD143" i="3"/>
  <c r="Z144" i="3"/>
  <c r="AA144" i="3"/>
  <c r="AB144" i="3"/>
  <c r="AC144" i="3"/>
  <c r="AD144" i="3"/>
  <c r="Z145" i="3"/>
  <c r="AA145" i="3"/>
  <c r="AB145" i="3"/>
  <c r="AC145" i="3"/>
  <c r="AD145" i="3"/>
  <c r="Z146" i="3"/>
  <c r="AA146" i="3"/>
  <c r="AB146" i="3"/>
  <c r="AC146" i="3"/>
  <c r="AD146" i="3"/>
  <c r="Z147" i="3"/>
  <c r="AA147" i="3"/>
  <c r="AB147" i="3"/>
  <c r="AC147" i="3"/>
  <c r="AD147" i="3"/>
  <c r="Z148" i="3"/>
  <c r="AA148" i="3"/>
  <c r="AB148" i="3"/>
  <c r="AC148" i="3"/>
  <c r="AD148" i="3"/>
  <c r="Z149" i="3"/>
  <c r="AA149" i="3"/>
  <c r="AB149" i="3"/>
  <c r="AC149" i="3"/>
  <c r="AD149" i="3"/>
  <c r="Z150" i="3"/>
  <c r="AA150" i="3"/>
  <c r="AB150" i="3"/>
  <c r="AC150" i="3"/>
  <c r="AD150" i="3"/>
  <c r="Z151" i="3"/>
  <c r="AA151" i="3"/>
  <c r="AB151" i="3"/>
  <c r="AC151" i="3"/>
  <c r="AD151" i="3"/>
  <c r="Z152" i="3"/>
  <c r="AA152" i="3"/>
  <c r="AB152" i="3"/>
  <c r="AC152" i="3"/>
  <c r="AD152" i="3"/>
  <c r="Z153" i="3"/>
  <c r="AA153" i="3"/>
  <c r="AB153" i="3"/>
  <c r="AC153" i="3"/>
  <c r="AD153" i="3"/>
  <c r="Z154" i="3"/>
  <c r="AA154" i="3"/>
  <c r="AB154" i="3"/>
  <c r="AC154" i="3"/>
  <c r="AD154" i="3"/>
  <c r="Z155" i="3"/>
  <c r="AA155" i="3"/>
  <c r="AB155" i="3"/>
  <c r="AC155" i="3"/>
  <c r="AD155" i="3"/>
  <c r="Z156" i="3"/>
  <c r="AA156" i="3"/>
  <c r="AB156" i="3"/>
  <c r="AC156" i="3"/>
  <c r="AD156" i="3"/>
  <c r="Z157" i="3"/>
  <c r="AA157" i="3"/>
  <c r="AB157" i="3"/>
  <c r="AC157" i="3"/>
  <c r="AD157" i="3"/>
  <c r="Z158" i="3"/>
  <c r="AA158" i="3"/>
  <c r="AB158" i="3"/>
  <c r="AC158" i="3"/>
  <c r="AD158" i="3"/>
  <c r="Z159" i="3"/>
  <c r="AA159" i="3"/>
  <c r="AB159" i="3"/>
  <c r="AC159" i="3"/>
  <c r="AD159" i="3"/>
  <c r="Z160" i="3"/>
  <c r="AA160" i="3"/>
  <c r="AB160" i="3"/>
  <c r="AC160" i="3"/>
  <c r="AD160" i="3"/>
  <c r="Z161" i="3"/>
  <c r="AA161" i="3"/>
  <c r="AB161" i="3"/>
  <c r="AC161" i="3"/>
  <c r="AD161" i="3"/>
  <c r="Z162" i="3"/>
  <c r="AA162" i="3"/>
  <c r="AB162" i="3"/>
  <c r="AC162" i="3"/>
  <c r="AD162" i="3"/>
  <c r="Z163" i="3"/>
  <c r="AA163" i="3"/>
  <c r="AB163" i="3"/>
  <c r="AC163" i="3"/>
  <c r="AD163" i="3"/>
  <c r="Z164" i="3"/>
  <c r="AA164" i="3"/>
  <c r="AB164" i="3"/>
  <c r="AC164" i="3"/>
  <c r="AD164" i="3"/>
  <c r="Z165" i="3"/>
  <c r="AA165" i="3"/>
  <c r="AB165" i="3"/>
  <c r="AC165" i="3"/>
  <c r="AD165" i="3"/>
  <c r="Z166" i="3"/>
  <c r="AA166" i="3"/>
  <c r="AB166" i="3"/>
  <c r="AC166" i="3"/>
  <c r="AD166" i="3"/>
  <c r="Z167" i="3"/>
  <c r="AA167" i="3"/>
  <c r="AB167" i="3"/>
  <c r="AC167" i="3"/>
  <c r="AD167" i="3"/>
  <c r="Z168" i="3"/>
  <c r="AA168" i="3"/>
  <c r="AB168" i="3"/>
  <c r="AC168" i="3"/>
  <c r="AD168" i="3"/>
  <c r="Z169" i="3"/>
  <c r="AA169" i="3"/>
  <c r="AB169" i="3"/>
  <c r="AC169" i="3"/>
  <c r="AD169" i="3"/>
  <c r="Z170" i="3"/>
  <c r="AA170" i="3"/>
  <c r="AB170" i="3"/>
  <c r="AC170" i="3"/>
  <c r="AD170" i="3"/>
  <c r="Z171" i="3"/>
  <c r="AA171" i="3"/>
  <c r="AB171" i="3"/>
  <c r="AC171" i="3"/>
  <c r="AD171" i="3"/>
  <c r="Z172" i="3"/>
  <c r="AA172" i="3"/>
  <c r="AB172" i="3"/>
  <c r="AC172" i="3"/>
  <c r="AD172" i="3"/>
  <c r="Z173" i="3"/>
  <c r="AA173" i="3"/>
  <c r="AB173" i="3"/>
  <c r="AC173" i="3"/>
  <c r="AD173" i="3"/>
  <c r="Z174" i="3"/>
  <c r="AA174" i="3"/>
  <c r="AB174" i="3"/>
  <c r="AC174" i="3"/>
  <c r="AD174" i="3"/>
  <c r="Z175" i="3"/>
  <c r="AA175" i="3"/>
  <c r="AB175" i="3"/>
  <c r="AC175" i="3"/>
  <c r="AD175" i="3"/>
  <c r="Z176" i="3"/>
  <c r="AA176" i="3"/>
  <c r="AB176" i="3"/>
  <c r="AC176" i="3"/>
  <c r="AD176" i="3"/>
  <c r="Z177" i="3"/>
  <c r="AA177" i="3"/>
  <c r="AB177" i="3"/>
  <c r="AC177" i="3"/>
  <c r="AD177" i="3"/>
  <c r="Z178" i="3"/>
  <c r="AA178" i="3"/>
  <c r="AB178" i="3"/>
  <c r="AC178" i="3"/>
  <c r="AD178" i="3"/>
  <c r="Z179" i="3"/>
  <c r="AA179" i="3"/>
  <c r="AB179" i="3"/>
  <c r="AC179" i="3"/>
  <c r="AD179" i="3"/>
  <c r="Z180" i="3"/>
  <c r="AA180" i="3"/>
  <c r="AB180" i="3"/>
  <c r="AC180" i="3"/>
  <c r="AD180" i="3"/>
  <c r="Z181" i="3"/>
  <c r="AA181" i="3"/>
  <c r="AB181" i="3"/>
  <c r="AC181" i="3"/>
  <c r="AD181" i="3"/>
  <c r="Z182" i="3"/>
  <c r="AA182" i="3"/>
  <c r="AB182" i="3"/>
  <c r="AC182" i="3"/>
  <c r="AD182" i="3"/>
  <c r="Z183" i="3"/>
  <c r="AA183" i="3"/>
  <c r="AB183" i="3"/>
  <c r="AC183" i="3"/>
  <c r="AD183" i="3"/>
  <c r="Z184" i="3"/>
  <c r="AA184" i="3"/>
  <c r="AB184" i="3"/>
  <c r="AC184" i="3"/>
  <c r="AD184" i="3"/>
  <c r="Z185" i="3"/>
  <c r="AA185" i="3"/>
  <c r="AB185" i="3"/>
  <c r="AC185" i="3"/>
  <c r="AD185" i="3"/>
  <c r="Z186" i="3"/>
  <c r="AA186" i="3"/>
  <c r="AB186" i="3"/>
  <c r="AC186" i="3"/>
  <c r="AD186" i="3"/>
  <c r="Z187" i="3"/>
  <c r="AA187" i="3"/>
  <c r="AB187" i="3"/>
  <c r="AC187" i="3"/>
  <c r="AD187" i="3"/>
  <c r="Z188" i="3"/>
  <c r="AA188" i="3"/>
  <c r="AB188" i="3"/>
  <c r="AC188" i="3"/>
  <c r="AD188" i="3"/>
  <c r="Z189" i="3"/>
  <c r="AA189" i="3"/>
  <c r="AB189" i="3"/>
  <c r="AC189" i="3"/>
  <c r="AD189" i="3"/>
  <c r="Z190" i="3"/>
  <c r="AA190" i="3"/>
  <c r="AB190" i="3"/>
  <c r="AC190" i="3"/>
  <c r="AD190" i="3"/>
  <c r="Z191" i="3"/>
  <c r="AA191" i="3"/>
  <c r="AB191" i="3"/>
  <c r="AC191" i="3"/>
  <c r="AD191" i="3"/>
  <c r="Z192" i="3"/>
  <c r="AA192" i="3"/>
  <c r="AB192" i="3"/>
  <c r="AC192" i="3"/>
  <c r="AD192" i="3"/>
  <c r="Z193" i="3"/>
  <c r="AA193" i="3"/>
  <c r="AB193" i="3"/>
  <c r="AC193" i="3"/>
  <c r="AD193" i="3"/>
  <c r="Z194" i="3"/>
  <c r="AA194" i="3"/>
  <c r="AB194" i="3"/>
  <c r="AC194" i="3"/>
  <c r="AD194" i="3"/>
  <c r="Z195" i="3"/>
  <c r="AA195" i="3"/>
  <c r="AB195" i="3"/>
  <c r="AC195" i="3"/>
  <c r="AD195" i="3"/>
  <c r="Z196" i="3"/>
  <c r="AA196" i="3"/>
  <c r="AB196" i="3"/>
  <c r="AC196" i="3"/>
  <c r="AD196" i="3"/>
  <c r="Z197" i="3"/>
  <c r="AA197" i="3"/>
  <c r="AB197" i="3"/>
  <c r="AC197" i="3"/>
  <c r="AD197" i="3"/>
  <c r="Z198" i="3"/>
  <c r="AA198" i="3"/>
  <c r="AB198" i="3"/>
  <c r="AC198" i="3"/>
  <c r="AD198" i="3"/>
  <c r="Z199" i="3"/>
  <c r="AA199" i="3"/>
  <c r="AB199" i="3"/>
  <c r="AC199" i="3"/>
  <c r="AD199" i="3"/>
  <c r="Z200" i="3"/>
  <c r="AA200" i="3"/>
  <c r="AB200" i="3"/>
  <c r="AC200" i="3"/>
  <c r="AD200" i="3"/>
  <c r="Z201" i="3"/>
  <c r="AA201" i="3"/>
  <c r="AB201" i="3"/>
  <c r="AC201" i="3"/>
  <c r="AD201" i="3"/>
  <c r="Z202" i="3"/>
  <c r="AA202" i="3"/>
  <c r="AB202" i="3"/>
  <c r="AC202" i="3"/>
  <c r="AD202" i="3"/>
  <c r="Z203" i="3"/>
  <c r="AA203" i="3"/>
  <c r="AB203" i="3"/>
  <c r="AC203" i="3"/>
  <c r="AD203" i="3"/>
  <c r="Z204" i="3"/>
  <c r="AA204" i="3"/>
  <c r="AB204" i="3"/>
  <c r="AC204" i="3"/>
  <c r="AD204" i="3"/>
  <c r="Z205" i="3"/>
  <c r="AA205" i="3"/>
  <c r="AB205" i="3"/>
  <c r="AC205" i="3"/>
  <c r="AD205" i="3"/>
  <c r="Z206" i="3"/>
  <c r="AA206" i="3"/>
  <c r="AB206" i="3"/>
  <c r="AC206" i="3"/>
  <c r="AD206" i="3"/>
  <c r="Z207" i="3"/>
  <c r="AA207" i="3"/>
  <c r="AB207" i="3"/>
  <c r="AC207" i="3"/>
  <c r="AD207" i="3"/>
  <c r="Z208" i="3"/>
  <c r="AA208" i="3"/>
  <c r="AB208" i="3"/>
  <c r="AC208" i="3"/>
  <c r="AD208" i="3"/>
  <c r="Z209" i="3"/>
  <c r="AA209" i="3"/>
  <c r="AB209" i="3"/>
  <c r="AC209" i="3"/>
  <c r="AD209" i="3"/>
  <c r="Z210" i="3"/>
  <c r="AA210" i="3"/>
  <c r="AB210" i="3"/>
  <c r="AC210" i="3"/>
  <c r="AD210" i="3"/>
  <c r="Z211" i="3"/>
  <c r="AA211" i="3"/>
  <c r="AB211" i="3"/>
  <c r="AC211" i="3"/>
  <c r="AD211" i="3"/>
  <c r="Z212" i="3"/>
  <c r="AA212" i="3"/>
  <c r="AB212" i="3"/>
  <c r="AC212" i="3"/>
  <c r="AD212" i="3"/>
  <c r="Z213" i="3"/>
  <c r="AA213" i="3"/>
  <c r="AB213" i="3"/>
  <c r="AC213" i="3"/>
  <c r="AD213" i="3"/>
  <c r="Z214" i="3"/>
  <c r="AA214" i="3"/>
  <c r="AB214" i="3"/>
  <c r="AC214" i="3"/>
  <c r="AD214" i="3"/>
  <c r="Z215" i="3"/>
  <c r="AA215" i="3"/>
  <c r="AB215" i="3"/>
  <c r="AC215" i="3"/>
  <c r="AD215" i="3"/>
  <c r="Z216" i="3"/>
  <c r="AA216" i="3"/>
  <c r="AB216" i="3"/>
  <c r="AC216" i="3"/>
  <c r="AD216" i="3"/>
  <c r="Z217" i="3"/>
  <c r="AA217" i="3"/>
  <c r="AB217" i="3"/>
  <c r="AC217" i="3"/>
  <c r="AD217" i="3"/>
  <c r="Z218" i="3"/>
  <c r="AA218" i="3"/>
  <c r="AB218" i="3"/>
  <c r="AC218" i="3"/>
  <c r="AD218" i="3"/>
  <c r="Z219" i="3"/>
  <c r="AA219" i="3"/>
  <c r="AB219" i="3"/>
  <c r="AC219" i="3"/>
  <c r="AD219" i="3"/>
  <c r="Z220" i="3"/>
  <c r="AA220" i="3"/>
  <c r="AB220" i="3"/>
  <c r="AC220" i="3"/>
  <c r="AD220" i="3"/>
  <c r="Z221" i="3"/>
  <c r="AA221" i="3"/>
  <c r="AB221" i="3"/>
  <c r="AC221" i="3"/>
  <c r="AD221" i="3"/>
  <c r="Z222" i="3"/>
  <c r="AA222" i="3"/>
  <c r="AB222" i="3"/>
  <c r="AC222" i="3"/>
  <c r="AD222" i="3"/>
  <c r="Z223" i="3"/>
  <c r="AA223" i="3"/>
  <c r="AB223" i="3"/>
  <c r="AC223" i="3"/>
  <c r="AD223" i="3"/>
  <c r="Z224" i="3"/>
  <c r="AA224" i="3"/>
  <c r="AB224" i="3"/>
  <c r="AC224" i="3"/>
  <c r="AD224" i="3"/>
  <c r="Z225" i="3"/>
  <c r="AA225" i="3"/>
  <c r="AB225" i="3"/>
  <c r="AC225" i="3"/>
  <c r="AD225" i="3"/>
  <c r="Z226" i="3"/>
  <c r="AA226" i="3"/>
  <c r="AB226" i="3"/>
  <c r="AC226" i="3"/>
  <c r="AD226" i="3"/>
  <c r="Z227" i="3"/>
  <c r="AA227" i="3"/>
  <c r="AB227" i="3"/>
  <c r="AC227" i="3"/>
  <c r="AD227" i="3"/>
  <c r="Z228" i="3"/>
  <c r="AA228" i="3"/>
  <c r="AB228" i="3"/>
  <c r="AC228" i="3"/>
  <c r="AD228" i="3"/>
  <c r="Z229" i="3"/>
  <c r="AA229" i="3"/>
  <c r="AB229" i="3"/>
  <c r="AC229" i="3"/>
  <c r="AD229" i="3"/>
  <c r="Z230" i="3"/>
  <c r="AA230" i="3"/>
  <c r="AB230" i="3"/>
  <c r="AC230" i="3"/>
  <c r="AD230" i="3"/>
  <c r="Z231" i="3"/>
  <c r="AA231" i="3"/>
  <c r="AB231" i="3"/>
  <c r="AC231" i="3"/>
  <c r="AD231" i="3"/>
  <c r="Z232" i="3"/>
  <c r="AA232" i="3"/>
  <c r="AB232" i="3"/>
  <c r="AC232" i="3"/>
  <c r="AD232" i="3"/>
  <c r="Z233" i="3"/>
  <c r="AA233" i="3"/>
  <c r="AB233" i="3"/>
  <c r="AC233" i="3"/>
  <c r="AD233" i="3"/>
  <c r="Z234" i="3"/>
  <c r="AA234" i="3"/>
  <c r="AB234" i="3"/>
  <c r="AC234" i="3"/>
  <c r="AD234" i="3"/>
  <c r="Z235" i="3"/>
  <c r="AA235" i="3"/>
  <c r="AB235" i="3"/>
  <c r="AC235" i="3"/>
  <c r="AD235" i="3"/>
  <c r="Z236" i="3"/>
  <c r="AA236" i="3"/>
  <c r="AB236" i="3"/>
  <c r="AC236" i="3"/>
  <c r="AD236" i="3"/>
  <c r="Z237" i="3"/>
  <c r="AA237" i="3"/>
  <c r="AB237" i="3"/>
  <c r="AC237" i="3"/>
  <c r="AD237" i="3"/>
  <c r="Z238" i="3"/>
  <c r="AA238" i="3"/>
  <c r="AB238" i="3"/>
  <c r="AC238" i="3"/>
  <c r="AD238" i="3"/>
  <c r="Z239" i="3"/>
  <c r="AA239" i="3"/>
  <c r="AB239" i="3"/>
  <c r="AC239" i="3"/>
  <c r="AD239" i="3"/>
  <c r="Z240" i="3"/>
  <c r="AA240" i="3"/>
  <c r="AB240" i="3"/>
  <c r="AC240" i="3"/>
  <c r="AD240" i="3"/>
  <c r="Z241" i="3"/>
  <c r="AA241" i="3"/>
  <c r="AB241" i="3"/>
  <c r="AC241" i="3"/>
  <c r="AD241" i="3"/>
  <c r="Z242" i="3"/>
  <c r="AA242" i="3"/>
  <c r="AB242" i="3"/>
  <c r="AC242" i="3"/>
  <c r="AD242" i="3"/>
  <c r="Z243" i="3"/>
  <c r="AA243" i="3"/>
  <c r="AB243" i="3"/>
  <c r="AC243" i="3"/>
  <c r="AD243" i="3"/>
  <c r="Z244" i="3"/>
  <c r="AA244" i="3"/>
  <c r="AB244" i="3"/>
  <c r="AC244" i="3"/>
  <c r="AD244" i="3"/>
  <c r="Z245" i="3"/>
  <c r="AA245" i="3"/>
  <c r="AB245" i="3"/>
  <c r="AC245" i="3"/>
  <c r="AD245" i="3"/>
  <c r="Z246" i="3"/>
  <c r="AA246" i="3"/>
  <c r="AB246" i="3"/>
  <c r="AC246" i="3"/>
  <c r="AD246" i="3"/>
  <c r="Z247" i="3"/>
  <c r="AA247" i="3"/>
  <c r="AB247" i="3"/>
  <c r="AC247" i="3"/>
  <c r="AD247" i="3"/>
  <c r="Z248" i="3"/>
  <c r="AA248" i="3"/>
  <c r="AB248" i="3"/>
  <c r="AC248" i="3"/>
  <c r="AD248" i="3"/>
  <c r="Z249" i="3"/>
  <c r="AA249" i="3"/>
  <c r="AB249" i="3"/>
  <c r="AC249" i="3"/>
  <c r="AD249" i="3"/>
  <c r="Z250" i="3"/>
  <c r="AA250" i="3"/>
  <c r="AB250" i="3"/>
  <c r="AC250" i="3"/>
  <c r="AD250" i="3"/>
  <c r="Z251" i="3"/>
  <c r="AA251" i="3"/>
  <c r="AB251" i="3"/>
  <c r="AC251" i="3"/>
  <c r="AD251" i="3"/>
  <c r="Z252" i="3"/>
  <c r="AA252" i="3"/>
  <c r="AB252" i="3"/>
  <c r="AC252" i="3"/>
  <c r="AD252" i="3"/>
  <c r="Z253" i="3"/>
  <c r="AA253" i="3"/>
  <c r="AB253" i="3"/>
  <c r="AC253" i="3"/>
  <c r="AD253" i="3"/>
  <c r="Z254" i="3"/>
  <c r="AA254" i="3"/>
  <c r="AB254" i="3"/>
  <c r="AC254" i="3"/>
  <c r="AD254" i="3"/>
  <c r="Z255" i="3"/>
  <c r="AA255" i="3"/>
  <c r="AB255" i="3"/>
  <c r="AC255" i="3"/>
  <c r="AD255" i="3"/>
  <c r="Z256" i="3"/>
  <c r="AA256" i="3"/>
  <c r="AB256" i="3"/>
  <c r="AC256" i="3"/>
  <c r="AD256" i="3"/>
  <c r="Z257" i="3"/>
  <c r="AA257" i="3"/>
  <c r="AB257" i="3"/>
  <c r="AC257" i="3"/>
  <c r="AD257" i="3"/>
  <c r="Z258" i="3"/>
  <c r="AA258" i="3"/>
  <c r="AB258" i="3"/>
  <c r="AC258" i="3"/>
  <c r="AD258" i="3"/>
  <c r="Z259" i="3"/>
  <c r="AA259" i="3"/>
  <c r="AB259" i="3"/>
  <c r="AC259" i="3"/>
  <c r="AD259" i="3"/>
  <c r="Z260" i="3"/>
  <c r="AA260" i="3"/>
  <c r="AB260" i="3"/>
  <c r="AC260" i="3"/>
  <c r="AD260" i="3"/>
  <c r="Z261" i="3"/>
  <c r="AA261" i="3"/>
  <c r="AB261" i="3"/>
  <c r="AC261" i="3"/>
  <c r="AD261" i="3"/>
  <c r="Z262" i="3"/>
  <c r="AA262" i="3"/>
  <c r="AB262" i="3"/>
  <c r="AC262" i="3"/>
  <c r="AD262" i="3"/>
  <c r="Z263" i="3"/>
  <c r="AA263" i="3"/>
  <c r="AB263" i="3"/>
  <c r="AC263" i="3"/>
  <c r="AD263" i="3"/>
  <c r="Z264" i="3"/>
  <c r="AA264" i="3"/>
  <c r="AB264" i="3"/>
  <c r="AC264" i="3"/>
  <c r="AD264" i="3"/>
  <c r="Z265" i="3"/>
  <c r="AA265" i="3"/>
  <c r="AB265" i="3"/>
  <c r="AC265" i="3"/>
  <c r="AD265" i="3"/>
  <c r="Z266" i="3"/>
  <c r="AA266" i="3"/>
  <c r="AB266" i="3"/>
  <c r="AC266" i="3"/>
  <c r="AD266" i="3"/>
  <c r="Z267" i="3"/>
  <c r="AA267" i="3"/>
  <c r="AB267" i="3"/>
  <c r="AC267" i="3"/>
  <c r="AD267" i="3"/>
  <c r="Z268" i="3"/>
  <c r="AA268" i="3"/>
  <c r="AB268" i="3"/>
  <c r="AC268" i="3"/>
  <c r="AD268" i="3"/>
  <c r="Z269" i="3"/>
  <c r="AA269" i="3"/>
  <c r="AB269" i="3"/>
  <c r="AC269" i="3"/>
  <c r="AD269" i="3"/>
  <c r="Z270" i="3"/>
  <c r="AA270" i="3"/>
  <c r="AB270" i="3"/>
  <c r="AC270" i="3"/>
  <c r="AD270" i="3"/>
  <c r="Z271" i="3"/>
  <c r="AA271" i="3"/>
  <c r="AB271" i="3"/>
  <c r="AC271" i="3"/>
  <c r="AD271" i="3"/>
  <c r="Z272" i="3"/>
  <c r="AA272" i="3"/>
  <c r="AB272" i="3"/>
  <c r="AC272" i="3"/>
  <c r="AD272" i="3"/>
  <c r="Z273" i="3"/>
  <c r="AA273" i="3"/>
  <c r="AB273" i="3"/>
  <c r="AC273" i="3"/>
  <c r="AD273" i="3"/>
  <c r="Z274" i="3"/>
  <c r="AA274" i="3"/>
  <c r="AB274" i="3"/>
  <c r="AC274" i="3"/>
  <c r="AD274" i="3"/>
  <c r="Z275" i="3"/>
  <c r="AA275" i="3"/>
  <c r="AB275" i="3"/>
  <c r="AC275" i="3"/>
  <c r="AD275" i="3"/>
  <c r="Z276" i="3"/>
  <c r="AA276" i="3"/>
  <c r="AB276" i="3"/>
  <c r="AC276" i="3"/>
  <c r="AD276" i="3"/>
  <c r="Z277" i="3"/>
  <c r="AA277" i="3"/>
  <c r="AB277" i="3"/>
  <c r="AC277" i="3"/>
  <c r="AD277" i="3"/>
  <c r="Z278" i="3"/>
  <c r="AA278" i="3"/>
  <c r="AB278" i="3"/>
  <c r="AC278" i="3"/>
  <c r="AD278" i="3"/>
  <c r="Z279" i="3"/>
  <c r="AA279" i="3"/>
  <c r="AB279" i="3"/>
  <c r="AC279" i="3"/>
  <c r="AD279" i="3"/>
  <c r="Z280" i="3"/>
  <c r="AA280" i="3"/>
  <c r="AB280" i="3"/>
  <c r="AC280" i="3"/>
  <c r="AD280" i="3"/>
  <c r="Z281" i="3"/>
  <c r="AA281" i="3"/>
  <c r="AB281" i="3"/>
  <c r="AC281" i="3"/>
  <c r="AD281" i="3"/>
  <c r="Z283" i="3"/>
  <c r="AA283" i="3"/>
  <c r="AB283" i="3"/>
  <c r="AC283" i="3"/>
  <c r="AD283" i="3"/>
  <c r="Z284" i="3"/>
  <c r="AA284" i="3"/>
  <c r="AB284" i="3"/>
  <c r="AC284" i="3"/>
  <c r="AD284" i="3"/>
  <c r="Z285" i="3"/>
  <c r="AA285" i="3"/>
  <c r="AB285" i="3"/>
  <c r="AC285" i="3"/>
  <c r="AD285" i="3"/>
  <c r="Z286" i="3"/>
  <c r="AA286" i="3"/>
  <c r="AB286" i="3"/>
  <c r="AC286" i="3"/>
  <c r="AD286" i="3"/>
  <c r="Z292" i="3"/>
  <c r="AA292" i="3"/>
  <c r="AB292" i="3"/>
  <c r="AC292" i="3"/>
  <c r="AD292" i="3"/>
  <c r="Z293" i="3"/>
  <c r="AA293" i="3"/>
  <c r="AB293" i="3"/>
  <c r="AC293" i="3"/>
  <c r="AD293" i="3"/>
  <c r="Z295" i="3"/>
  <c r="AA295" i="3"/>
  <c r="AB295" i="3"/>
  <c r="AC295" i="3"/>
  <c r="AD295" i="3"/>
  <c r="Z296" i="3"/>
  <c r="AA296" i="3"/>
  <c r="AB296" i="3"/>
  <c r="AC296" i="3"/>
  <c r="AD296" i="3"/>
  <c r="Z297" i="3"/>
  <c r="AA297" i="3"/>
  <c r="AB297" i="3"/>
  <c r="AC297" i="3"/>
  <c r="AD297" i="3"/>
  <c r="Z298" i="3"/>
  <c r="AA298" i="3"/>
  <c r="AB298" i="3"/>
  <c r="AC298" i="3"/>
  <c r="AD298" i="3"/>
  <c r="Z299" i="3"/>
  <c r="AA299" i="3"/>
  <c r="AB299" i="3"/>
  <c r="AC299" i="3"/>
  <c r="AD299" i="3"/>
  <c r="Z300" i="3"/>
  <c r="AA300" i="3"/>
  <c r="AB300" i="3"/>
  <c r="AC300" i="3"/>
  <c r="AD300" i="3"/>
  <c r="Z303" i="3"/>
  <c r="AA303" i="3"/>
  <c r="AB303" i="3"/>
  <c r="AC303" i="3"/>
  <c r="AD303" i="3"/>
  <c r="Z304" i="3"/>
  <c r="AA304" i="3"/>
  <c r="AB304" i="3"/>
  <c r="AC304" i="3"/>
  <c r="AD304" i="3"/>
  <c r="Z305" i="3"/>
  <c r="AA305" i="3"/>
  <c r="AB305" i="3"/>
  <c r="AC305" i="3"/>
  <c r="AD305" i="3"/>
  <c r="Z306" i="3"/>
  <c r="AA306" i="3"/>
  <c r="AB306" i="3"/>
  <c r="AC306" i="3"/>
  <c r="AD306" i="3"/>
  <c r="Z307" i="3"/>
  <c r="AA307" i="3"/>
  <c r="AB307" i="3"/>
  <c r="AC307" i="3"/>
  <c r="AD307" i="3"/>
  <c r="Z308" i="3"/>
  <c r="AA308" i="3"/>
  <c r="AB308" i="3"/>
  <c r="AC308" i="3"/>
  <c r="AD308" i="3"/>
  <c r="Z309" i="3"/>
  <c r="AA309" i="3"/>
  <c r="AB309" i="3"/>
  <c r="AC309" i="3"/>
  <c r="AD309" i="3"/>
  <c r="Z310" i="3"/>
  <c r="AA310" i="3"/>
  <c r="AB310" i="3"/>
  <c r="AC310" i="3"/>
  <c r="AD310" i="3"/>
  <c r="Z311" i="3"/>
  <c r="AA311" i="3"/>
  <c r="AB311" i="3"/>
  <c r="AC311" i="3"/>
  <c r="AD311" i="3"/>
  <c r="Z312" i="3"/>
  <c r="AA312" i="3"/>
  <c r="AB312" i="3"/>
  <c r="AC312" i="3"/>
  <c r="AD312" i="3"/>
  <c r="Z313" i="3"/>
  <c r="AA313" i="3"/>
  <c r="AB313" i="3"/>
  <c r="AC313" i="3"/>
  <c r="AD313" i="3"/>
  <c r="Z314" i="3"/>
  <c r="AA314" i="3"/>
  <c r="AB314" i="3"/>
  <c r="AC314" i="3"/>
  <c r="AD314" i="3"/>
  <c r="Z315" i="3"/>
  <c r="AA315" i="3"/>
  <c r="AB315" i="3"/>
  <c r="AC315" i="3"/>
  <c r="AD315" i="3"/>
  <c r="Z316" i="3"/>
  <c r="AA316" i="3"/>
  <c r="AB316" i="3"/>
  <c r="AC316" i="3"/>
  <c r="AD316" i="3"/>
  <c r="Z317" i="3"/>
  <c r="AA317" i="3"/>
  <c r="AB317" i="3"/>
  <c r="AC317" i="3"/>
  <c r="AD317" i="3"/>
  <c r="Z318" i="3"/>
  <c r="AA318" i="3"/>
  <c r="AB318" i="3"/>
  <c r="AC318" i="3"/>
  <c r="AD318" i="3"/>
  <c r="Z319" i="3"/>
  <c r="AA319" i="3"/>
  <c r="AB319" i="3"/>
  <c r="AC319" i="3"/>
  <c r="AD319" i="3"/>
  <c r="Z320" i="3"/>
  <c r="AA320" i="3"/>
  <c r="AB320" i="3"/>
  <c r="AC320" i="3"/>
  <c r="AD320" i="3"/>
  <c r="Z321" i="3"/>
  <c r="AA321" i="3"/>
  <c r="AB321" i="3"/>
  <c r="AC321" i="3"/>
  <c r="AD321" i="3"/>
  <c r="Z322" i="3"/>
  <c r="AA322" i="3"/>
  <c r="AB322" i="3"/>
  <c r="AC322" i="3"/>
  <c r="AD322" i="3"/>
  <c r="Z323" i="3"/>
  <c r="AA323" i="3"/>
  <c r="AB323" i="3"/>
  <c r="AC323" i="3"/>
  <c r="AD323" i="3"/>
  <c r="Z324" i="3"/>
  <c r="AA324" i="3"/>
  <c r="AB324" i="3"/>
  <c r="AC324" i="3"/>
  <c r="AD324" i="3"/>
  <c r="Z325" i="3"/>
  <c r="AA325" i="3"/>
  <c r="AB325" i="3"/>
  <c r="AC325" i="3"/>
  <c r="AD325" i="3"/>
  <c r="Z326" i="3"/>
  <c r="AA326" i="3"/>
  <c r="AB326" i="3"/>
  <c r="AC326" i="3"/>
  <c r="AD326" i="3"/>
  <c r="Z327" i="3"/>
  <c r="AA327" i="3"/>
  <c r="AB327" i="3"/>
  <c r="AC327" i="3"/>
  <c r="AD327" i="3"/>
  <c r="Z328" i="3"/>
  <c r="AA328" i="3"/>
  <c r="AB328" i="3"/>
  <c r="AC328" i="3"/>
  <c r="AD328" i="3"/>
  <c r="Z329" i="3"/>
  <c r="AA329" i="3"/>
  <c r="AB329" i="3"/>
  <c r="AC329" i="3"/>
  <c r="AD329" i="3"/>
  <c r="Z330" i="3"/>
  <c r="AA330" i="3"/>
  <c r="AB330" i="3"/>
  <c r="AC330" i="3"/>
  <c r="AD330" i="3"/>
  <c r="Z331" i="3"/>
  <c r="AA331" i="3"/>
  <c r="AB331" i="3"/>
  <c r="AC331" i="3"/>
  <c r="AD331" i="3"/>
  <c r="Z332" i="3"/>
  <c r="AA332" i="3"/>
  <c r="AB332" i="3"/>
  <c r="AC332" i="3"/>
  <c r="AD332" i="3"/>
  <c r="Z333" i="3"/>
  <c r="AA333" i="3"/>
  <c r="AB333" i="3"/>
  <c r="AC333" i="3"/>
  <c r="AD333" i="3"/>
  <c r="Z334" i="3"/>
  <c r="AA334" i="3"/>
  <c r="AB334" i="3"/>
  <c r="AC334" i="3"/>
  <c r="AD334" i="3"/>
  <c r="Z335" i="3"/>
  <c r="AA335" i="3"/>
  <c r="AB335" i="3"/>
  <c r="AC335" i="3"/>
  <c r="AD335" i="3"/>
  <c r="Z336" i="3"/>
  <c r="AA336" i="3"/>
  <c r="AB336" i="3"/>
  <c r="AC336" i="3"/>
  <c r="AD336" i="3"/>
  <c r="Z337" i="3"/>
  <c r="AA337" i="3"/>
  <c r="AB337" i="3"/>
  <c r="AC337" i="3"/>
  <c r="AD337" i="3"/>
  <c r="Z338" i="3"/>
  <c r="AA338" i="3"/>
  <c r="AB338" i="3"/>
  <c r="AC338" i="3"/>
  <c r="AD338" i="3"/>
  <c r="Z339" i="3"/>
  <c r="AA339" i="3"/>
  <c r="AB339" i="3"/>
  <c r="AC339" i="3"/>
  <c r="AD339" i="3"/>
  <c r="Z340" i="3"/>
  <c r="AA340" i="3"/>
  <c r="AB340" i="3"/>
  <c r="AC340" i="3"/>
  <c r="AD340" i="3"/>
  <c r="Z341" i="3"/>
  <c r="AA341" i="3"/>
  <c r="AB341" i="3"/>
  <c r="AC341" i="3"/>
  <c r="AD341" i="3"/>
  <c r="Z342" i="3"/>
  <c r="AA342" i="3"/>
  <c r="AB342" i="3"/>
  <c r="AC342" i="3"/>
  <c r="AD342" i="3"/>
  <c r="Z343" i="3"/>
  <c r="AA343" i="3"/>
  <c r="AB343" i="3"/>
  <c r="AC343" i="3"/>
  <c r="AD343" i="3"/>
  <c r="Z344" i="3"/>
  <c r="AA344" i="3"/>
  <c r="AB344" i="3"/>
  <c r="AC344" i="3"/>
  <c r="AD344" i="3"/>
  <c r="Z345" i="3"/>
  <c r="AA345" i="3"/>
  <c r="AB345" i="3"/>
  <c r="AC345" i="3"/>
  <c r="AD345" i="3"/>
  <c r="Z346" i="3"/>
  <c r="AA346" i="3"/>
  <c r="AB346" i="3"/>
  <c r="AC346" i="3"/>
  <c r="AD346" i="3"/>
  <c r="Z347" i="3"/>
  <c r="AA347" i="3"/>
  <c r="AB347" i="3"/>
  <c r="AC347" i="3"/>
  <c r="AD347" i="3"/>
  <c r="Z348" i="3"/>
  <c r="AA348" i="3"/>
  <c r="AB348" i="3"/>
  <c r="AC348" i="3"/>
  <c r="AD348" i="3"/>
  <c r="Z349" i="3"/>
  <c r="AA349" i="3"/>
  <c r="AB349" i="3"/>
  <c r="AC349" i="3"/>
  <c r="AD349" i="3"/>
  <c r="Z350" i="3"/>
  <c r="AA350" i="3"/>
  <c r="AB350" i="3"/>
  <c r="AC350" i="3"/>
  <c r="AD350" i="3"/>
  <c r="Z351" i="3"/>
  <c r="AA351" i="3"/>
  <c r="AB351" i="3"/>
  <c r="AC351" i="3"/>
  <c r="AD351" i="3"/>
  <c r="Z352" i="3"/>
  <c r="AA352" i="3"/>
  <c r="AB352" i="3"/>
  <c r="AC352" i="3"/>
  <c r="AD352" i="3"/>
  <c r="Z353" i="3"/>
  <c r="AA353" i="3"/>
  <c r="AB353" i="3"/>
  <c r="AC353" i="3"/>
  <c r="AD353" i="3"/>
  <c r="Z354" i="3"/>
  <c r="AA354" i="3"/>
  <c r="AB354" i="3"/>
  <c r="AC354" i="3"/>
  <c r="AD354" i="3"/>
  <c r="Z355" i="3"/>
  <c r="AA355" i="3"/>
  <c r="AB355" i="3"/>
  <c r="AC355" i="3"/>
  <c r="AD355" i="3"/>
  <c r="Z356" i="3"/>
  <c r="AA356" i="3"/>
  <c r="AB356" i="3"/>
  <c r="AC356" i="3"/>
  <c r="AD356" i="3"/>
  <c r="Z357" i="3"/>
  <c r="AA357" i="3"/>
  <c r="AB357" i="3"/>
  <c r="AC357" i="3"/>
  <c r="AD357" i="3"/>
  <c r="Z358" i="3"/>
  <c r="AA358" i="3"/>
  <c r="AB358" i="3"/>
  <c r="AC358" i="3"/>
  <c r="AD358" i="3"/>
  <c r="Z359" i="3"/>
  <c r="AA359" i="3"/>
  <c r="AB359" i="3"/>
  <c r="AC359" i="3"/>
  <c r="AD359" i="3"/>
  <c r="Z360" i="3"/>
  <c r="AA360" i="3"/>
  <c r="AB360" i="3"/>
  <c r="AC360" i="3"/>
  <c r="AD360" i="3"/>
  <c r="Z361" i="3"/>
  <c r="AA361" i="3"/>
  <c r="AB361" i="3"/>
  <c r="AC361" i="3"/>
  <c r="AD361" i="3"/>
  <c r="Z362" i="3"/>
  <c r="AA362" i="3"/>
  <c r="AB362" i="3"/>
  <c r="AC362" i="3"/>
  <c r="AD362" i="3"/>
  <c r="Z363" i="3"/>
  <c r="AA363" i="3"/>
  <c r="AB363" i="3"/>
  <c r="AC363" i="3"/>
  <c r="AD363" i="3"/>
  <c r="Z364" i="3"/>
  <c r="AA364" i="3"/>
  <c r="AB364" i="3"/>
  <c r="AC364" i="3"/>
  <c r="AD364" i="3"/>
  <c r="Z365" i="3"/>
  <c r="AA365" i="3"/>
  <c r="AB365" i="3"/>
  <c r="AC365" i="3"/>
  <c r="AD365" i="3"/>
  <c r="Z366" i="3"/>
  <c r="AA366" i="3"/>
  <c r="AB366" i="3"/>
  <c r="AC366" i="3"/>
  <c r="AD366" i="3"/>
  <c r="Z367" i="3"/>
  <c r="AA367" i="3"/>
  <c r="AB367" i="3"/>
  <c r="AC367" i="3"/>
  <c r="AD367" i="3"/>
  <c r="Z368" i="3"/>
  <c r="AA368" i="3"/>
  <c r="AB368" i="3"/>
  <c r="AC368" i="3"/>
  <c r="AD368" i="3"/>
  <c r="Z369" i="3"/>
  <c r="AA369" i="3"/>
  <c r="AB369" i="3"/>
  <c r="AC369" i="3"/>
  <c r="AD369" i="3"/>
  <c r="Z370" i="3"/>
  <c r="AA370" i="3"/>
  <c r="AB370" i="3"/>
  <c r="AC370" i="3"/>
  <c r="AD370" i="3"/>
  <c r="Z371" i="3"/>
  <c r="AA371" i="3"/>
  <c r="AB371" i="3"/>
  <c r="AC371" i="3"/>
  <c r="AD371" i="3"/>
  <c r="Z372" i="3"/>
  <c r="AA372" i="3"/>
  <c r="AB372" i="3"/>
  <c r="AC372" i="3"/>
  <c r="AD372" i="3"/>
  <c r="Z373" i="3"/>
  <c r="AA373" i="3"/>
  <c r="AB373" i="3"/>
  <c r="AC373" i="3"/>
  <c r="AD373" i="3"/>
  <c r="Z374" i="3"/>
  <c r="AA374" i="3"/>
  <c r="AB374" i="3"/>
  <c r="AC374" i="3"/>
  <c r="AD374" i="3"/>
  <c r="Z375" i="3"/>
  <c r="AA375" i="3"/>
  <c r="AB375" i="3"/>
  <c r="AC375" i="3"/>
  <c r="AD375" i="3"/>
  <c r="Z376" i="3"/>
  <c r="AA376" i="3"/>
  <c r="AB376" i="3"/>
  <c r="AC376" i="3"/>
  <c r="AD376" i="3"/>
  <c r="Z377" i="3"/>
  <c r="AA377" i="3"/>
  <c r="AB377" i="3"/>
  <c r="AC377" i="3"/>
  <c r="AD377" i="3"/>
  <c r="Z378" i="3"/>
  <c r="AA378" i="3"/>
  <c r="AB378" i="3"/>
  <c r="AC378" i="3"/>
  <c r="AD378" i="3"/>
  <c r="Z379" i="3"/>
  <c r="AA379" i="3"/>
  <c r="AB379" i="3"/>
  <c r="AC379" i="3"/>
  <c r="AD379" i="3"/>
  <c r="Z380" i="3"/>
  <c r="AA380" i="3"/>
  <c r="AB380" i="3"/>
  <c r="AC380" i="3"/>
  <c r="AD380" i="3"/>
  <c r="Z381" i="3"/>
  <c r="AA381" i="3"/>
  <c r="AB381" i="3"/>
  <c r="AC381" i="3"/>
  <c r="AD381" i="3"/>
  <c r="Z382" i="3"/>
  <c r="AA382" i="3"/>
  <c r="AB382" i="3"/>
  <c r="AC382" i="3"/>
  <c r="AD382" i="3"/>
  <c r="Z383" i="3"/>
  <c r="AA383" i="3"/>
  <c r="AB383" i="3"/>
  <c r="AC383" i="3"/>
  <c r="AD383" i="3"/>
  <c r="Z384" i="3"/>
  <c r="AA384" i="3"/>
  <c r="AB384" i="3"/>
  <c r="AC384" i="3"/>
  <c r="AD384" i="3"/>
  <c r="Z385" i="3"/>
  <c r="AA385" i="3"/>
  <c r="AB385" i="3"/>
  <c r="AC385" i="3"/>
  <c r="AD385" i="3"/>
  <c r="Z386" i="3"/>
  <c r="AA386" i="3"/>
  <c r="AB386" i="3"/>
  <c r="AC386" i="3"/>
  <c r="AD386" i="3"/>
  <c r="Z387" i="3"/>
  <c r="AA387" i="3"/>
  <c r="AB387" i="3"/>
  <c r="AC387" i="3"/>
  <c r="AD387" i="3"/>
  <c r="Z388" i="3"/>
  <c r="AA388" i="3"/>
  <c r="AB388" i="3"/>
  <c r="AC388" i="3"/>
  <c r="AD388" i="3"/>
  <c r="Z389" i="3"/>
  <c r="AA389" i="3"/>
  <c r="AB389" i="3"/>
  <c r="AC389" i="3"/>
  <c r="AD389" i="3"/>
  <c r="Z390" i="3"/>
  <c r="AA390" i="3"/>
  <c r="AB390" i="3"/>
  <c r="AC390" i="3"/>
  <c r="AD390" i="3"/>
  <c r="Z391" i="3"/>
  <c r="AA391" i="3"/>
  <c r="AB391" i="3"/>
  <c r="AC391" i="3"/>
  <c r="AD391" i="3"/>
  <c r="Z392" i="3"/>
  <c r="AA392" i="3"/>
  <c r="AB392" i="3"/>
  <c r="AC392" i="3"/>
  <c r="AD392" i="3"/>
  <c r="Z393" i="3"/>
  <c r="AA393" i="3"/>
  <c r="AB393" i="3"/>
  <c r="AC393" i="3"/>
  <c r="AD393" i="3"/>
  <c r="Z394" i="3"/>
  <c r="AA394" i="3"/>
  <c r="AB394" i="3"/>
  <c r="AC394" i="3"/>
  <c r="AD394" i="3"/>
  <c r="Z395" i="3"/>
  <c r="AA395" i="3"/>
  <c r="AB395" i="3"/>
  <c r="AC395" i="3"/>
  <c r="AD395" i="3"/>
  <c r="Z396" i="3"/>
  <c r="AA396" i="3"/>
  <c r="AB396" i="3"/>
  <c r="AC396" i="3"/>
  <c r="AD396" i="3"/>
  <c r="Z397" i="3"/>
  <c r="AA397" i="3"/>
  <c r="AB397" i="3"/>
  <c r="AC397" i="3"/>
  <c r="AD397" i="3"/>
  <c r="Z398" i="3"/>
  <c r="AA398" i="3"/>
  <c r="AB398" i="3"/>
  <c r="AC398" i="3"/>
  <c r="AD398" i="3"/>
  <c r="Z399" i="3"/>
  <c r="AA399" i="3"/>
  <c r="AB399" i="3"/>
  <c r="AC399" i="3"/>
  <c r="AD399" i="3"/>
  <c r="Z400" i="3"/>
  <c r="AA400" i="3"/>
  <c r="AB400" i="3"/>
  <c r="AC400" i="3"/>
  <c r="AD400" i="3"/>
  <c r="Z401" i="3"/>
  <c r="AA401" i="3"/>
  <c r="AB401" i="3"/>
  <c r="AC401" i="3"/>
  <c r="AD401" i="3"/>
  <c r="Z402" i="3"/>
  <c r="AA402" i="3"/>
  <c r="AB402" i="3"/>
  <c r="AC402" i="3"/>
  <c r="AD402" i="3"/>
  <c r="Z403" i="3"/>
  <c r="AA403" i="3"/>
  <c r="AB403" i="3"/>
  <c r="AC403" i="3"/>
  <c r="AD403" i="3"/>
  <c r="Z404" i="3"/>
  <c r="AA404" i="3"/>
  <c r="AB404" i="3"/>
  <c r="AC404" i="3"/>
  <c r="AD404" i="3"/>
  <c r="Z405" i="3"/>
  <c r="AA405" i="3"/>
  <c r="AB405" i="3"/>
  <c r="AC405" i="3"/>
  <c r="AD405" i="3"/>
  <c r="Z406" i="3"/>
  <c r="AA406" i="3"/>
  <c r="AB406" i="3"/>
  <c r="AC406" i="3"/>
  <c r="AD406" i="3"/>
  <c r="Z407" i="3"/>
  <c r="AA407" i="3"/>
  <c r="AB407" i="3"/>
  <c r="AC407" i="3"/>
  <c r="AD407" i="3"/>
  <c r="Z408" i="3"/>
  <c r="AA408" i="3"/>
  <c r="AB408" i="3"/>
  <c r="AC408" i="3"/>
  <c r="AD408" i="3"/>
  <c r="Z409" i="3"/>
  <c r="AA409" i="3"/>
  <c r="AB409" i="3"/>
  <c r="AC409" i="3"/>
  <c r="AD409" i="3"/>
  <c r="Z410" i="3"/>
  <c r="AA410" i="3"/>
  <c r="AB410" i="3"/>
  <c r="AC410" i="3"/>
  <c r="AD410" i="3"/>
  <c r="Z411" i="3"/>
  <c r="AA411" i="3"/>
  <c r="AB411" i="3"/>
  <c r="AC411" i="3"/>
  <c r="AD411" i="3"/>
  <c r="Z412" i="3"/>
  <c r="AA412" i="3"/>
  <c r="AB412" i="3"/>
  <c r="AC412" i="3"/>
  <c r="AD412" i="3"/>
  <c r="Z413" i="3"/>
  <c r="AA413" i="3"/>
  <c r="AB413" i="3"/>
  <c r="AC413" i="3"/>
  <c r="AD413" i="3"/>
  <c r="Z414" i="3"/>
  <c r="AA414" i="3"/>
  <c r="AB414" i="3"/>
  <c r="AC414" i="3"/>
  <c r="AD414" i="3"/>
  <c r="Z415" i="3"/>
  <c r="AA415" i="3"/>
  <c r="AB415" i="3"/>
  <c r="AC415" i="3"/>
  <c r="AD415" i="3"/>
  <c r="Z416" i="3"/>
  <c r="AA416" i="3"/>
  <c r="AB416" i="3"/>
  <c r="AC416" i="3"/>
  <c r="AD416" i="3"/>
  <c r="Z417" i="3"/>
  <c r="AA417" i="3"/>
  <c r="AB417" i="3"/>
  <c r="AC417" i="3"/>
  <c r="AD417" i="3"/>
  <c r="Z419" i="3"/>
  <c r="AA419" i="3"/>
  <c r="AB419" i="3"/>
  <c r="AC419" i="3"/>
  <c r="AD419" i="3"/>
  <c r="Z420" i="3"/>
  <c r="AA420" i="3"/>
  <c r="AB420" i="3"/>
  <c r="AC420" i="3"/>
  <c r="AD420" i="3"/>
  <c r="Z421" i="3"/>
  <c r="AA421" i="3"/>
  <c r="AB421" i="3"/>
  <c r="AC421" i="3"/>
  <c r="AD421" i="3"/>
  <c r="Z422" i="3"/>
  <c r="AA422" i="3"/>
  <c r="AB422" i="3"/>
  <c r="AC422" i="3"/>
  <c r="AD422" i="3"/>
  <c r="Z423" i="3"/>
  <c r="AA423" i="3"/>
  <c r="AB423" i="3"/>
  <c r="AC423" i="3"/>
  <c r="AD423" i="3"/>
  <c r="Z424" i="3"/>
  <c r="AA424" i="3"/>
  <c r="AB424" i="3"/>
  <c r="AC424" i="3"/>
  <c r="AD424" i="3"/>
  <c r="Z425" i="3"/>
  <c r="AA425" i="3"/>
  <c r="AB425" i="3"/>
  <c r="AC425" i="3"/>
  <c r="AD425" i="3"/>
  <c r="Z426" i="3"/>
  <c r="AA426" i="3"/>
  <c r="AB426" i="3"/>
  <c r="AC426" i="3"/>
  <c r="AD426" i="3"/>
  <c r="Z427" i="3"/>
  <c r="AA427" i="3"/>
  <c r="AB427" i="3"/>
  <c r="AC427" i="3"/>
  <c r="AD427" i="3"/>
  <c r="Z428" i="3"/>
  <c r="AA428" i="3"/>
  <c r="AB428" i="3"/>
  <c r="AC428" i="3"/>
  <c r="AD428" i="3"/>
  <c r="Z429" i="3"/>
  <c r="AA429" i="3"/>
  <c r="AB429" i="3"/>
  <c r="AC429" i="3"/>
  <c r="AD429" i="3"/>
  <c r="Z430" i="3"/>
  <c r="AA430" i="3"/>
  <c r="AB430" i="3"/>
  <c r="AC430" i="3"/>
  <c r="AD430" i="3"/>
  <c r="Z431" i="3"/>
  <c r="AA431" i="3"/>
  <c r="AB431" i="3"/>
  <c r="AC431" i="3"/>
  <c r="AD431" i="3"/>
  <c r="Z432" i="3"/>
  <c r="AA432" i="3"/>
  <c r="AB432" i="3"/>
  <c r="AC432" i="3"/>
  <c r="AD432" i="3"/>
  <c r="Z433" i="3"/>
  <c r="AA433" i="3"/>
  <c r="AB433" i="3"/>
  <c r="AC433" i="3"/>
  <c r="AD433" i="3"/>
  <c r="Z434" i="3"/>
  <c r="AA434" i="3"/>
  <c r="AB434" i="3"/>
  <c r="AC434" i="3"/>
  <c r="AD434" i="3"/>
  <c r="Z435" i="3"/>
  <c r="AA435" i="3"/>
  <c r="AB435" i="3"/>
  <c r="AC435" i="3"/>
  <c r="AD435" i="3"/>
  <c r="Z436" i="3"/>
  <c r="AA436" i="3"/>
  <c r="AB436" i="3"/>
  <c r="AC436" i="3"/>
  <c r="AD436" i="3"/>
  <c r="Z437" i="3"/>
  <c r="AA437" i="3"/>
  <c r="AB437" i="3"/>
  <c r="AC437" i="3"/>
  <c r="AD437" i="3"/>
  <c r="Z438" i="3"/>
  <c r="AA438" i="3"/>
  <c r="AB438" i="3"/>
  <c r="AC438" i="3"/>
  <c r="AD438" i="3"/>
  <c r="Z439" i="3"/>
  <c r="AA439" i="3"/>
  <c r="AB439" i="3"/>
  <c r="AC439" i="3"/>
  <c r="AD439" i="3"/>
  <c r="Z440" i="3"/>
  <c r="AA440" i="3"/>
  <c r="AB440" i="3"/>
  <c r="AC440" i="3"/>
  <c r="AD440" i="3"/>
  <c r="Z441" i="3"/>
  <c r="AA441" i="3"/>
  <c r="AB441" i="3"/>
  <c r="AC441" i="3"/>
  <c r="AD441" i="3"/>
  <c r="Z442" i="3"/>
  <c r="AA442" i="3"/>
  <c r="AB442" i="3"/>
  <c r="AC442" i="3"/>
  <c r="AD442" i="3"/>
  <c r="Z443" i="3"/>
  <c r="AA443" i="3"/>
  <c r="AB443" i="3"/>
  <c r="AC443" i="3"/>
  <c r="AD443" i="3"/>
  <c r="Z444" i="3"/>
  <c r="AA444" i="3"/>
  <c r="AB444" i="3"/>
  <c r="AC444" i="3"/>
  <c r="AD444" i="3"/>
  <c r="Z445" i="3"/>
  <c r="AA445" i="3"/>
  <c r="AB445" i="3"/>
  <c r="AC445" i="3"/>
  <c r="AD445" i="3"/>
  <c r="Z446" i="3"/>
  <c r="AA446" i="3"/>
  <c r="AB446" i="3"/>
  <c r="AC446" i="3"/>
  <c r="AD446" i="3"/>
  <c r="Z447" i="3"/>
  <c r="AA447" i="3"/>
  <c r="AB447" i="3"/>
  <c r="AC447" i="3"/>
  <c r="AD447" i="3"/>
  <c r="Z448" i="3"/>
  <c r="AA448" i="3"/>
  <c r="AB448" i="3"/>
  <c r="AC448" i="3"/>
  <c r="AD448" i="3"/>
  <c r="Z449" i="3"/>
  <c r="AA449" i="3"/>
  <c r="AB449" i="3"/>
  <c r="AC449" i="3"/>
  <c r="AD449" i="3"/>
  <c r="Z450" i="3"/>
  <c r="AA450" i="3"/>
  <c r="AB450" i="3"/>
  <c r="AC450" i="3"/>
  <c r="AD450" i="3"/>
  <c r="Z451" i="3"/>
  <c r="AA451" i="3"/>
  <c r="AB451" i="3"/>
  <c r="AC451" i="3"/>
  <c r="AD451" i="3"/>
  <c r="Z452" i="3"/>
  <c r="AA452" i="3"/>
  <c r="AB452" i="3"/>
  <c r="AC452" i="3"/>
  <c r="AD452" i="3"/>
  <c r="Z453" i="3"/>
  <c r="AA453" i="3"/>
  <c r="AB453" i="3"/>
  <c r="AC453" i="3"/>
  <c r="AD453" i="3"/>
  <c r="Z454" i="3"/>
  <c r="AA454" i="3"/>
  <c r="AB454" i="3"/>
  <c r="AC454" i="3"/>
  <c r="AD454" i="3"/>
  <c r="Z455" i="3"/>
  <c r="AA455" i="3"/>
  <c r="AB455" i="3"/>
  <c r="AC455" i="3"/>
  <c r="AD455" i="3"/>
  <c r="Z456" i="3"/>
  <c r="AA456" i="3"/>
  <c r="AB456" i="3"/>
  <c r="AC456" i="3"/>
  <c r="AD456" i="3"/>
  <c r="Z457" i="3"/>
  <c r="AA457" i="3"/>
  <c r="AB457" i="3"/>
  <c r="AC457" i="3"/>
  <c r="AD457" i="3"/>
  <c r="Z458" i="3"/>
  <c r="AA458" i="3"/>
  <c r="AB458" i="3"/>
  <c r="AC458" i="3"/>
  <c r="AD458" i="3"/>
  <c r="Z459" i="3"/>
  <c r="AA459" i="3"/>
  <c r="AB459" i="3"/>
  <c r="AC459" i="3"/>
  <c r="AD459" i="3"/>
  <c r="Z460" i="3"/>
  <c r="AA460" i="3"/>
  <c r="AB460" i="3"/>
  <c r="AC460" i="3"/>
  <c r="AD460" i="3"/>
  <c r="Z461" i="3"/>
  <c r="AA461" i="3"/>
  <c r="AB461" i="3"/>
  <c r="AC461" i="3"/>
  <c r="AD461" i="3"/>
  <c r="Z462" i="3"/>
  <c r="AA462" i="3"/>
  <c r="AB462" i="3"/>
  <c r="AC462" i="3"/>
  <c r="AD462" i="3"/>
  <c r="Z463" i="3"/>
  <c r="AA463" i="3"/>
  <c r="AB463" i="3"/>
  <c r="AC463" i="3"/>
  <c r="AD463" i="3"/>
  <c r="Z464" i="3"/>
  <c r="AA464" i="3"/>
  <c r="AB464" i="3"/>
  <c r="AC464" i="3"/>
  <c r="AD464" i="3"/>
  <c r="Z465" i="3"/>
  <c r="AA465" i="3"/>
  <c r="AB465" i="3"/>
  <c r="AC465" i="3"/>
  <c r="AD465" i="3"/>
  <c r="Z466" i="3"/>
  <c r="AA466" i="3"/>
  <c r="AB466" i="3"/>
  <c r="AC466" i="3"/>
  <c r="AD466" i="3"/>
  <c r="Z467" i="3"/>
  <c r="AA467" i="3"/>
  <c r="AB467" i="3"/>
  <c r="AC467" i="3"/>
  <c r="AD467" i="3"/>
  <c r="Z468" i="3"/>
  <c r="AA468" i="3"/>
  <c r="AB468" i="3"/>
  <c r="AC468" i="3"/>
  <c r="AD468" i="3"/>
  <c r="Z469" i="3"/>
  <c r="AA469" i="3"/>
  <c r="AB469" i="3"/>
  <c r="AC469" i="3"/>
  <c r="AD469" i="3"/>
  <c r="Z470" i="3"/>
  <c r="AA470" i="3"/>
  <c r="AB470" i="3"/>
  <c r="AC470" i="3"/>
  <c r="AD470" i="3"/>
  <c r="Z471" i="3"/>
  <c r="AA471" i="3"/>
  <c r="AB471" i="3"/>
  <c r="AC471" i="3"/>
  <c r="AD471" i="3"/>
  <c r="Z472" i="3"/>
  <c r="AA472" i="3"/>
  <c r="AB472" i="3"/>
  <c r="AC472" i="3"/>
  <c r="AD472" i="3"/>
  <c r="Z473" i="3"/>
  <c r="AA473" i="3"/>
  <c r="AB473" i="3"/>
  <c r="AC473" i="3"/>
  <c r="AD473" i="3"/>
  <c r="Z474" i="3"/>
  <c r="AA474" i="3"/>
  <c r="AB474" i="3"/>
  <c r="AC474" i="3"/>
  <c r="AD474" i="3"/>
  <c r="Z475" i="3"/>
  <c r="AA475" i="3"/>
  <c r="AB475" i="3"/>
  <c r="AC475" i="3"/>
  <c r="AD475" i="3"/>
  <c r="Z476" i="3"/>
  <c r="AA476" i="3"/>
  <c r="AB476" i="3"/>
  <c r="AC476" i="3"/>
  <c r="AD476" i="3"/>
  <c r="Z477" i="3"/>
  <c r="AA477" i="3"/>
  <c r="AB477" i="3"/>
  <c r="AC477" i="3"/>
  <c r="AD477" i="3"/>
  <c r="Z478" i="3"/>
  <c r="AA478" i="3"/>
  <c r="AB478" i="3"/>
  <c r="AC478" i="3"/>
  <c r="AD478" i="3"/>
  <c r="Z479" i="3"/>
  <c r="AA479" i="3"/>
  <c r="AB479" i="3"/>
  <c r="AC479" i="3"/>
  <c r="AD479" i="3"/>
  <c r="Z480" i="3"/>
  <c r="AA480" i="3"/>
  <c r="AB480" i="3"/>
  <c r="AC480" i="3"/>
  <c r="AD480" i="3"/>
  <c r="Z481" i="3"/>
  <c r="AA481" i="3"/>
  <c r="AB481" i="3"/>
  <c r="AC481" i="3"/>
  <c r="AD481" i="3"/>
  <c r="Z482" i="3"/>
  <c r="AA482" i="3"/>
  <c r="AB482" i="3"/>
  <c r="AC482" i="3"/>
  <c r="AD482" i="3"/>
  <c r="Z483" i="3"/>
  <c r="AA483" i="3"/>
  <c r="AB483" i="3"/>
  <c r="AC483" i="3"/>
  <c r="AD483" i="3"/>
  <c r="Z484" i="3"/>
  <c r="AA484" i="3"/>
  <c r="AB484" i="3"/>
  <c r="AC484" i="3"/>
  <c r="AD484" i="3"/>
  <c r="Z485" i="3"/>
  <c r="AA485" i="3"/>
  <c r="AB485" i="3"/>
  <c r="AC485" i="3"/>
  <c r="AD485" i="3"/>
  <c r="Z486" i="3"/>
  <c r="AA486" i="3"/>
  <c r="AB486" i="3"/>
  <c r="AC486" i="3"/>
  <c r="AD486" i="3"/>
  <c r="Z487" i="3"/>
  <c r="AA487" i="3"/>
  <c r="AB487" i="3"/>
  <c r="AC487" i="3"/>
  <c r="AD487" i="3"/>
  <c r="Z488" i="3"/>
  <c r="AA488" i="3"/>
  <c r="AB488" i="3"/>
  <c r="AC488" i="3"/>
  <c r="AD488" i="3"/>
  <c r="Z489" i="3"/>
  <c r="AA489" i="3"/>
  <c r="AB489" i="3"/>
  <c r="AC489" i="3"/>
  <c r="AD489" i="3"/>
  <c r="Z490" i="3"/>
  <c r="AA490" i="3"/>
  <c r="AB490" i="3"/>
  <c r="AC490" i="3"/>
  <c r="AD490" i="3"/>
  <c r="Z491" i="3"/>
  <c r="AA491" i="3"/>
  <c r="AB491" i="3"/>
  <c r="AC491" i="3"/>
  <c r="AD491" i="3"/>
  <c r="Z492" i="3"/>
  <c r="AA492" i="3"/>
  <c r="AB492" i="3"/>
  <c r="AC492" i="3"/>
  <c r="AD492" i="3"/>
  <c r="Z493" i="3"/>
  <c r="AA493" i="3"/>
  <c r="AB493" i="3"/>
  <c r="AC493" i="3"/>
  <c r="AD493" i="3"/>
  <c r="Z494" i="3"/>
  <c r="AA494" i="3"/>
  <c r="AB494" i="3"/>
  <c r="AC494" i="3"/>
  <c r="AD494" i="3"/>
  <c r="Z495" i="3"/>
  <c r="AA495" i="3"/>
  <c r="AB495" i="3"/>
  <c r="AC495" i="3"/>
  <c r="AD495" i="3"/>
  <c r="Z496" i="3"/>
  <c r="AA496" i="3"/>
  <c r="AB496" i="3"/>
  <c r="AC496" i="3"/>
  <c r="AD496" i="3"/>
  <c r="Z497" i="3"/>
  <c r="AA497" i="3"/>
  <c r="AB497" i="3"/>
  <c r="AC497" i="3"/>
  <c r="AD497" i="3"/>
  <c r="Z498" i="3"/>
  <c r="AA498" i="3"/>
  <c r="AB498" i="3"/>
  <c r="AC498" i="3"/>
  <c r="AD498" i="3"/>
  <c r="Z499" i="3"/>
  <c r="AA499" i="3"/>
  <c r="AB499" i="3"/>
  <c r="AC499" i="3"/>
  <c r="AD499" i="3"/>
  <c r="Z500" i="3"/>
  <c r="AA500" i="3"/>
  <c r="AB500" i="3"/>
  <c r="AC500" i="3"/>
  <c r="AD500" i="3"/>
  <c r="Z501" i="3"/>
  <c r="AA501" i="3"/>
  <c r="AB501" i="3"/>
  <c r="AC501" i="3"/>
  <c r="AD501" i="3"/>
  <c r="Z502" i="3"/>
  <c r="AA502" i="3"/>
  <c r="AB502" i="3"/>
  <c r="AC502" i="3"/>
  <c r="AD502" i="3"/>
  <c r="Z503" i="3"/>
  <c r="AA503" i="3"/>
  <c r="AB503" i="3"/>
  <c r="AC503" i="3"/>
  <c r="AD503" i="3"/>
  <c r="Z504" i="3"/>
  <c r="AA504" i="3"/>
  <c r="AB504" i="3"/>
  <c r="AC504" i="3"/>
  <c r="AD504" i="3"/>
  <c r="Z505" i="3"/>
  <c r="AA505" i="3"/>
  <c r="AB505" i="3"/>
  <c r="AC505" i="3"/>
  <c r="AD505" i="3"/>
  <c r="Z506" i="3"/>
  <c r="AA506" i="3"/>
  <c r="AB506" i="3"/>
  <c r="AC506" i="3"/>
  <c r="AD506" i="3"/>
  <c r="Z507" i="3"/>
  <c r="AA507" i="3"/>
  <c r="AB507" i="3"/>
  <c r="AC507" i="3"/>
  <c r="AD507" i="3"/>
  <c r="Z508" i="3"/>
  <c r="AA508" i="3"/>
  <c r="AB508" i="3"/>
  <c r="AC508" i="3"/>
  <c r="AD508" i="3"/>
  <c r="Z509" i="3"/>
  <c r="AA509" i="3"/>
  <c r="AB509" i="3"/>
  <c r="AC509" i="3"/>
  <c r="AD509" i="3"/>
  <c r="Z510" i="3"/>
  <c r="AA510" i="3"/>
  <c r="AB510" i="3"/>
  <c r="AC510" i="3"/>
  <c r="AD510" i="3"/>
  <c r="Z511" i="3"/>
  <c r="AA511" i="3"/>
  <c r="AB511" i="3"/>
  <c r="AC511" i="3"/>
  <c r="AD511" i="3"/>
  <c r="Z512" i="3"/>
  <c r="AA512" i="3"/>
  <c r="AB512" i="3"/>
  <c r="AC512" i="3"/>
  <c r="AD512" i="3"/>
  <c r="Z513" i="3"/>
  <c r="AA513" i="3"/>
  <c r="AB513" i="3"/>
  <c r="AC513" i="3"/>
  <c r="AD513" i="3"/>
  <c r="Z514" i="3"/>
  <c r="AA514" i="3"/>
  <c r="AB514" i="3"/>
  <c r="AC514" i="3"/>
  <c r="AD514" i="3"/>
  <c r="Z515" i="3"/>
  <c r="AA515" i="3"/>
  <c r="AB515" i="3"/>
  <c r="AC515" i="3"/>
  <c r="AD515" i="3"/>
  <c r="Z516" i="3"/>
  <c r="AA516" i="3"/>
  <c r="AB516" i="3"/>
  <c r="AC516" i="3"/>
  <c r="AD516" i="3"/>
  <c r="Z517" i="3"/>
  <c r="AA517" i="3"/>
  <c r="AB517" i="3"/>
  <c r="AC517" i="3"/>
  <c r="AD517" i="3"/>
  <c r="Z518" i="3"/>
  <c r="AA518" i="3"/>
  <c r="AB518" i="3"/>
  <c r="AC518" i="3"/>
  <c r="AD518" i="3"/>
  <c r="Z519" i="3"/>
  <c r="AA519" i="3"/>
  <c r="AB519" i="3"/>
  <c r="AC519" i="3"/>
  <c r="AD519" i="3"/>
  <c r="Z520" i="3"/>
  <c r="AA520" i="3"/>
  <c r="AB520" i="3"/>
  <c r="AC520" i="3"/>
  <c r="AD520" i="3"/>
  <c r="Z521" i="3"/>
  <c r="AA521" i="3"/>
  <c r="AB521" i="3"/>
  <c r="AC521" i="3"/>
  <c r="AD521" i="3"/>
  <c r="Z522" i="3"/>
  <c r="AA522" i="3"/>
  <c r="AB522" i="3"/>
  <c r="AC522" i="3"/>
  <c r="AD522" i="3"/>
  <c r="Z523" i="3"/>
  <c r="AA523" i="3"/>
  <c r="AB523" i="3"/>
  <c r="AC523" i="3"/>
  <c r="AD523" i="3"/>
  <c r="Z524" i="3"/>
  <c r="AA524" i="3"/>
  <c r="AB524" i="3"/>
  <c r="AC524" i="3"/>
  <c r="AD524" i="3"/>
  <c r="Z525" i="3"/>
  <c r="AA525" i="3"/>
  <c r="AB525" i="3"/>
  <c r="AC525" i="3"/>
  <c r="AD525" i="3"/>
  <c r="Z526" i="3"/>
  <c r="AA526" i="3"/>
  <c r="AB526" i="3"/>
  <c r="AC526" i="3"/>
  <c r="AD526" i="3"/>
  <c r="Z527" i="3"/>
  <c r="AA527" i="3"/>
  <c r="AB527" i="3"/>
  <c r="AC527" i="3"/>
  <c r="AD527" i="3"/>
  <c r="Z528" i="3"/>
  <c r="AA528" i="3"/>
  <c r="AB528" i="3"/>
  <c r="AC528" i="3"/>
  <c r="AD528" i="3"/>
  <c r="Z529" i="3"/>
  <c r="AA529" i="3"/>
  <c r="AB529" i="3"/>
  <c r="AC529" i="3"/>
  <c r="AD529" i="3"/>
  <c r="Z530" i="3"/>
  <c r="AA530" i="3"/>
  <c r="AB530" i="3"/>
  <c r="AC530" i="3"/>
  <c r="AD530" i="3"/>
  <c r="Z531" i="3"/>
  <c r="AA531" i="3"/>
  <c r="AB531" i="3"/>
  <c r="AC531" i="3"/>
  <c r="AD531" i="3"/>
  <c r="Z532" i="3"/>
  <c r="AA532" i="3"/>
  <c r="AB532" i="3"/>
  <c r="AC532" i="3"/>
  <c r="AD532" i="3"/>
  <c r="Z533" i="3"/>
  <c r="AA533" i="3"/>
  <c r="AB533" i="3"/>
  <c r="AC533" i="3"/>
  <c r="AD533" i="3"/>
  <c r="Z534" i="3"/>
  <c r="AA534" i="3"/>
  <c r="AB534" i="3"/>
  <c r="AC534" i="3"/>
  <c r="AD534" i="3"/>
  <c r="Z535" i="3"/>
  <c r="AA535" i="3"/>
  <c r="AB535" i="3"/>
  <c r="AC535" i="3"/>
  <c r="AD535" i="3"/>
  <c r="Z536" i="3"/>
  <c r="AA536" i="3"/>
  <c r="AB536" i="3"/>
  <c r="AC536" i="3"/>
  <c r="AD536" i="3"/>
  <c r="Z537" i="3"/>
  <c r="AA537" i="3"/>
  <c r="AB537" i="3"/>
  <c r="AC537" i="3"/>
  <c r="AD537" i="3"/>
  <c r="Z538" i="3"/>
  <c r="AA538" i="3"/>
  <c r="AB538" i="3"/>
  <c r="AC538" i="3"/>
  <c r="AD538" i="3"/>
  <c r="Z539" i="3"/>
  <c r="AA539" i="3"/>
  <c r="AB539" i="3"/>
  <c r="AC539" i="3"/>
  <c r="AD539" i="3"/>
  <c r="Z540" i="3"/>
  <c r="AA540" i="3"/>
  <c r="AB540" i="3"/>
  <c r="AC540" i="3"/>
  <c r="AD540" i="3"/>
  <c r="Z541" i="3"/>
  <c r="AA541" i="3"/>
  <c r="AB541" i="3"/>
  <c r="AC541" i="3"/>
  <c r="AD541" i="3"/>
  <c r="Z542" i="3"/>
  <c r="AA542" i="3"/>
  <c r="AB542" i="3"/>
  <c r="AC542" i="3"/>
  <c r="AD542" i="3"/>
  <c r="Z543" i="3"/>
  <c r="AA543" i="3"/>
  <c r="AB543" i="3"/>
  <c r="AC543" i="3"/>
  <c r="AD543" i="3"/>
  <c r="Z544" i="3"/>
  <c r="AA544" i="3"/>
  <c r="AB544" i="3"/>
  <c r="AC544" i="3"/>
  <c r="AD544" i="3"/>
  <c r="Z545" i="3"/>
  <c r="AA545" i="3"/>
  <c r="AB545" i="3"/>
  <c r="AC545" i="3"/>
  <c r="AD545" i="3"/>
  <c r="Z546" i="3"/>
  <c r="AA546" i="3"/>
  <c r="AB546" i="3"/>
  <c r="AC546" i="3"/>
  <c r="AD546" i="3"/>
  <c r="Z547" i="3"/>
  <c r="AA547" i="3"/>
  <c r="AB547" i="3"/>
  <c r="AC547" i="3"/>
  <c r="AD547" i="3"/>
  <c r="Z548" i="3"/>
  <c r="AA548" i="3"/>
  <c r="AB548" i="3"/>
  <c r="AC548" i="3"/>
  <c r="AD548" i="3"/>
  <c r="Z549" i="3"/>
  <c r="AA549" i="3"/>
  <c r="AB549" i="3"/>
  <c r="AC549" i="3"/>
  <c r="AD549" i="3"/>
  <c r="Z550" i="3"/>
  <c r="AA550" i="3"/>
  <c r="AB550" i="3"/>
  <c r="AC550" i="3"/>
  <c r="AD550" i="3"/>
  <c r="Z551" i="3"/>
  <c r="AA551" i="3"/>
  <c r="AB551" i="3"/>
  <c r="AC551" i="3"/>
  <c r="AD551" i="3"/>
  <c r="Z552" i="3"/>
  <c r="AA552" i="3"/>
  <c r="AB552" i="3"/>
  <c r="AC552" i="3"/>
  <c r="AD552" i="3"/>
  <c r="Z553" i="3"/>
  <c r="AA553" i="3"/>
  <c r="AB553" i="3"/>
  <c r="AC553" i="3"/>
  <c r="AD553" i="3"/>
  <c r="Z554" i="3"/>
  <c r="AA554" i="3"/>
  <c r="AB554" i="3"/>
  <c r="AC554" i="3"/>
  <c r="AD554" i="3"/>
  <c r="Z555" i="3"/>
  <c r="AA555" i="3"/>
  <c r="AB555" i="3"/>
  <c r="AC555" i="3"/>
  <c r="AD555" i="3"/>
  <c r="Z556" i="3"/>
  <c r="AA556" i="3"/>
  <c r="AB556" i="3"/>
  <c r="AC556" i="3"/>
  <c r="AD556" i="3"/>
  <c r="Z557" i="3"/>
  <c r="AA557" i="3"/>
  <c r="AB557" i="3"/>
  <c r="AC557" i="3"/>
  <c r="AD557" i="3"/>
  <c r="Z558" i="3"/>
  <c r="AA558" i="3"/>
  <c r="AB558" i="3"/>
  <c r="AC558" i="3"/>
  <c r="AD558" i="3"/>
  <c r="Z559" i="3"/>
  <c r="AA559" i="3"/>
  <c r="AB559" i="3"/>
  <c r="AC559" i="3"/>
  <c r="AD559" i="3"/>
  <c r="Z560" i="3"/>
  <c r="AA560" i="3"/>
  <c r="AB560" i="3"/>
  <c r="AC560" i="3"/>
  <c r="AD560" i="3"/>
  <c r="Z561" i="3"/>
  <c r="AA561" i="3"/>
  <c r="AB561" i="3"/>
  <c r="AC561" i="3"/>
  <c r="AD561" i="3"/>
  <c r="Z562" i="3"/>
  <c r="AA562" i="3"/>
  <c r="AB562" i="3"/>
  <c r="AC562" i="3"/>
  <c r="AD562" i="3"/>
  <c r="Z563" i="3"/>
  <c r="AA563" i="3"/>
  <c r="AB563" i="3"/>
  <c r="AC563" i="3"/>
  <c r="AD563" i="3"/>
  <c r="Z564" i="3"/>
  <c r="AA564" i="3"/>
  <c r="AB564" i="3"/>
  <c r="AC564" i="3"/>
  <c r="AD564" i="3"/>
  <c r="Z565" i="3"/>
  <c r="AA565" i="3"/>
  <c r="AB565" i="3"/>
  <c r="AC565" i="3"/>
  <c r="AD565" i="3"/>
  <c r="Z566" i="3"/>
  <c r="AA566" i="3"/>
  <c r="AB566" i="3"/>
  <c r="AC566" i="3"/>
  <c r="AD566" i="3"/>
  <c r="Z567" i="3"/>
  <c r="AA567" i="3"/>
  <c r="AB567" i="3"/>
  <c r="AC567" i="3"/>
  <c r="AD567" i="3"/>
  <c r="Z568" i="3"/>
  <c r="AA568" i="3"/>
  <c r="AB568" i="3"/>
  <c r="AC568" i="3"/>
  <c r="AD568" i="3"/>
  <c r="Z569" i="3"/>
  <c r="AA569" i="3"/>
  <c r="AB569" i="3"/>
  <c r="AC569" i="3"/>
  <c r="AD569" i="3"/>
  <c r="Z570" i="3"/>
  <c r="AA570" i="3"/>
  <c r="AB570" i="3"/>
  <c r="AC570" i="3"/>
  <c r="AD570" i="3"/>
  <c r="Z571" i="3"/>
  <c r="AA571" i="3"/>
  <c r="AB571" i="3"/>
  <c r="AC571" i="3"/>
  <c r="AD571" i="3"/>
  <c r="Z572" i="3"/>
  <c r="AA572" i="3"/>
  <c r="AB572" i="3"/>
  <c r="AC572" i="3"/>
  <c r="AD572" i="3"/>
  <c r="Z573" i="3"/>
  <c r="AA573" i="3"/>
  <c r="AB573" i="3"/>
  <c r="AC573" i="3"/>
  <c r="AD573" i="3"/>
  <c r="Z574" i="3"/>
  <c r="AA574" i="3"/>
  <c r="AB574" i="3"/>
  <c r="AC574" i="3"/>
  <c r="AD574" i="3"/>
  <c r="Z575" i="3"/>
  <c r="AA575" i="3"/>
  <c r="AB575" i="3"/>
  <c r="AC575" i="3"/>
  <c r="AD575" i="3"/>
  <c r="Z576" i="3"/>
  <c r="AA576" i="3"/>
  <c r="AB576" i="3"/>
  <c r="AC576" i="3"/>
  <c r="AD576" i="3"/>
  <c r="Z577" i="3"/>
  <c r="AA577" i="3"/>
  <c r="AB577" i="3"/>
  <c r="AC577" i="3"/>
  <c r="AD577" i="3"/>
  <c r="Z578" i="3"/>
  <c r="AA578" i="3"/>
  <c r="AB578" i="3"/>
  <c r="AC578" i="3"/>
  <c r="AD578" i="3"/>
  <c r="Z579" i="3"/>
  <c r="AA579" i="3"/>
  <c r="AB579" i="3"/>
  <c r="AC579" i="3"/>
  <c r="AD579" i="3"/>
  <c r="Z580" i="3"/>
  <c r="AA580" i="3"/>
  <c r="AB580" i="3"/>
  <c r="AC580" i="3"/>
  <c r="AD580" i="3"/>
  <c r="Z581" i="3"/>
  <c r="AA581" i="3"/>
  <c r="AB581" i="3"/>
  <c r="AC581" i="3"/>
  <c r="AD581" i="3"/>
  <c r="Z582" i="3"/>
  <c r="AA582" i="3"/>
  <c r="AB582" i="3"/>
  <c r="AC582" i="3"/>
  <c r="AD582" i="3"/>
  <c r="Z583" i="3"/>
  <c r="AA583" i="3"/>
  <c r="AB583" i="3"/>
  <c r="AC583" i="3"/>
  <c r="AD583" i="3"/>
  <c r="Z584" i="3"/>
  <c r="AA584" i="3"/>
  <c r="AB584" i="3"/>
  <c r="AC584" i="3"/>
  <c r="AD584" i="3"/>
  <c r="Z585" i="3"/>
  <c r="AA585" i="3"/>
  <c r="AB585" i="3"/>
  <c r="AC585" i="3"/>
  <c r="AD585" i="3"/>
  <c r="Z586" i="3"/>
  <c r="AA586" i="3"/>
  <c r="AB586" i="3"/>
  <c r="AC586" i="3"/>
  <c r="AD586" i="3"/>
  <c r="Z587" i="3"/>
  <c r="AA587" i="3"/>
  <c r="AB587" i="3"/>
  <c r="AC587" i="3"/>
  <c r="AD587" i="3"/>
  <c r="Z588" i="3"/>
  <c r="AA588" i="3"/>
  <c r="AB588" i="3"/>
  <c r="AC588" i="3"/>
  <c r="AD588" i="3"/>
  <c r="Z589" i="3"/>
  <c r="AA589" i="3"/>
  <c r="AB589" i="3"/>
  <c r="AC589" i="3"/>
  <c r="AD589" i="3"/>
  <c r="Z590" i="3"/>
  <c r="AA590" i="3"/>
  <c r="AB590" i="3"/>
  <c r="AC590" i="3"/>
  <c r="AD590" i="3"/>
  <c r="Z591" i="3"/>
  <c r="AA591" i="3"/>
  <c r="AB591" i="3"/>
  <c r="AC591" i="3"/>
  <c r="AD591" i="3"/>
  <c r="Z592" i="3"/>
  <c r="AA592" i="3"/>
  <c r="AB592" i="3"/>
  <c r="AC592" i="3"/>
  <c r="AD592" i="3"/>
  <c r="Z593" i="3"/>
  <c r="AA593" i="3"/>
  <c r="AB593" i="3"/>
  <c r="AC593" i="3"/>
  <c r="AD593" i="3"/>
  <c r="Z594" i="3"/>
  <c r="AA594" i="3"/>
  <c r="AB594" i="3"/>
  <c r="AC594" i="3"/>
  <c r="AD594" i="3"/>
  <c r="Z595" i="3"/>
  <c r="AA595" i="3"/>
  <c r="AB595" i="3"/>
  <c r="AC595" i="3"/>
  <c r="AD595" i="3"/>
  <c r="Z596" i="3"/>
  <c r="AA596" i="3"/>
  <c r="AB596" i="3"/>
  <c r="AC596" i="3"/>
  <c r="AD596" i="3"/>
  <c r="Z597" i="3"/>
  <c r="AA597" i="3"/>
  <c r="AB597" i="3"/>
  <c r="AC597" i="3"/>
  <c r="AD597" i="3"/>
  <c r="Z598" i="3"/>
  <c r="AA598" i="3"/>
  <c r="AB598" i="3"/>
  <c r="AC598" i="3"/>
  <c r="AD598" i="3"/>
  <c r="Z599" i="3"/>
  <c r="AA599" i="3"/>
  <c r="AB599" i="3"/>
  <c r="AC599" i="3"/>
  <c r="AD599" i="3"/>
  <c r="Z600" i="3"/>
  <c r="AA600" i="3"/>
  <c r="AB600" i="3"/>
  <c r="AC600" i="3"/>
  <c r="AD600" i="3"/>
  <c r="Z601" i="3"/>
  <c r="AA601" i="3"/>
  <c r="AB601" i="3"/>
  <c r="AC601" i="3"/>
  <c r="AD601" i="3"/>
  <c r="Z602" i="3"/>
  <c r="AA602" i="3"/>
  <c r="AB602" i="3"/>
  <c r="AC602" i="3"/>
  <c r="AD602" i="3"/>
  <c r="Z603" i="3"/>
  <c r="AA603" i="3"/>
  <c r="AB603" i="3"/>
  <c r="AC603" i="3"/>
  <c r="AD603" i="3"/>
  <c r="Z604" i="3"/>
  <c r="AA604" i="3"/>
  <c r="AB604" i="3"/>
  <c r="AC604" i="3"/>
  <c r="AD604" i="3"/>
  <c r="Z605" i="3"/>
  <c r="AA605" i="3"/>
  <c r="AB605" i="3"/>
  <c r="AC605" i="3"/>
  <c r="AD605" i="3"/>
  <c r="Z606" i="3"/>
  <c r="AA606" i="3"/>
  <c r="AB606" i="3"/>
  <c r="AC606" i="3"/>
  <c r="AD606" i="3"/>
  <c r="Z607" i="3"/>
  <c r="AA607" i="3"/>
  <c r="AB607" i="3"/>
  <c r="AC607" i="3"/>
  <c r="AD607" i="3"/>
  <c r="Z608" i="3"/>
  <c r="AA608" i="3"/>
  <c r="AB608" i="3"/>
  <c r="AC608" i="3"/>
  <c r="AD608" i="3"/>
  <c r="Z609" i="3"/>
  <c r="AA609" i="3"/>
  <c r="AB609" i="3"/>
  <c r="AC609" i="3"/>
  <c r="AD609" i="3"/>
  <c r="Z610" i="3"/>
  <c r="AA610" i="3"/>
  <c r="AB610" i="3"/>
  <c r="AC610" i="3"/>
  <c r="AD610" i="3"/>
  <c r="Z611" i="3"/>
  <c r="AA611" i="3"/>
  <c r="AB611" i="3"/>
  <c r="AC611" i="3"/>
  <c r="AD611" i="3"/>
  <c r="Z612" i="3"/>
  <c r="AA612" i="3"/>
  <c r="AB612" i="3"/>
  <c r="AC612" i="3"/>
  <c r="AD612" i="3"/>
  <c r="Z613" i="3"/>
  <c r="AA613" i="3"/>
  <c r="AB613" i="3"/>
  <c r="AC613" i="3"/>
  <c r="AD613" i="3"/>
  <c r="Z614" i="3"/>
  <c r="AA614" i="3"/>
  <c r="AB614" i="3"/>
  <c r="AC614" i="3"/>
  <c r="AD614" i="3"/>
  <c r="Z615" i="3"/>
  <c r="AA615" i="3"/>
  <c r="AB615" i="3"/>
  <c r="AC615" i="3"/>
  <c r="AD615" i="3"/>
  <c r="Z616" i="3"/>
  <c r="AA616" i="3"/>
  <c r="AB616" i="3"/>
  <c r="AC616" i="3"/>
  <c r="AD616" i="3"/>
  <c r="Z617" i="3"/>
  <c r="AA617" i="3"/>
  <c r="AB617" i="3"/>
  <c r="AC617" i="3"/>
  <c r="AD617" i="3"/>
  <c r="Z618" i="3"/>
  <c r="AA618" i="3"/>
  <c r="AB618" i="3"/>
  <c r="AC618" i="3"/>
  <c r="AD618" i="3"/>
  <c r="Z619" i="3"/>
  <c r="AA619" i="3"/>
  <c r="AB619" i="3"/>
  <c r="AC619" i="3"/>
  <c r="AD619" i="3"/>
  <c r="Z620" i="3"/>
  <c r="AA620" i="3"/>
  <c r="AB620" i="3"/>
  <c r="AC620" i="3"/>
  <c r="AD620" i="3"/>
  <c r="Z621" i="3"/>
  <c r="AA621" i="3"/>
  <c r="AB621" i="3"/>
  <c r="AC621" i="3"/>
  <c r="AD621" i="3"/>
  <c r="Z622" i="3"/>
  <c r="AA622" i="3"/>
  <c r="AB622" i="3"/>
  <c r="AC622" i="3"/>
  <c r="AD622" i="3"/>
  <c r="Z623" i="3"/>
  <c r="AA623" i="3"/>
  <c r="AB623" i="3"/>
  <c r="AC623" i="3"/>
  <c r="AD623" i="3"/>
  <c r="Z624" i="3"/>
  <c r="AA624" i="3"/>
  <c r="AB624" i="3"/>
  <c r="AC624" i="3"/>
  <c r="AD624" i="3"/>
  <c r="Z625" i="3"/>
  <c r="AA625" i="3"/>
  <c r="AB625" i="3"/>
  <c r="AC625" i="3"/>
  <c r="AD625" i="3"/>
  <c r="Z626" i="3"/>
  <c r="AA626" i="3"/>
  <c r="AB626" i="3"/>
  <c r="AC626" i="3"/>
  <c r="AD626" i="3"/>
  <c r="Z627" i="3"/>
  <c r="AA627" i="3"/>
  <c r="AB627" i="3"/>
  <c r="AC627" i="3"/>
  <c r="AD627" i="3"/>
  <c r="Z628" i="3"/>
  <c r="AA628" i="3"/>
  <c r="AB628" i="3"/>
  <c r="AC628" i="3"/>
  <c r="AD628" i="3"/>
  <c r="Z629" i="3"/>
  <c r="AA629" i="3"/>
  <c r="AB629" i="3"/>
  <c r="AC629" i="3"/>
  <c r="AD629" i="3"/>
  <c r="Z630" i="3"/>
  <c r="AA630" i="3"/>
  <c r="AB630" i="3"/>
  <c r="AC630" i="3"/>
  <c r="AD630" i="3"/>
  <c r="Z631" i="3"/>
  <c r="AA631" i="3"/>
  <c r="AB631" i="3"/>
  <c r="AC631" i="3"/>
  <c r="AD631" i="3"/>
  <c r="Z632" i="3"/>
  <c r="AA632" i="3"/>
  <c r="AB632" i="3"/>
  <c r="AC632" i="3"/>
  <c r="AD632" i="3"/>
  <c r="Z633" i="3"/>
  <c r="AA633" i="3"/>
  <c r="AB633" i="3"/>
  <c r="AC633" i="3"/>
  <c r="AD633" i="3"/>
  <c r="Z634" i="3"/>
  <c r="AA634" i="3"/>
  <c r="AB634" i="3"/>
  <c r="AC634" i="3"/>
  <c r="AD634" i="3"/>
  <c r="Z635" i="3"/>
  <c r="AA635" i="3"/>
  <c r="AB635" i="3"/>
  <c r="AC635" i="3"/>
  <c r="AD635" i="3"/>
  <c r="Z636" i="3"/>
  <c r="AA636" i="3"/>
  <c r="AB636" i="3"/>
  <c r="AC636" i="3"/>
  <c r="AD636" i="3"/>
  <c r="Z637" i="3"/>
  <c r="AA637" i="3"/>
  <c r="AB637" i="3"/>
  <c r="AC637" i="3"/>
  <c r="AD637" i="3"/>
  <c r="Z638" i="3"/>
  <c r="AA638" i="3"/>
  <c r="AB638" i="3"/>
  <c r="AC638" i="3"/>
  <c r="AD638" i="3"/>
  <c r="Z639" i="3"/>
  <c r="AA639" i="3"/>
  <c r="AB639" i="3"/>
  <c r="AC639" i="3"/>
  <c r="AD639" i="3"/>
  <c r="Z640" i="3"/>
  <c r="AA640" i="3"/>
  <c r="AB640" i="3"/>
  <c r="AC640" i="3"/>
  <c r="AD640" i="3"/>
  <c r="Z641" i="3"/>
  <c r="AA641" i="3"/>
  <c r="AB641" i="3"/>
  <c r="AC641" i="3"/>
  <c r="AD641" i="3"/>
  <c r="Z642" i="3"/>
  <c r="AA642" i="3"/>
  <c r="AB642" i="3"/>
  <c r="AC642" i="3"/>
  <c r="AD642" i="3"/>
  <c r="Z643" i="3"/>
  <c r="AA643" i="3"/>
  <c r="AB643" i="3"/>
  <c r="AC643" i="3"/>
  <c r="AD643" i="3"/>
  <c r="Z644" i="3"/>
  <c r="AA644" i="3"/>
  <c r="AB644" i="3"/>
  <c r="AC644" i="3"/>
  <c r="AD644" i="3"/>
  <c r="Z645" i="3"/>
  <c r="AA645" i="3"/>
  <c r="AB645" i="3"/>
  <c r="AC645" i="3"/>
  <c r="AD645" i="3"/>
  <c r="Z646" i="3"/>
  <c r="AA646" i="3"/>
  <c r="AB646" i="3"/>
  <c r="AC646" i="3"/>
  <c r="AD646" i="3"/>
  <c r="Z647" i="3"/>
  <c r="AA647" i="3"/>
  <c r="AB647" i="3"/>
  <c r="AC647" i="3"/>
  <c r="AD647" i="3"/>
  <c r="Z648" i="3"/>
  <c r="AA648" i="3"/>
  <c r="AB648" i="3"/>
  <c r="AC648" i="3"/>
  <c r="AD648" i="3"/>
  <c r="Z649" i="3"/>
  <c r="AA649" i="3"/>
  <c r="AB649" i="3"/>
  <c r="AC649" i="3"/>
  <c r="AD649" i="3"/>
  <c r="Z650" i="3"/>
  <c r="AA650" i="3"/>
  <c r="AB650" i="3"/>
  <c r="AC650" i="3"/>
  <c r="AD650" i="3"/>
  <c r="Z651" i="3"/>
  <c r="AA651" i="3"/>
  <c r="AB651" i="3"/>
  <c r="AC651" i="3"/>
  <c r="AD651" i="3"/>
  <c r="Z652" i="3"/>
  <c r="AA652" i="3"/>
  <c r="AB652" i="3"/>
  <c r="AC652" i="3"/>
  <c r="AD652" i="3"/>
  <c r="Z653" i="3"/>
  <c r="AA653" i="3"/>
  <c r="AB653" i="3"/>
  <c r="AC653" i="3"/>
  <c r="AD653" i="3"/>
  <c r="Z654" i="3"/>
  <c r="AA654" i="3"/>
  <c r="AB654" i="3"/>
  <c r="AC654" i="3"/>
  <c r="AD654" i="3"/>
  <c r="Z655" i="3"/>
  <c r="AA655" i="3"/>
  <c r="AB655" i="3"/>
  <c r="AC655" i="3"/>
  <c r="AD655" i="3"/>
  <c r="AA6" i="3"/>
  <c r="AD6" i="3"/>
  <c r="AC6" i="3"/>
  <c r="AB6" i="3"/>
  <c r="Z6" i="3"/>
  <c r="BP30" i="4"/>
  <c r="CQ60" i="4" l="1"/>
  <c r="M11" i="1" l="1"/>
  <c r="D32" i="4" l="1"/>
  <c r="X137" i="3" l="1"/>
  <c r="W137" i="3"/>
  <c r="V137" i="3"/>
  <c r="U137" i="3"/>
  <c r="T137" i="3"/>
  <c r="X136" i="3"/>
  <c r="W136" i="3"/>
  <c r="V136" i="3"/>
  <c r="U136" i="3"/>
  <c r="T136" i="3"/>
  <c r="X135" i="3"/>
  <c r="W135" i="3"/>
  <c r="V135" i="3"/>
  <c r="U135" i="3"/>
  <c r="T135" i="3"/>
  <c r="X134" i="3"/>
  <c r="W134" i="3"/>
  <c r="V134" i="3"/>
  <c r="U134" i="3"/>
  <c r="T134" i="3"/>
  <c r="X133" i="3"/>
  <c r="W133" i="3"/>
  <c r="V133" i="3"/>
  <c r="U133" i="3"/>
  <c r="T133" i="3"/>
  <c r="X132" i="3"/>
  <c r="W132" i="3"/>
  <c r="V132" i="3"/>
  <c r="U132" i="3"/>
  <c r="T132" i="3"/>
  <c r="X131" i="3"/>
  <c r="W131" i="3"/>
  <c r="V131" i="3"/>
  <c r="U131" i="3"/>
  <c r="T131" i="3"/>
  <c r="X130" i="3"/>
  <c r="W130" i="3"/>
  <c r="V130" i="3"/>
  <c r="U130" i="3"/>
  <c r="T130" i="3"/>
  <c r="X128" i="3"/>
  <c r="W128" i="3"/>
  <c r="V128" i="3"/>
  <c r="U128" i="3"/>
  <c r="T128" i="3"/>
  <c r="X127" i="3"/>
  <c r="W127" i="3"/>
  <c r="V127" i="3"/>
  <c r="U127" i="3"/>
  <c r="T127" i="3"/>
  <c r="X126" i="3"/>
  <c r="W126" i="3"/>
  <c r="V126" i="3"/>
  <c r="U126" i="3"/>
  <c r="T126" i="3"/>
  <c r="X125" i="3"/>
  <c r="W125" i="3"/>
  <c r="V125" i="3"/>
  <c r="U125" i="3"/>
  <c r="T125" i="3"/>
  <c r="T409" i="3"/>
  <c r="U409" i="3"/>
  <c r="V409" i="3"/>
  <c r="W409" i="3"/>
  <c r="X409" i="3"/>
  <c r="T410" i="3"/>
  <c r="U410" i="3"/>
  <c r="V410" i="3"/>
  <c r="W410" i="3"/>
  <c r="X410" i="3"/>
  <c r="T411" i="3"/>
  <c r="U411" i="3"/>
  <c r="V411" i="3"/>
  <c r="W411" i="3"/>
  <c r="X411" i="3"/>
  <c r="T412" i="3"/>
  <c r="U412" i="3"/>
  <c r="V412" i="3"/>
  <c r="W412" i="3"/>
  <c r="X412" i="3"/>
  <c r="T413" i="3"/>
  <c r="U413" i="3"/>
  <c r="V413" i="3"/>
  <c r="W413" i="3"/>
  <c r="X413" i="3"/>
  <c r="T414" i="3"/>
  <c r="U414" i="3"/>
  <c r="V414" i="3"/>
  <c r="W414" i="3"/>
  <c r="X414" i="3"/>
  <c r="T415" i="3"/>
  <c r="U415" i="3"/>
  <c r="V415" i="3"/>
  <c r="W415" i="3"/>
  <c r="X415" i="3"/>
  <c r="T416" i="3"/>
  <c r="U416" i="3"/>
  <c r="V416" i="3"/>
  <c r="W416" i="3"/>
  <c r="X416" i="3"/>
  <c r="X408" i="3"/>
  <c r="W408" i="3"/>
  <c r="V408" i="3"/>
  <c r="U408" i="3"/>
  <c r="T408" i="3"/>
  <c r="CP57" i="4" l="1"/>
  <c r="CP59" i="4" s="1"/>
  <c r="D7" i="12" l="1"/>
  <c r="E7" i="12" s="1"/>
  <c r="F7" i="12" s="1"/>
  <c r="G7" i="12" s="1"/>
  <c r="H7" i="12" s="1"/>
  <c r="I7" i="12" s="1"/>
  <c r="J7" i="12" s="1"/>
  <c r="K7" i="12" s="1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D6" i="12"/>
  <c r="E6" i="12" s="1"/>
  <c r="F6" i="12" s="1"/>
  <c r="G6" i="12" s="1"/>
  <c r="H6" i="12" s="1"/>
  <c r="I6" i="12" s="1"/>
  <c r="J6" i="12" s="1"/>
  <c r="K6" i="12" s="1"/>
  <c r="L6" i="12" s="1"/>
  <c r="M6" i="12" s="1"/>
  <c r="N6" i="12" s="1"/>
  <c r="O6" i="12" s="1"/>
  <c r="P6" i="12" s="1"/>
  <c r="Q6" i="12" s="1"/>
  <c r="R6" i="12" s="1"/>
  <c r="S6" i="12" s="1"/>
  <c r="T6" i="12" s="1"/>
  <c r="U6" i="12" s="1"/>
  <c r="V6" i="12" s="1"/>
  <c r="W6" i="12" s="1"/>
  <c r="X6" i="12" s="1"/>
  <c r="Y6" i="12" s="1"/>
  <c r="Z6" i="12" s="1"/>
  <c r="AA6" i="12" s="1"/>
  <c r="AB6" i="12" s="1"/>
  <c r="AC6" i="12" s="1"/>
  <c r="AD6" i="12" s="1"/>
  <c r="AE6" i="12" s="1"/>
  <c r="AF6" i="12" s="1"/>
  <c r="AG6" i="12" s="1"/>
  <c r="D5" i="12"/>
  <c r="E5" i="12" s="1"/>
  <c r="F5" i="12" s="1"/>
  <c r="G5" i="12" s="1"/>
  <c r="H5" i="12" s="1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D3" i="12"/>
  <c r="E3" i="12" s="1"/>
  <c r="F3" i="12" s="1"/>
  <c r="G3" i="12" s="1"/>
  <c r="H3" i="12" s="1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I51" i="1" l="1"/>
  <c r="H51" i="1"/>
  <c r="G51" i="1"/>
  <c r="M41" i="1"/>
  <c r="G41" i="1"/>
  <c r="F41" i="1"/>
  <c r="M40" i="1"/>
  <c r="G40" i="1"/>
  <c r="F40" i="1"/>
  <c r="M34" i="1"/>
  <c r="M33" i="1"/>
  <c r="AB20" i="1"/>
  <c r="AA20" i="1"/>
  <c r="Z20" i="1"/>
  <c r="Y20" i="1"/>
  <c r="X20" i="1"/>
  <c r="AB19" i="1"/>
  <c r="AA19" i="1"/>
  <c r="Z19" i="1"/>
  <c r="Y19" i="1"/>
  <c r="X19" i="1"/>
  <c r="AB12" i="1"/>
  <c r="AA12" i="1"/>
  <c r="Z12" i="1"/>
  <c r="Y12" i="1"/>
  <c r="X12" i="1"/>
  <c r="AB11" i="1"/>
  <c r="AA11" i="1"/>
  <c r="Z11" i="1"/>
  <c r="Y11" i="1"/>
  <c r="X11" i="1"/>
  <c r="Q11" i="1"/>
  <c r="P11" i="1"/>
  <c r="O11" i="1"/>
  <c r="N11" i="1"/>
  <c r="CX145" i="6"/>
  <c r="CX144" i="6"/>
  <c r="CX143" i="6"/>
  <c r="CX142" i="6"/>
  <c r="CX141" i="6"/>
  <c r="CX140" i="6"/>
  <c r="CX139" i="6"/>
  <c r="CX138" i="6"/>
  <c r="CX137" i="6"/>
  <c r="CX136" i="6"/>
  <c r="CX135" i="6"/>
  <c r="CX134" i="6"/>
  <c r="CX133" i="6"/>
  <c r="CX132" i="6"/>
  <c r="CX131" i="6"/>
  <c r="CX130" i="6"/>
  <c r="CX129" i="6"/>
  <c r="CX128" i="6"/>
  <c r="CX127" i="6"/>
  <c r="CX126" i="6"/>
  <c r="CX125" i="6"/>
  <c r="CX124" i="6"/>
  <c r="CX123" i="6"/>
  <c r="CX122" i="6"/>
  <c r="CX121" i="6"/>
  <c r="CX120" i="6"/>
  <c r="CX119" i="6"/>
  <c r="CX118" i="6"/>
  <c r="CX117" i="6"/>
  <c r="CX116" i="6"/>
  <c r="CX115" i="6"/>
  <c r="CX114" i="6"/>
  <c r="CX113" i="6"/>
  <c r="CX112" i="6"/>
  <c r="CX111" i="6"/>
  <c r="CX110" i="6"/>
  <c r="CX109" i="6"/>
  <c r="CX108" i="6"/>
  <c r="CX107" i="6"/>
  <c r="CX106" i="6"/>
  <c r="CX105" i="6"/>
  <c r="CX104" i="6"/>
  <c r="CX103" i="6"/>
  <c r="CX102" i="6"/>
  <c r="CX101" i="6"/>
  <c r="CX100" i="6"/>
  <c r="CX99" i="6"/>
  <c r="CX98" i="6"/>
  <c r="DB97" i="6"/>
  <c r="DA97" i="6"/>
  <c r="CZ97" i="6"/>
  <c r="CX97" i="6"/>
  <c r="DB96" i="6"/>
  <c r="DA96" i="6"/>
  <c r="CZ96" i="6"/>
  <c r="CX96" i="6"/>
  <c r="CX95" i="6"/>
  <c r="CX94" i="6"/>
  <c r="CI94" i="6"/>
  <c r="CX93" i="6"/>
  <c r="CX92" i="6"/>
  <c r="CX91" i="6"/>
  <c r="CX90" i="6"/>
  <c r="CX89" i="6"/>
  <c r="CX88" i="6"/>
  <c r="CX87" i="6"/>
  <c r="CI87" i="6"/>
  <c r="CX86" i="6"/>
  <c r="CX85" i="6"/>
  <c r="CX84" i="6"/>
  <c r="CI84" i="6"/>
  <c r="CX83" i="6"/>
  <c r="CX82" i="6"/>
  <c r="CX81" i="6"/>
  <c r="CX80" i="6"/>
  <c r="CX79" i="6"/>
  <c r="CX78" i="6"/>
  <c r="CX77" i="6"/>
  <c r="CI77" i="6"/>
  <c r="CX76" i="6"/>
  <c r="CX75" i="6"/>
  <c r="CX74" i="6"/>
  <c r="CX73" i="6"/>
  <c r="CI73" i="6"/>
  <c r="CX72" i="6"/>
  <c r="CX71" i="6"/>
  <c r="CX70" i="6"/>
  <c r="CX69" i="6"/>
  <c r="CX68" i="6"/>
  <c r="CI68" i="6"/>
  <c r="CX67" i="6"/>
  <c r="CX66" i="6"/>
  <c r="CX65" i="6"/>
  <c r="CM65" i="6"/>
  <c r="CX64" i="6"/>
  <c r="CM64" i="6"/>
  <c r="CI64" i="6"/>
  <c r="CX63" i="6"/>
  <c r="CM63" i="6"/>
  <c r="CX62" i="6"/>
  <c r="CM62" i="6"/>
  <c r="CX61" i="6"/>
  <c r="CM61" i="6"/>
  <c r="CX60" i="6"/>
  <c r="CM60" i="6"/>
  <c r="CX59" i="6"/>
  <c r="CM59" i="6"/>
  <c r="CX58" i="6"/>
  <c r="CM58" i="6"/>
  <c r="CI58" i="6"/>
  <c r="CX57" i="6"/>
  <c r="CM57" i="6"/>
  <c r="CX56" i="6"/>
  <c r="CM56" i="6"/>
  <c r="CX55" i="6"/>
  <c r="CM55" i="6"/>
  <c r="CX54" i="6"/>
  <c r="CM54" i="6"/>
  <c r="CX53" i="6"/>
  <c r="CX52" i="6"/>
  <c r="CX51" i="6"/>
  <c r="CX50" i="6"/>
  <c r="CX49" i="6"/>
  <c r="CX48" i="6"/>
  <c r="CX47" i="6"/>
  <c r="CX46" i="6"/>
  <c r="CX45" i="6"/>
  <c r="CX44" i="6"/>
  <c r="CX43" i="6"/>
  <c r="CX42" i="6"/>
  <c r="CX41" i="6"/>
  <c r="CX40" i="6"/>
  <c r="CX39" i="6"/>
  <c r="CX38" i="6"/>
  <c r="CI38" i="6"/>
  <c r="CE38" i="6"/>
  <c r="CX37" i="6"/>
  <c r="CE37" i="6"/>
  <c r="CX36" i="6"/>
  <c r="CE36" i="6"/>
  <c r="CX35" i="6"/>
  <c r="CE35" i="6"/>
  <c r="CX34" i="6"/>
  <c r="CI34" i="6"/>
  <c r="CE34" i="6"/>
  <c r="CX33" i="6"/>
  <c r="CI33" i="6"/>
  <c r="CX32" i="6"/>
  <c r="CX31" i="6"/>
  <c r="CI31" i="6"/>
  <c r="AG13" i="6" s="1"/>
  <c r="AT31" i="6"/>
  <c r="CX30" i="6"/>
  <c r="BZ30" i="6"/>
  <c r="CX29" i="6"/>
  <c r="CX28" i="6"/>
  <c r="CX27" i="6"/>
  <c r="CX26" i="6"/>
  <c r="CF26" i="6"/>
  <c r="CE26" i="6"/>
  <c r="BZ26" i="6"/>
  <c r="CX25" i="6"/>
  <c r="CI25" i="6"/>
  <c r="CP5" i="6" s="1"/>
  <c r="CQ5" i="6" s="1"/>
  <c r="D25" i="6"/>
  <c r="CX24" i="6"/>
  <c r="CI24" i="6"/>
  <c r="CX23" i="6"/>
  <c r="CF23" i="6"/>
  <c r="CE23" i="6"/>
  <c r="CX22" i="6"/>
  <c r="CQ22" i="6"/>
  <c r="CP22" i="6"/>
  <c r="CX21" i="6"/>
  <c r="CQ21" i="6"/>
  <c r="CP21" i="6"/>
  <c r="CX20" i="6"/>
  <c r="CI20" i="6"/>
  <c r="CE20" i="6"/>
  <c r="CX19" i="6"/>
  <c r="CE19" i="6"/>
  <c r="CX18" i="6"/>
  <c r="CI18" i="6"/>
  <c r="CE18" i="6"/>
  <c r="BP18" i="6"/>
  <c r="K18" i="6"/>
  <c r="E18" i="6"/>
  <c r="CX17" i="6"/>
  <c r="BP17" i="6"/>
  <c r="K17" i="6"/>
  <c r="CX16" i="6"/>
  <c r="AE16" i="6"/>
  <c r="CX15" i="6"/>
  <c r="CE15" i="6"/>
  <c r="CX14" i="6"/>
  <c r="BD14" i="6"/>
  <c r="K14" i="6"/>
  <c r="CX13" i="6"/>
  <c r="CQ13" i="6"/>
  <c r="CP13" i="6"/>
  <c r="CE13" i="6"/>
  <c r="K13" i="6"/>
  <c r="F13" i="6"/>
  <c r="CX12" i="6"/>
  <c r="CE12" i="6"/>
  <c r="K12" i="6"/>
  <c r="CX11" i="6"/>
  <c r="CE11" i="6"/>
  <c r="K11" i="6"/>
  <c r="CX10" i="6"/>
  <c r="BD10" i="6"/>
  <c r="AG10" i="6"/>
  <c r="K10" i="6"/>
  <c r="CX9" i="6"/>
  <c r="CI9" i="6"/>
  <c r="CX8" i="6"/>
  <c r="CJ8" i="6"/>
  <c r="CI8" i="6"/>
  <c r="BD8" i="6"/>
  <c r="CI6" i="6" s="1"/>
  <c r="DD101" i="6" s="1"/>
  <c r="D8" i="6"/>
  <c r="CX7" i="6"/>
  <c r="CI7" i="6"/>
  <c r="BD7" i="6"/>
  <c r="CI5" i="6" s="1"/>
  <c r="DF43" i="6" s="1"/>
  <c r="CX6" i="6"/>
  <c r="AJ6" i="6"/>
  <c r="AF6" i="6"/>
  <c r="CQ4" i="6"/>
  <c r="CP4" i="6"/>
  <c r="CI4" i="6"/>
  <c r="AI4" i="6"/>
  <c r="AI5" i="6" s="1"/>
  <c r="D4" i="6"/>
  <c r="CX145" i="5"/>
  <c r="CX144" i="5"/>
  <c r="CX143" i="5"/>
  <c r="CX142" i="5"/>
  <c r="CX141" i="5"/>
  <c r="CX140" i="5"/>
  <c r="CX139" i="5"/>
  <c r="CX138" i="5"/>
  <c r="CX137" i="5"/>
  <c r="CX136" i="5"/>
  <c r="CX135" i="5"/>
  <c r="CX134" i="5"/>
  <c r="CX133" i="5"/>
  <c r="CX132" i="5"/>
  <c r="CX131" i="5"/>
  <c r="CX130" i="5"/>
  <c r="CX129" i="5"/>
  <c r="CX128" i="5"/>
  <c r="CX127" i="5"/>
  <c r="CX126" i="5"/>
  <c r="CX125" i="5"/>
  <c r="CX124" i="5"/>
  <c r="CX123" i="5"/>
  <c r="CX122" i="5"/>
  <c r="CX121" i="5"/>
  <c r="CX120" i="5"/>
  <c r="CX119" i="5"/>
  <c r="CX118" i="5"/>
  <c r="CX117" i="5"/>
  <c r="CX116" i="5"/>
  <c r="CX115" i="5"/>
  <c r="CX114" i="5"/>
  <c r="CX113" i="5"/>
  <c r="CX112" i="5"/>
  <c r="CX111" i="5"/>
  <c r="CX110" i="5"/>
  <c r="CX109" i="5"/>
  <c r="CX108" i="5"/>
  <c r="CX107" i="5"/>
  <c r="CX106" i="5"/>
  <c r="CX105" i="5"/>
  <c r="CX104" i="5"/>
  <c r="CX103" i="5"/>
  <c r="CX102" i="5"/>
  <c r="CX101" i="5"/>
  <c r="CX100" i="5"/>
  <c r="CX99" i="5"/>
  <c r="CX98" i="5"/>
  <c r="DB97" i="5"/>
  <c r="DA97" i="5"/>
  <c r="CZ97" i="5"/>
  <c r="CX97" i="5"/>
  <c r="DB96" i="5"/>
  <c r="DA96" i="5"/>
  <c r="CZ96" i="5"/>
  <c r="CX96" i="5"/>
  <c r="CX95" i="5"/>
  <c r="CI95" i="5"/>
  <c r="CX94" i="5"/>
  <c r="CX93" i="5"/>
  <c r="CX92" i="5"/>
  <c r="CX91" i="5"/>
  <c r="CX90" i="5"/>
  <c r="CX89" i="5"/>
  <c r="CX88" i="5"/>
  <c r="CX87" i="5"/>
  <c r="CI87" i="5"/>
  <c r="CX86" i="5"/>
  <c r="CI86" i="5"/>
  <c r="CX85" i="5"/>
  <c r="CI85" i="5"/>
  <c r="CX84" i="5"/>
  <c r="CI84" i="5"/>
  <c r="CX83" i="5"/>
  <c r="CI83" i="5"/>
  <c r="CP15" i="5" s="1"/>
  <c r="CQ15" i="5" s="1"/>
  <c r="CX82" i="5"/>
  <c r="CX81" i="5"/>
  <c r="CX80" i="5"/>
  <c r="CX79" i="5"/>
  <c r="CX78" i="5"/>
  <c r="CX77" i="5"/>
  <c r="CI77" i="5"/>
  <c r="CX76" i="5"/>
  <c r="CX75" i="5"/>
  <c r="CX74" i="5"/>
  <c r="CX73" i="5"/>
  <c r="CI73" i="5"/>
  <c r="CX72" i="5"/>
  <c r="CX71" i="5"/>
  <c r="CX70" i="5"/>
  <c r="CX69" i="5"/>
  <c r="CX68" i="5"/>
  <c r="CI68" i="5"/>
  <c r="CX67" i="5"/>
  <c r="CX66" i="5"/>
  <c r="CX65" i="5"/>
  <c r="CM65" i="5"/>
  <c r="CX64" i="5"/>
  <c r="CM64" i="5"/>
  <c r="CI64" i="5"/>
  <c r="CX63" i="5"/>
  <c r="CM63" i="5"/>
  <c r="CX62" i="5"/>
  <c r="CM62" i="5"/>
  <c r="CX61" i="5"/>
  <c r="CM61" i="5"/>
  <c r="CX60" i="5"/>
  <c r="CM60" i="5"/>
  <c r="CX59" i="5"/>
  <c r="CM59" i="5"/>
  <c r="CX58" i="5"/>
  <c r="CM58" i="5"/>
  <c r="CI58" i="5"/>
  <c r="CX57" i="5"/>
  <c r="CM57" i="5"/>
  <c r="CX56" i="5"/>
  <c r="CM56" i="5"/>
  <c r="CX55" i="5"/>
  <c r="CM55" i="5"/>
  <c r="CX54" i="5"/>
  <c r="CP54" i="5"/>
  <c r="CQ30" i="5" s="1"/>
  <c r="AG12" i="5" s="1"/>
  <c r="CM54" i="5"/>
  <c r="CX53" i="5"/>
  <c r="CM53" i="5"/>
  <c r="CX52" i="5"/>
  <c r="CM52" i="5"/>
  <c r="CX51" i="5"/>
  <c r="CM51" i="5"/>
  <c r="CX50" i="5"/>
  <c r="CM50" i="5"/>
  <c r="CX49" i="5"/>
  <c r="CM49" i="5"/>
  <c r="CX48" i="5"/>
  <c r="CM48" i="5"/>
  <c r="CX47" i="5"/>
  <c r="CM47" i="5"/>
  <c r="CX46" i="5"/>
  <c r="CM46" i="5"/>
  <c r="CX45" i="5"/>
  <c r="CM45" i="5"/>
  <c r="CX44" i="5"/>
  <c r="CM44" i="5"/>
  <c r="CX43" i="5"/>
  <c r="CM43" i="5"/>
  <c r="CX42" i="5"/>
  <c r="CM42" i="5"/>
  <c r="CX41" i="5"/>
  <c r="CX40" i="5"/>
  <c r="CX39" i="5"/>
  <c r="CX38" i="5"/>
  <c r="CI38" i="5"/>
  <c r="CE38" i="5"/>
  <c r="CX37" i="5"/>
  <c r="CE37" i="5"/>
  <c r="CX36" i="5"/>
  <c r="CE36" i="5"/>
  <c r="CX35" i="5"/>
  <c r="CE35" i="5"/>
  <c r="CX34" i="5"/>
  <c r="CI34" i="5"/>
  <c r="CE34" i="5"/>
  <c r="CX33" i="5"/>
  <c r="CI33" i="5"/>
  <c r="CX32" i="5"/>
  <c r="AT32" i="5"/>
  <c r="CX31" i="5"/>
  <c r="CI31" i="5"/>
  <c r="AG16" i="5" s="1"/>
  <c r="CX30" i="5"/>
  <c r="BZ30" i="5"/>
  <c r="CX29" i="5"/>
  <c r="CX28" i="5"/>
  <c r="D28" i="5"/>
  <c r="CX27" i="5"/>
  <c r="CX26" i="5"/>
  <c r="CF26" i="5"/>
  <c r="CE26" i="5"/>
  <c r="BZ26" i="5"/>
  <c r="CX25" i="5"/>
  <c r="CI25" i="5"/>
  <c r="CP5" i="5" s="1"/>
  <c r="CQ5" i="5" s="1"/>
  <c r="CX24" i="5"/>
  <c r="CI24" i="5"/>
  <c r="BZ24" i="5"/>
  <c r="CX23" i="5"/>
  <c r="CF23" i="5"/>
  <c r="CE23" i="5"/>
  <c r="CX22" i="5"/>
  <c r="CQ22" i="5"/>
  <c r="CP22" i="5"/>
  <c r="CX21" i="5"/>
  <c r="CQ21" i="5"/>
  <c r="CP21" i="5"/>
  <c r="CX20" i="5"/>
  <c r="CI20" i="5"/>
  <c r="CE20" i="5"/>
  <c r="CX19" i="5"/>
  <c r="CE19" i="5"/>
  <c r="Y19" i="5"/>
  <c r="CX18" i="5"/>
  <c r="CI18" i="5"/>
  <c r="CE18" i="5"/>
  <c r="BP18" i="5"/>
  <c r="K18" i="5"/>
  <c r="E18" i="5"/>
  <c r="CX17" i="5"/>
  <c r="BP17" i="5"/>
  <c r="K17" i="5"/>
  <c r="CX16" i="5"/>
  <c r="CQ16" i="5"/>
  <c r="CP16" i="5"/>
  <c r="CX15" i="5"/>
  <c r="CE15" i="5"/>
  <c r="CX14" i="5"/>
  <c r="CE14" i="5"/>
  <c r="BD14" i="5"/>
  <c r="K14" i="5"/>
  <c r="CX13" i="5"/>
  <c r="CP13" i="5"/>
  <c r="CQ13" i="5" s="1"/>
  <c r="CE13" i="5"/>
  <c r="AG13" i="5"/>
  <c r="K13" i="5"/>
  <c r="F13" i="5"/>
  <c r="CX12" i="5"/>
  <c r="CE12" i="5"/>
  <c r="K12" i="5"/>
  <c r="CX11" i="5"/>
  <c r="CE11" i="5"/>
  <c r="K11" i="5"/>
  <c r="CX10" i="5"/>
  <c r="BD10" i="5"/>
  <c r="AG10" i="5"/>
  <c r="K10" i="5"/>
  <c r="CX9" i="5"/>
  <c r="CI9" i="5"/>
  <c r="CX8" i="5"/>
  <c r="CJ8" i="5"/>
  <c r="CI8" i="5" s="1"/>
  <c r="BD8" i="5"/>
  <c r="CI6" i="5" s="1"/>
  <c r="D8" i="5"/>
  <c r="CX7" i="5"/>
  <c r="CI7" i="5"/>
  <c r="BD7" i="5"/>
  <c r="CI5" i="5" s="1"/>
  <c r="DF143" i="5" s="1"/>
  <c r="AJ7" i="5"/>
  <c r="AF7" i="5"/>
  <c r="CX6" i="5"/>
  <c r="AI5" i="5"/>
  <c r="AI6" i="5" s="1"/>
  <c r="D5" i="5"/>
  <c r="CQ4" i="5"/>
  <c r="CP4" i="5"/>
  <c r="CI4" i="5"/>
  <c r="CX145" i="4"/>
  <c r="CX144" i="4"/>
  <c r="CX143" i="4"/>
  <c r="CX142" i="4"/>
  <c r="CX141" i="4"/>
  <c r="CX140" i="4"/>
  <c r="CX139" i="4"/>
  <c r="CX138" i="4"/>
  <c r="CX137" i="4"/>
  <c r="CX136" i="4"/>
  <c r="CX135" i="4"/>
  <c r="CX134" i="4"/>
  <c r="CX133" i="4"/>
  <c r="CX132" i="4"/>
  <c r="CX131" i="4"/>
  <c r="CX130" i="4"/>
  <c r="CX129" i="4"/>
  <c r="CX128" i="4"/>
  <c r="CX127" i="4"/>
  <c r="CX126" i="4"/>
  <c r="CX125" i="4"/>
  <c r="CX124" i="4"/>
  <c r="CX123" i="4"/>
  <c r="CX122" i="4"/>
  <c r="CX121" i="4"/>
  <c r="CX120" i="4"/>
  <c r="CX119" i="4"/>
  <c r="CX118" i="4"/>
  <c r="CX117" i="4"/>
  <c r="CX116" i="4"/>
  <c r="CX115" i="4"/>
  <c r="CX114" i="4"/>
  <c r="CX113" i="4"/>
  <c r="CX112" i="4"/>
  <c r="CX111" i="4"/>
  <c r="CX110" i="4"/>
  <c r="CX109" i="4"/>
  <c r="CX108" i="4"/>
  <c r="CX107" i="4"/>
  <c r="CX106" i="4"/>
  <c r="CX105" i="4"/>
  <c r="CX104" i="4"/>
  <c r="CX103" i="4"/>
  <c r="CX102" i="4"/>
  <c r="CX101" i="4"/>
  <c r="CX100" i="4"/>
  <c r="CX99" i="4"/>
  <c r="CX98" i="4"/>
  <c r="CX97" i="4"/>
  <c r="CX96" i="4"/>
  <c r="CX95" i="4"/>
  <c r="CX94" i="4"/>
  <c r="CX93" i="4"/>
  <c r="CX92" i="4"/>
  <c r="CX91" i="4"/>
  <c r="CX90" i="4"/>
  <c r="CX89" i="4"/>
  <c r="CI90" i="4"/>
  <c r="CX88" i="4"/>
  <c r="CX87" i="4"/>
  <c r="CI88" i="4"/>
  <c r="CX86" i="4"/>
  <c r="CI87" i="4"/>
  <c r="CQ33" i="4" s="1"/>
  <c r="AG13" i="4" s="1"/>
  <c r="CX85" i="4"/>
  <c r="CI86" i="4"/>
  <c r="CX84" i="4"/>
  <c r="CI85" i="4"/>
  <c r="CP13" i="4" s="1"/>
  <c r="CQ13" i="4" s="1"/>
  <c r="CX83" i="4"/>
  <c r="CI84" i="4"/>
  <c r="CP15" i="4" s="1"/>
  <c r="CQ15" i="4" s="1"/>
  <c r="CX82" i="4"/>
  <c r="CX81" i="4"/>
  <c r="CX80" i="4"/>
  <c r="CX79" i="4"/>
  <c r="CX78" i="4"/>
  <c r="CX77" i="4"/>
  <c r="CI78" i="4"/>
  <c r="CX76" i="4"/>
  <c r="CX75" i="4"/>
  <c r="CX74" i="4"/>
  <c r="CX73" i="4"/>
  <c r="CI74" i="4"/>
  <c r="CX72" i="4"/>
  <c r="CX71" i="4"/>
  <c r="CX70" i="4"/>
  <c r="CX69" i="4"/>
  <c r="CX68" i="4"/>
  <c r="CI69" i="4"/>
  <c r="CX67" i="4"/>
  <c r="CX66" i="4"/>
  <c r="CX65" i="4"/>
  <c r="CS65" i="4"/>
  <c r="CS72" i="4" s="1"/>
  <c r="CX64" i="4"/>
  <c r="CI65" i="4"/>
  <c r="CX63" i="4"/>
  <c r="CX62" i="4"/>
  <c r="CX61" i="4"/>
  <c r="CX60" i="4"/>
  <c r="CX59" i="4"/>
  <c r="CX58" i="4"/>
  <c r="CX57" i="4"/>
  <c r="CX56" i="4"/>
  <c r="CX55" i="4"/>
  <c r="CX54" i="4"/>
  <c r="CP54" i="4"/>
  <c r="CQ30" i="4" s="1"/>
  <c r="AG12" i="4" s="1"/>
  <c r="CX53" i="4"/>
  <c r="CX52" i="4"/>
  <c r="CX51" i="4"/>
  <c r="CX50" i="4"/>
  <c r="CX49" i="4"/>
  <c r="CX48" i="4"/>
  <c r="CX47" i="4"/>
  <c r="CX46" i="4"/>
  <c r="CX45" i="4"/>
  <c r="CX44" i="4"/>
  <c r="CX43" i="4"/>
  <c r="CX42" i="4"/>
  <c r="CX41" i="4"/>
  <c r="CI41" i="4"/>
  <c r="CX40" i="4"/>
  <c r="CE40" i="4"/>
  <c r="CX39" i="4"/>
  <c r="CX38" i="4"/>
  <c r="CE38" i="4"/>
  <c r="AT39" i="4"/>
  <c r="CX37" i="4"/>
  <c r="CE37" i="4"/>
  <c r="CX36" i="4"/>
  <c r="CX35" i="4"/>
  <c r="CE35" i="4"/>
  <c r="CX34" i="4"/>
  <c r="CX33" i="4"/>
  <c r="CE33" i="4"/>
  <c r="BZ33" i="4"/>
  <c r="CJ25" i="4" s="1"/>
  <c r="CI25" i="4" s="1"/>
  <c r="CP5" i="4" s="1"/>
  <c r="CQ5" i="4" s="1"/>
  <c r="CX32" i="4"/>
  <c r="CX31" i="4"/>
  <c r="CX30" i="4"/>
  <c r="CE30" i="4"/>
  <c r="CX29" i="4"/>
  <c r="CX28" i="4"/>
  <c r="CX27" i="4"/>
  <c r="CX26" i="4"/>
  <c r="CI26" i="4"/>
  <c r="AJ18" i="4" s="1"/>
  <c r="CE26" i="4"/>
  <c r="CF26" i="4" s="1"/>
  <c r="CX25" i="4"/>
  <c r="CX24" i="4"/>
  <c r="CI24" i="4"/>
  <c r="CE24" i="4"/>
  <c r="CF24" i="4" s="1"/>
  <c r="CX23" i="4"/>
  <c r="CE23" i="4"/>
  <c r="CF23" i="4" s="1"/>
  <c r="CX22" i="4"/>
  <c r="CX21" i="4"/>
  <c r="CP21" i="4"/>
  <c r="CQ21" i="4" s="1"/>
  <c r="CX20" i="4"/>
  <c r="CI20" i="4"/>
  <c r="CE20" i="4"/>
  <c r="CX19" i="4"/>
  <c r="CE19" i="4"/>
  <c r="AG19" i="4"/>
  <c r="AA19" i="4"/>
  <c r="CX18" i="4"/>
  <c r="CE18" i="4"/>
  <c r="BP18" i="4"/>
  <c r="AZ18" i="4"/>
  <c r="K18" i="4"/>
  <c r="E18" i="4"/>
  <c r="CX17" i="4"/>
  <c r="BP17" i="4"/>
  <c r="AZ17" i="4"/>
  <c r="K17" i="4"/>
  <c r="CX16" i="4"/>
  <c r="CQ16" i="4"/>
  <c r="CT16" i="4" s="1"/>
  <c r="CP16" i="4"/>
  <c r="AZ16" i="4"/>
  <c r="CX15" i="4"/>
  <c r="CE15" i="4"/>
  <c r="AG15" i="4"/>
  <c r="R4" i="3" s="1"/>
  <c r="CX14" i="4"/>
  <c r="CE14" i="4"/>
  <c r="CX13" i="4"/>
  <c r="CE13" i="4"/>
  <c r="K12" i="4" s="1"/>
  <c r="AA13" i="4"/>
  <c r="K13" i="4"/>
  <c r="F13" i="4"/>
  <c r="CX12" i="4"/>
  <c r="CQ12" i="4"/>
  <c r="CS12" i="4" s="1"/>
  <c r="CE12" i="4"/>
  <c r="CX11" i="4"/>
  <c r="CE11" i="4"/>
  <c r="K11" i="4"/>
  <c r="CX10" i="4"/>
  <c r="BD10" i="4"/>
  <c r="K10" i="4" s="1"/>
  <c r="CX9" i="4"/>
  <c r="CX8" i="4"/>
  <c r="CJ8" i="4"/>
  <c r="CI8" i="4" s="1"/>
  <c r="BD8" i="4"/>
  <c r="CI6" i="4" s="1"/>
  <c r="D8" i="4"/>
  <c r="CX7" i="4"/>
  <c r="CI7" i="4"/>
  <c r="BD7" i="4"/>
  <c r="CI5" i="4" s="1"/>
  <c r="DF70" i="4" s="1"/>
  <c r="AJ7" i="4"/>
  <c r="AF7" i="4"/>
  <c r="CX6" i="4"/>
  <c r="AI5" i="4"/>
  <c r="AI6" i="4" s="1"/>
  <c r="D5" i="4"/>
  <c r="CI4" i="4"/>
  <c r="CP19" i="4" l="1"/>
  <c r="CQ19" i="4" s="1"/>
  <c r="CS19" i="4" s="1"/>
  <c r="CT21" i="4"/>
  <c r="CS21" i="4"/>
  <c r="CS33" i="4"/>
  <c r="CT33" i="4"/>
  <c r="CS16" i="4"/>
  <c r="CS22" i="4"/>
  <c r="CP61" i="4"/>
  <c r="CQ61" i="4" s="1"/>
  <c r="CR61" i="4" s="1"/>
  <c r="CQ59" i="4"/>
  <c r="CR59" i="4" s="1"/>
  <c r="CR60" i="4"/>
  <c r="CP4" i="4"/>
  <c r="CQ4" i="4" s="1"/>
  <c r="CT4" i="4" s="1"/>
  <c r="AG9" i="4"/>
  <c r="CI36" i="4"/>
  <c r="BK28" i="4" s="1"/>
  <c r="BD14" i="4"/>
  <c r="CI9" i="4" s="1"/>
  <c r="CI29" i="4" s="1"/>
  <c r="CI30" i="4" s="1"/>
  <c r="CT13" i="4"/>
  <c r="CS13" i="4"/>
  <c r="CT5" i="4"/>
  <c r="CS5" i="4"/>
  <c r="DF114" i="4"/>
  <c r="DF123" i="4"/>
  <c r="CS30" i="4"/>
  <c r="CT30" i="4"/>
  <c r="DF72" i="4"/>
  <c r="DF141" i="5"/>
  <c r="DF8" i="4"/>
  <c r="DD88" i="5"/>
  <c r="DD76" i="5"/>
  <c r="DF76" i="5" s="1"/>
  <c r="DD13" i="5"/>
  <c r="DD10" i="5"/>
  <c r="DD82" i="5"/>
  <c r="DD89" i="5"/>
  <c r="DD44" i="5"/>
  <c r="DD31" i="5"/>
  <c r="DD85" i="5"/>
  <c r="DD34" i="5"/>
  <c r="DD6" i="5"/>
  <c r="DF6" i="5" s="1"/>
  <c r="K9" i="5"/>
  <c r="DD51" i="5"/>
  <c r="DD15" i="6"/>
  <c r="CT12" i="4"/>
  <c r="DF80" i="6"/>
  <c r="DF97" i="5"/>
  <c r="DD73" i="6"/>
  <c r="DF120" i="6"/>
  <c r="DF57" i="5"/>
  <c r="BZ31" i="5"/>
  <c r="DF145" i="4"/>
  <c r="DF81" i="5"/>
  <c r="DF112" i="5"/>
  <c r="DD7" i="6"/>
  <c r="DF10" i="6"/>
  <c r="DD67" i="6"/>
  <c r="DD21" i="6"/>
  <c r="DF95" i="6"/>
  <c r="DD62" i="6"/>
  <c r="DF28" i="5"/>
  <c r="DF25" i="4"/>
  <c r="DF23" i="5"/>
  <c r="DF41" i="5"/>
  <c r="DF44" i="5"/>
  <c r="DF54" i="5"/>
  <c r="DF72" i="5"/>
  <c r="DF85" i="5"/>
  <c r="DD119" i="5"/>
  <c r="DD126" i="5"/>
  <c r="DF126" i="5" s="1"/>
  <c r="DF87" i="6"/>
  <c r="DF125" i="4"/>
  <c r="DF15" i="5"/>
  <c r="DF37" i="5"/>
  <c r="DF68" i="5"/>
  <c r="DD90" i="5"/>
  <c r="DD95" i="5"/>
  <c r="DF107" i="5"/>
  <c r="DD113" i="5"/>
  <c r="DF142" i="5"/>
  <c r="DF8" i="5"/>
  <c r="DD17" i="5"/>
  <c r="DD21" i="5"/>
  <c r="CP42" i="5"/>
  <c r="CP43" i="5" s="1"/>
  <c r="DF48" i="5"/>
  <c r="DF51" i="5"/>
  <c r="DF82" i="5"/>
  <c r="DD120" i="5"/>
  <c r="DD124" i="6"/>
  <c r="DD120" i="6"/>
  <c r="DD95" i="6"/>
  <c r="DD80" i="6"/>
  <c r="DD77" i="6"/>
  <c r="DD63" i="6"/>
  <c r="DD56" i="6"/>
  <c r="DF56" i="6" s="1"/>
  <c r="DD20" i="6"/>
  <c r="DD143" i="6"/>
  <c r="DD139" i="6"/>
  <c r="DD116" i="6"/>
  <c r="DF116" i="6" s="1"/>
  <c r="DD112" i="6"/>
  <c r="DD108" i="6"/>
  <c r="DD74" i="6"/>
  <c r="DD71" i="6"/>
  <c r="DD68" i="6"/>
  <c r="DD58" i="6"/>
  <c r="DD53" i="6"/>
  <c r="DD50" i="6"/>
  <c r="DD47" i="6"/>
  <c r="DD25" i="6"/>
  <c r="DD18" i="6"/>
  <c r="DD8" i="6"/>
  <c r="DD135" i="6"/>
  <c r="DD131" i="6"/>
  <c r="DD127" i="6"/>
  <c r="DD104" i="6"/>
  <c r="DD100" i="6"/>
  <c r="DD91" i="6"/>
  <c r="DD88" i="6"/>
  <c r="DD85" i="6"/>
  <c r="DD65" i="6"/>
  <c r="DD44" i="6"/>
  <c r="DD41" i="6"/>
  <c r="DD38" i="6"/>
  <c r="DD32" i="6"/>
  <c r="DD123" i="6"/>
  <c r="DD119" i="6"/>
  <c r="DD94" i="6"/>
  <c r="DD60" i="6"/>
  <c r="DD36" i="6"/>
  <c r="DF36" i="6" s="1"/>
  <c r="DD34" i="6"/>
  <c r="DD23" i="6"/>
  <c r="DD14" i="6"/>
  <c r="DD142" i="6"/>
  <c r="DD138" i="6"/>
  <c r="DD115" i="6"/>
  <c r="DD111" i="6"/>
  <c r="DD107" i="6"/>
  <c r="DD82" i="6"/>
  <c r="DD79" i="6"/>
  <c r="DD30" i="6"/>
  <c r="DD28" i="6"/>
  <c r="DD9" i="6"/>
  <c r="DD134" i="6"/>
  <c r="DD130" i="6"/>
  <c r="DD103" i="6"/>
  <c r="DD99" i="6"/>
  <c r="DD126" i="6"/>
  <c r="DF126" i="6" s="1"/>
  <c r="DD122" i="6"/>
  <c r="DD118" i="6"/>
  <c r="DD96" i="6"/>
  <c r="DF96" i="6" s="1"/>
  <c r="DD90" i="6"/>
  <c r="DD87" i="6"/>
  <c r="DD84" i="6"/>
  <c r="DD57" i="6"/>
  <c r="DD46" i="6"/>
  <c r="DF46" i="6" s="1"/>
  <c r="DD43" i="6"/>
  <c r="DD40" i="6"/>
  <c r="DD19" i="6"/>
  <c r="DD10" i="6"/>
  <c r="DD6" i="6"/>
  <c r="DF6" i="6" s="1"/>
  <c r="DD145" i="6"/>
  <c r="DD141" i="6"/>
  <c r="DD137" i="6"/>
  <c r="DD114" i="6"/>
  <c r="DD110" i="6"/>
  <c r="DD93" i="6"/>
  <c r="DD64" i="6"/>
  <c r="DD133" i="6"/>
  <c r="DD129" i="6"/>
  <c r="DD106" i="6"/>
  <c r="DF106" i="6" s="1"/>
  <c r="DD102" i="6"/>
  <c r="DD98" i="6"/>
  <c r="DD81" i="6"/>
  <c r="DD78" i="6"/>
  <c r="DD59" i="6"/>
  <c r="DD37" i="6"/>
  <c r="DD31" i="6"/>
  <c r="DD24" i="6"/>
  <c r="DD16" i="6"/>
  <c r="DF16" i="6" s="1"/>
  <c r="DD11" i="6"/>
  <c r="DD125" i="6"/>
  <c r="DD121" i="6"/>
  <c r="DD117" i="6"/>
  <c r="DD75" i="6"/>
  <c r="DD72" i="6"/>
  <c r="DD69" i="6"/>
  <c r="DD54" i="6"/>
  <c r="DD51" i="6"/>
  <c r="DD48" i="6"/>
  <c r="DD35" i="6"/>
  <c r="DD33" i="6"/>
  <c r="DD144" i="6"/>
  <c r="DD140" i="6"/>
  <c r="DD113" i="6"/>
  <c r="DD109" i="6"/>
  <c r="DD92" i="6"/>
  <c r="DD89" i="6"/>
  <c r="DD66" i="6"/>
  <c r="DF66" i="6" s="1"/>
  <c r="DD61" i="6"/>
  <c r="DD45" i="6"/>
  <c r="DD42" i="6"/>
  <c r="DD39" i="6"/>
  <c r="DD29" i="6"/>
  <c r="DD27" i="6"/>
  <c r="DD22" i="6"/>
  <c r="DD17" i="6"/>
  <c r="DD12" i="6"/>
  <c r="DF63" i="6"/>
  <c r="DD132" i="6"/>
  <c r="CI12" i="4"/>
  <c r="CI13" i="4" s="1"/>
  <c r="CI12" i="5"/>
  <c r="DF74" i="4"/>
  <c r="DD26" i="5"/>
  <c r="DF26" i="5" s="1"/>
  <c r="DD29" i="5"/>
  <c r="DD55" i="5"/>
  <c r="DF58" i="5"/>
  <c r="DD73" i="5"/>
  <c r="DD77" i="5"/>
  <c r="DD91" i="5"/>
  <c r="DF108" i="5"/>
  <c r="DF114" i="5"/>
  <c r="DF128" i="5"/>
  <c r="DF137" i="5"/>
  <c r="DD83" i="6"/>
  <c r="DF133" i="5"/>
  <c r="DF129" i="5"/>
  <c r="DF102" i="5"/>
  <c r="DF98" i="5"/>
  <c r="DF61" i="5"/>
  <c r="DF49" i="5"/>
  <c r="DF42" i="5"/>
  <c r="DF35" i="5"/>
  <c r="DF33" i="5"/>
  <c r="DF24" i="5"/>
  <c r="DF125" i="5"/>
  <c r="DF121" i="5"/>
  <c r="DF117" i="5"/>
  <c r="DF39" i="5"/>
  <c r="DF31" i="5"/>
  <c r="DF10" i="5"/>
  <c r="DF144" i="5"/>
  <c r="DF140" i="5"/>
  <c r="DF113" i="5"/>
  <c r="DF109" i="5"/>
  <c r="DF92" i="5"/>
  <c r="DF89" i="5"/>
  <c r="DF77" i="5"/>
  <c r="DF124" i="5"/>
  <c r="DF120" i="5"/>
  <c r="DF95" i="5"/>
  <c r="DF65" i="5"/>
  <c r="DF53" i="5"/>
  <c r="DF17" i="5"/>
  <c r="DF135" i="5"/>
  <c r="DF131" i="5"/>
  <c r="DF127" i="5"/>
  <c r="DF104" i="5"/>
  <c r="DF100" i="5"/>
  <c r="DF91" i="5"/>
  <c r="DF88" i="5"/>
  <c r="DF79" i="5"/>
  <c r="DF34" i="5"/>
  <c r="DF25" i="5"/>
  <c r="DF13" i="5"/>
  <c r="DF7" i="5"/>
  <c r="DF123" i="5"/>
  <c r="DF119" i="5"/>
  <c r="DF134" i="5"/>
  <c r="DF130" i="5"/>
  <c r="DF103" i="5"/>
  <c r="DF99" i="5"/>
  <c r="DF64" i="5"/>
  <c r="DF52" i="5"/>
  <c r="DF45" i="5"/>
  <c r="DF40" i="5"/>
  <c r="DF14" i="5"/>
  <c r="DF122" i="5"/>
  <c r="DF118" i="5"/>
  <c r="DF90" i="5"/>
  <c r="DF87" i="5"/>
  <c r="DF78" i="5"/>
  <c r="DF59" i="5"/>
  <c r="DF47" i="5"/>
  <c r="DF21" i="5"/>
  <c r="DF12" i="5"/>
  <c r="DF19" i="5"/>
  <c r="DF29" i="5"/>
  <c r="DF55" i="5"/>
  <c r="DD62" i="5"/>
  <c r="DD65" i="5"/>
  <c r="DF69" i="5"/>
  <c r="DF73" i="5"/>
  <c r="DF101" i="5"/>
  <c r="DF40" i="6"/>
  <c r="DD55" i="6"/>
  <c r="DD76" i="6"/>
  <c r="DF76" i="6" s="1"/>
  <c r="DF90" i="6"/>
  <c r="DF124" i="6"/>
  <c r="DF13" i="4"/>
  <c r="DF45" i="4"/>
  <c r="DF61" i="4"/>
  <c r="DF68" i="4"/>
  <c r="DF92" i="4"/>
  <c r="DF62" i="5"/>
  <c r="DD78" i="5"/>
  <c r="DF83" i="5"/>
  <c r="DD109" i="5"/>
  <c r="DF115" i="5"/>
  <c r="DD122" i="5"/>
  <c r="DF138" i="5"/>
  <c r="DD144" i="5"/>
  <c r="DF19" i="6"/>
  <c r="DD49" i="6"/>
  <c r="DD70" i="6"/>
  <c r="DF32" i="5"/>
  <c r="DF38" i="5"/>
  <c r="DD43" i="5"/>
  <c r="DD46" i="5"/>
  <c r="DF46" i="5" s="1"/>
  <c r="DD70" i="5"/>
  <c r="DF74" i="5"/>
  <c r="DD87" i="5"/>
  <c r="DD92" i="5"/>
  <c r="DD96" i="5"/>
  <c r="DF96" i="5" s="1"/>
  <c r="DD13" i="6"/>
  <c r="DF84" i="6"/>
  <c r="DD105" i="6"/>
  <c r="DF119" i="4"/>
  <c r="DF121" i="4"/>
  <c r="DD7" i="5"/>
  <c r="DD16" i="5"/>
  <c r="DF16" i="5" s="1"/>
  <c r="DF22" i="5"/>
  <c r="DF27" i="5"/>
  <c r="DD36" i="5"/>
  <c r="DF36" i="5" s="1"/>
  <c r="DF43" i="5"/>
  <c r="DD56" i="5"/>
  <c r="DF56" i="5" s="1"/>
  <c r="DD59" i="5"/>
  <c r="DF70" i="5"/>
  <c r="DD79" i="5"/>
  <c r="DF110" i="5"/>
  <c r="DD123" i="5"/>
  <c r="DF139" i="5"/>
  <c r="DF145" i="5"/>
  <c r="K9" i="6"/>
  <c r="DF77" i="6"/>
  <c r="DD136" i="6"/>
  <c r="DF136" i="6" s="1"/>
  <c r="DF63" i="4"/>
  <c r="DF9" i="5"/>
  <c r="DF30" i="5"/>
  <c r="DD39" i="5"/>
  <c r="DD50" i="5"/>
  <c r="DD53" i="5"/>
  <c r="DD63" i="5"/>
  <c r="DF84" i="5"/>
  <c r="DF93" i="5"/>
  <c r="DF132" i="5"/>
  <c r="DD26" i="6"/>
  <c r="DF26" i="6" s="1"/>
  <c r="DD97" i="6"/>
  <c r="DF144" i="4"/>
  <c r="DF141" i="4"/>
  <c r="DF94" i="4"/>
  <c r="DF79" i="4"/>
  <c r="DF110" i="4"/>
  <c r="DF90" i="4"/>
  <c r="DF55" i="4"/>
  <c r="DF11" i="4"/>
  <c r="DF35" i="4"/>
  <c r="DD145" i="5"/>
  <c r="DD141" i="5"/>
  <c r="DD137" i="5"/>
  <c r="DD114" i="5"/>
  <c r="DD110" i="5"/>
  <c r="DD93" i="5"/>
  <c r="DD84" i="5"/>
  <c r="DD81" i="5"/>
  <c r="DD75" i="5"/>
  <c r="DD72" i="5"/>
  <c r="DD69" i="5"/>
  <c r="DD54" i="5"/>
  <c r="DD37" i="5"/>
  <c r="DD19" i="5"/>
  <c r="DD15" i="5"/>
  <c r="DD9" i="5"/>
  <c r="DD133" i="5"/>
  <c r="DD129" i="5"/>
  <c r="DD106" i="5"/>
  <c r="DF106" i="5" s="1"/>
  <c r="DD102" i="5"/>
  <c r="DD98" i="5"/>
  <c r="DD66" i="5"/>
  <c r="DF66" i="5" s="1"/>
  <c r="DD61" i="5"/>
  <c r="DD49" i="5"/>
  <c r="DD42" i="5"/>
  <c r="DD35" i="5"/>
  <c r="DD33" i="5"/>
  <c r="DD24" i="5"/>
  <c r="DD125" i="5"/>
  <c r="DD121" i="5"/>
  <c r="DD117" i="5"/>
  <c r="DD136" i="5"/>
  <c r="DF136" i="5" s="1"/>
  <c r="DD132" i="5"/>
  <c r="DD128" i="5"/>
  <c r="DD105" i="5"/>
  <c r="DD101" i="5"/>
  <c r="DD97" i="5"/>
  <c r="DD86" i="5"/>
  <c r="DF86" i="5" s="1"/>
  <c r="DD83" i="5"/>
  <c r="DD80" i="5"/>
  <c r="DD74" i="5"/>
  <c r="DD71" i="5"/>
  <c r="DD68" i="5"/>
  <c r="DD58" i="5"/>
  <c r="DD27" i="5"/>
  <c r="DD22" i="5"/>
  <c r="DD11" i="5"/>
  <c r="DD143" i="5"/>
  <c r="DD139" i="5"/>
  <c r="DD116" i="5"/>
  <c r="DF116" i="5" s="1"/>
  <c r="DD112" i="5"/>
  <c r="DD108" i="5"/>
  <c r="DD60" i="5"/>
  <c r="DD48" i="5"/>
  <c r="DD41" i="5"/>
  <c r="DD38" i="5"/>
  <c r="DD32" i="5"/>
  <c r="DD20" i="5"/>
  <c r="DD12" i="5"/>
  <c r="DD135" i="5"/>
  <c r="DD131" i="5"/>
  <c r="DD127" i="5"/>
  <c r="DD104" i="5"/>
  <c r="DD100" i="5"/>
  <c r="DD142" i="5"/>
  <c r="DD138" i="5"/>
  <c r="DD115" i="5"/>
  <c r="DD111" i="5"/>
  <c r="DD107" i="5"/>
  <c r="DD94" i="5"/>
  <c r="DD57" i="5"/>
  <c r="DD30" i="5"/>
  <c r="DD28" i="5"/>
  <c r="DD23" i="5"/>
  <c r="DD8" i="5"/>
  <c r="DD134" i="5"/>
  <c r="DD130" i="5"/>
  <c r="DD103" i="5"/>
  <c r="DD99" i="5"/>
  <c r="DD64" i="5"/>
  <c r="DD52" i="5"/>
  <c r="DD45" i="5"/>
  <c r="DD40" i="5"/>
  <c r="DD14" i="5"/>
  <c r="DD18" i="5"/>
  <c r="DF20" i="5"/>
  <c r="DD25" i="5"/>
  <c r="DF50" i="5"/>
  <c r="DF63" i="5"/>
  <c r="DD67" i="5"/>
  <c r="DF71" i="5"/>
  <c r="DF75" i="5"/>
  <c r="DF80" i="5"/>
  <c r="DF105" i="5"/>
  <c r="DF111" i="5"/>
  <c r="DD124" i="5"/>
  <c r="DD140" i="5"/>
  <c r="DF143" i="6"/>
  <c r="DF139" i="6"/>
  <c r="DF112" i="6"/>
  <c r="DF108" i="6"/>
  <c r="DF74" i="6"/>
  <c r="DF71" i="6"/>
  <c r="DF68" i="6"/>
  <c r="DF58" i="6"/>
  <c r="DF53" i="6"/>
  <c r="DF50" i="6"/>
  <c r="DF47" i="6"/>
  <c r="DF25" i="6"/>
  <c r="DF18" i="6"/>
  <c r="DF8" i="6"/>
  <c r="DF135" i="6"/>
  <c r="DF131" i="6"/>
  <c r="DF127" i="6"/>
  <c r="DF104" i="6"/>
  <c r="DF100" i="6"/>
  <c r="DF91" i="6"/>
  <c r="DF88" i="6"/>
  <c r="DF85" i="6"/>
  <c r="DF65" i="6"/>
  <c r="DF44" i="6"/>
  <c r="DF41" i="6"/>
  <c r="DF38" i="6"/>
  <c r="DF32" i="6"/>
  <c r="DF123" i="6"/>
  <c r="DF119" i="6"/>
  <c r="DF94" i="6"/>
  <c r="DF60" i="6"/>
  <c r="DF34" i="6"/>
  <c r="DF23" i="6"/>
  <c r="DF14" i="6"/>
  <c r="DF142" i="6"/>
  <c r="DF138" i="6"/>
  <c r="DF115" i="6"/>
  <c r="DF111" i="6"/>
  <c r="DF107" i="6"/>
  <c r="DF82" i="6"/>
  <c r="DF79" i="6"/>
  <c r="DF30" i="6"/>
  <c r="DF28" i="6"/>
  <c r="CI12" i="6"/>
  <c r="CI13" i="6" s="1"/>
  <c r="CI14" i="6" s="1"/>
  <c r="CI15" i="6" s="1"/>
  <c r="CI17" i="6" s="1"/>
  <c r="DF9" i="6"/>
  <c r="DF134" i="6"/>
  <c r="DF130" i="6"/>
  <c r="DF103" i="6"/>
  <c r="DF99" i="6"/>
  <c r="DF73" i="6"/>
  <c r="DF70" i="6"/>
  <c r="DF67" i="6"/>
  <c r="DF62" i="6"/>
  <c r="DF55" i="6"/>
  <c r="DF52" i="6"/>
  <c r="DF49" i="6"/>
  <c r="DF21" i="6"/>
  <c r="DF15" i="6"/>
  <c r="DF122" i="6"/>
  <c r="DF118" i="6"/>
  <c r="DF145" i="6"/>
  <c r="DF141" i="6"/>
  <c r="DF137" i="6"/>
  <c r="DF114" i="6"/>
  <c r="DF110" i="6"/>
  <c r="DF93" i="6"/>
  <c r="DF64" i="6"/>
  <c r="DF133" i="6"/>
  <c r="DF129" i="6"/>
  <c r="DF102" i="6"/>
  <c r="DF98" i="6"/>
  <c r="DF81" i="6"/>
  <c r="DF78" i="6"/>
  <c r="DF59" i="6"/>
  <c r="DF37" i="6"/>
  <c r="DF31" i="6"/>
  <c r="DF24" i="6"/>
  <c r="DF11" i="6"/>
  <c r="DF125" i="6"/>
  <c r="DF121" i="6"/>
  <c r="DF117" i="6"/>
  <c r="DF75" i="6"/>
  <c r="DF72" i="6"/>
  <c r="DF69" i="6"/>
  <c r="DF54" i="6"/>
  <c r="DF51" i="6"/>
  <c r="DF48" i="6"/>
  <c r="DF35" i="6"/>
  <c r="DF33" i="6"/>
  <c r="DF144" i="6"/>
  <c r="DF140" i="6"/>
  <c r="DF113" i="6"/>
  <c r="DF109" i="6"/>
  <c r="DF92" i="6"/>
  <c r="DF89" i="6"/>
  <c r="DF61" i="6"/>
  <c r="DF45" i="6"/>
  <c r="DF42" i="6"/>
  <c r="DF39" i="6"/>
  <c r="DF29" i="6"/>
  <c r="DF27" i="6"/>
  <c r="DF22" i="6"/>
  <c r="DF17" i="6"/>
  <c r="DF12" i="6"/>
  <c r="DF132" i="6"/>
  <c r="DF128" i="6"/>
  <c r="DF105" i="6"/>
  <c r="DF101" i="6"/>
  <c r="DF97" i="6"/>
  <c r="DF83" i="6"/>
  <c r="DF13" i="6"/>
  <c r="DF7" i="6"/>
  <c r="DF20" i="6"/>
  <c r="DD86" i="6"/>
  <c r="DF86" i="6" s="1"/>
  <c r="DD128" i="6"/>
  <c r="DF11" i="5"/>
  <c r="DF18" i="5"/>
  <c r="DD47" i="5"/>
  <c r="DF60" i="5"/>
  <c r="DF67" i="5"/>
  <c r="DF94" i="5"/>
  <c r="DD118" i="5"/>
  <c r="DD52" i="6"/>
  <c r="DF57" i="6"/>
  <c r="CT15" i="4"/>
  <c r="CS15" i="4"/>
  <c r="DD125" i="4"/>
  <c r="DD121" i="4"/>
  <c r="DD117" i="4"/>
  <c r="DF117" i="4" s="1"/>
  <c r="DD92" i="4"/>
  <c r="DD79" i="4"/>
  <c r="DD74" i="4"/>
  <c r="DD68" i="4"/>
  <c r="DD63" i="4"/>
  <c r="DD58" i="4"/>
  <c r="DF58" i="4" s="1"/>
  <c r="DD37" i="4"/>
  <c r="DF37" i="4" s="1"/>
  <c r="DD27" i="4"/>
  <c r="DF27" i="4" s="1"/>
  <c r="DD26" i="4"/>
  <c r="DF26" i="4" s="1"/>
  <c r="DD25" i="4"/>
  <c r="DD13" i="4"/>
  <c r="DD7" i="4"/>
  <c r="DF7" i="4" s="1"/>
  <c r="DD38" i="4"/>
  <c r="DF38" i="4" s="1"/>
  <c r="DD9" i="4"/>
  <c r="DD144" i="4"/>
  <c r="DD140" i="4"/>
  <c r="DD113" i="4"/>
  <c r="DD109" i="4"/>
  <c r="DD88" i="4"/>
  <c r="DD85" i="4"/>
  <c r="DD82" i="4"/>
  <c r="DD53" i="4"/>
  <c r="DD50" i="4"/>
  <c r="DD47" i="4"/>
  <c r="DF47" i="4" s="1"/>
  <c r="DD127" i="4"/>
  <c r="DF127" i="4" s="1"/>
  <c r="DD104" i="4"/>
  <c r="DD54" i="4"/>
  <c r="DD48" i="4"/>
  <c r="DD43" i="4"/>
  <c r="DD40" i="4"/>
  <c r="DD136" i="4"/>
  <c r="DF136" i="4" s="1"/>
  <c r="DD132" i="4"/>
  <c r="DD128" i="4"/>
  <c r="DF128" i="4" s="1"/>
  <c r="DD105" i="4"/>
  <c r="DD101" i="4"/>
  <c r="DD59" i="4"/>
  <c r="DD44" i="4"/>
  <c r="DD131" i="4"/>
  <c r="DD51" i="4"/>
  <c r="DD52" i="4"/>
  <c r="DD18" i="4"/>
  <c r="DD17" i="4"/>
  <c r="DF17" i="4" s="1"/>
  <c r="DD124" i="4"/>
  <c r="DD120" i="4"/>
  <c r="DD95" i="4"/>
  <c r="DD91" i="4"/>
  <c r="DD76" i="4"/>
  <c r="DF76" i="4" s="1"/>
  <c r="DD71" i="4"/>
  <c r="DD66" i="4"/>
  <c r="DF66" i="4" s="1"/>
  <c r="DD56" i="4"/>
  <c r="DF56" i="4" s="1"/>
  <c r="DD135" i="4"/>
  <c r="DD100" i="4"/>
  <c r="DD84" i="4"/>
  <c r="DD81" i="4"/>
  <c r="DD73" i="4"/>
  <c r="DD69" i="4"/>
  <c r="DD64" i="4"/>
  <c r="DD126" i="4"/>
  <c r="DF126" i="4" s="1"/>
  <c r="DD49" i="4"/>
  <c r="DD143" i="4"/>
  <c r="DD139" i="4"/>
  <c r="DD116" i="4"/>
  <c r="DF116" i="4" s="1"/>
  <c r="DD112" i="4"/>
  <c r="DD108" i="4"/>
  <c r="DD87" i="4"/>
  <c r="DF87" i="4" s="1"/>
  <c r="DD78" i="4"/>
  <c r="DD60" i="4"/>
  <c r="DD41" i="4"/>
  <c r="DD16" i="4"/>
  <c r="DF16" i="4" s="1"/>
  <c r="DD12" i="4"/>
  <c r="DD123" i="4"/>
  <c r="DD119" i="4"/>
  <c r="DD94" i="4"/>
  <c r="DD90" i="4"/>
  <c r="DD61" i="4"/>
  <c r="DD45" i="4"/>
  <c r="DD11" i="4"/>
  <c r="K9" i="4"/>
  <c r="DD93" i="4"/>
  <c r="DD142" i="4"/>
  <c r="DD138" i="4"/>
  <c r="DF138" i="4" s="1"/>
  <c r="DD115" i="4"/>
  <c r="DD111" i="4"/>
  <c r="DD107" i="4"/>
  <c r="DF107" i="4" s="1"/>
  <c r="DD75" i="4"/>
  <c r="DD67" i="4"/>
  <c r="DF67" i="4" s="1"/>
  <c r="DD62" i="4"/>
  <c r="DD57" i="4"/>
  <c r="DF57" i="4" s="1"/>
  <c r="DD39" i="4"/>
  <c r="DD24" i="4"/>
  <c r="DD22" i="4"/>
  <c r="DD20" i="4"/>
  <c r="DD19" i="4"/>
  <c r="DD15" i="4"/>
  <c r="DD10" i="4"/>
  <c r="DD118" i="4"/>
  <c r="DD86" i="4"/>
  <c r="DF86" i="4" s="1"/>
  <c r="DD80" i="4"/>
  <c r="DD134" i="4"/>
  <c r="DD130" i="4"/>
  <c r="DD103" i="4"/>
  <c r="DD99" i="4"/>
  <c r="DD42" i="4"/>
  <c r="DD34" i="4"/>
  <c r="DD33" i="4"/>
  <c r="DD32" i="4"/>
  <c r="DD30" i="4"/>
  <c r="DD23" i="4"/>
  <c r="DD21" i="4"/>
  <c r="DD122" i="4"/>
  <c r="DD89" i="4"/>
  <c r="DD83" i="4"/>
  <c r="DD77" i="4"/>
  <c r="DF77" i="4" s="1"/>
  <c r="DD65" i="4"/>
  <c r="DD31" i="4"/>
  <c r="DD29" i="4"/>
  <c r="DD14" i="4"/>
  <c r="DD145" i="4"/>
  <c r="DD141" i="4"/>
  <c r="DD137" i="4"/>
  <c r="DF137" i="4" s="1"/>
  <c r="DD114" i="4"/>
  <c r="DD110" i="4"/>
  <c r="DD72" i="4"/>
  <c r="DD70" i="4"/>
  <c r="DD55" i="4"/>
  <c r="DD46" i="4"/>
  <c r="DF46" i="4" s="1"/>
  <c r="CP42" i="4"/>
  <c r="CP43" i="4" s="1"/>
  <c r="DD36" i="4"/>
  <c r="DF36" i="4" s="1"/>
  <c r="DD35" i="4"/>
  <c r="DD8" i="4"/>
  <c r="DD6" i="4"/>
  <c r="DF6" i="4" s="1"/>
  <c r="DD133" i="4"/>
  <c r="DD129" i="4"/>
  <c r="DD106" i="4"/>
  <c r="DF106" i="4" s="1"/>
  <c r="DD102" i="4"/>
  <c r="DD98" i="4"/>
  <c r="DD28" i="4"/>
  <c r="DF28" i="4"/>
  <c r="DF40" i="4"/>
  <c r="DF43" i="4"/>
  <c r="DF98" i="4"/>
  <c r="DF102" i="4"/>
  <c r="DF129" i="4"/>
  <c r="DF133" i="4"/>
  <c r="DF9" i="4"/>
  <c r="DF14" i="4"/>
  <c r="DF18" i="4"/>
  <c r="DF29" i="4"/>
  <c r="DF31" i="4"/>
  <c r="DF49" i="4"/>
  <c r="DF52" i="4"/>
  <c r="DF65" i="4"/>
  <c r="DF80" i="4"/>
  <c r="DF83" i="4"/>
  <c r="DF89" i="4"/>
  <c r="DF93" i="4"/>
  <c r="DF118" i="4"/>
  <c r="DF122" i="4"/>
  <c r="CS67" i="4"/>
  <c r="CS75" i="4"/>
  <c r="DF21" i="4"/>
  <c r="DF23" i="4"/>
  <c r="DF30" i="4"/>
  <c r="DF32" i="4"/>
  <c r="DF33" i="4"/>
  <c r="DF34" i="4"/>
  <c r="DF42" i="4"/>
  <c r="CS69" i="4"/>
  <c r="CS73" i="4"/>
  <c r="DF99" i="4"/>
  <c r="DF103" i="4"/>
  <c r="DF130" i="4"/>
  <c r="DF134" i="4"/>
  <c r="DF10" i="4"/>
  <c r="DF15" i="4"/>
  <c r="DF19" i="4"/>
  <c r="DF20" i="4"/>
  <c r="DF22" i="4"/>
  <c r="DF24" i="4"/>
  <c r="DF39" i="4"/>
  <c r="DF62" i="4"/>
  <c r="DF75" i="4"/>
  <c r="DF111" i="4"/>
  <c r="DF115" i="4"/>
  <c r="DF142" i="4"/>
  <c r="DF48" i="4"/>
  <c r="DF51" i="4"/>
  <c r="DF54" i="4"/>
  <c r="DF64" i="4"/>
  <c r="DF69" i="4"/>
  <c r="DF73" i="4"/>
  <c r="DF81" i="4"/>
  <c r="DF84" i="4"/>
  <c r="DF100" i="4"/>
  <c r="DF104" i="4"/>
  <c r="DF131" i="4"/>
  <c r="DF135" i="4"/>
  <c r="DF12" i="4"/>
  <c r="DF41" i="4"/>
  <c r="DF60" i="4"/>
  <c r="DF78" i="4"/>
  <c r="DF108" i="4"/>
  <c r="DF112" i="4"/>
  <c r="DF139" i="4"/>
  <c r="DF143" i="4"/>
  <c r="CS68" i="4"/>
  <c r="DF71" i="4"/>
  <c r="CS74" i="4"/>
  <c r="DF91" i="4"/>
  <c r="DF95" i="4"/>
  <c r="DF120" i="4"/>
  <c r="DF124" i="4"/>
  <c r="CS71" i="4"/>
  <c r="DF44" i="4"/>
  <c r="DF59" i="4"/>
  <c r="DF101" i="4"/>
  <c r="DF105" i="4"/>
  <c r="DF132" i="4"/>
  <c r="DF50" i="4"/>
  <c r="DF53" i="4"/>
  <c r="CS70" i="4"/>
  <c r="DF82" i="4"/>
  <c r="DF85" i="4"/>
  <c r="DF88" i="4"/>
  <c r="DF109" i="4"/>
  <c r="DF113" i="4"/>
  <c r="DF140" i="4"/>
  <c r="CT31" i="4" l="1"/>
  <c r="CQ31" i="4"/>
  <c r="AG11" i="4" s="1"/>
  <c r="CI14" i="4"/>
  <c r="CI15" i="4" s="1"/>
  <c r="CI27" i="4"/>
  <c r="CI28" i="4" s="1"/>
  <c r="CP20" i="4" s="1"/>
  <c r="CP22" i="4" s="1"/>
  <c r="AG18" i="4"/>
  <c r="DA97" i="4"/>
  <c r="K14" i="4"/>
  <c r="M26" i="1" s="1"/>
  <c r="CI22" i="4"/>
  <c r="DB97" i="4"/>
  <c r="DD97" i="4" s="1"/>
  <c r="DF97" i="4" s="1"/>
  <c r="CI40" i="4"/>
  <c r="CI42" i="4" s="1"/>
  <c r="AJ16" i="4" s="1"/>
  <c r="CZ96" i="4"/>
  <c r="DA96" i="4"/>
  <c r="DB96" i="4"/>
  <c r="DD96" i="4" s="1"/>
  <c r="DF96" i="4" s="1"/>
  <c r="CZ97" i="4"/>
  <c r="CI18" i="4"/>
  <c r="CS31" i="4"/>
  <c r="CS4" i="4"/>
  <c r="CI37" i="4"/>
  <c r="BQ28" i="4" s="1"/>
  <c r="M27" i="1"/>
  <c r="DG116" i="5"/>
  <c r="DG106" i="5"/>
  <c r="DG36" i="5"/>
  <c r="DG46" i="6"/>
  <c r="CP44" i="4"/>
  <c r="CP49" i="4" s="1"/>
  <c r="DG86" i="6"/>
  <c r="DG56" i="6"/>
  <c r="CI16" i="6"/>
  <c r="DG86" i="5"/>
  <c r="DG46" i="5"/>
  <c r="DG66" i="5"/>
  <c r="DG136" i="5"/>
  <c r="DG96" i="5"/>
  <c r="DG126" i="5"/>
  <c r="CI19" i="6"/>
  <c r="CI21" i="6"/>
  <c r="K15" i="6" s="1"/>
  <c r="CI13" i="5"/>
  <c r="CI14" i="5" s="1"/>
  <c r="CP44" i="5"/>
  <c r="DG16" i="6"/>
  <c r="DG26" i="6"/>
  <c r="DG56" i="5"/>
  <c r="DG46" i="4"/>
  <c r="DG26" i="5"/>
  <c r="DG76" i="5"/>
  <c r="DG86" i="4"/>
  <c r="DG6" i="4"/>
  <c r="DG36" i="6"/>
  <c r="DG66" i="6"/>
  <c r="DG16" i="5"/>
  <c r="DG5" i="5" s="1"/>
  <c r="CI10" i="5" s="1"/>
  <c r="CI11" i="5" s="1"/>
  <c r="DG16" i="4"/>
  <c r="DG5" i="4" s="1"/>
  <c r="CI10" i="4" s="1"/>
  <c r="CI11" i="4" s="1"/>
  <c r="K16" i="4" s="1"/>
  <c r="DG136" i="6"/>
  <c r="DG96" i="6"/>
  <c r="DG66" i="4"/>
  <c r="DG26" i="4"/>
  <c r="DG6" i="6"/>
  <c r="DG5" i="6" s="1"/>
  <c r="CI10" i="6" s="1"/>
  <c r="CI11" i="6" s="1"/>
  <c r="DG6" i="5"/>
  <c r="DG36" i="4"/>
  <c r="DG106" i="6"/>
  <c r="DG76" i="6"/>
  <c r="DG126" i="6"/>
  <c r="DG116" i="6"/>
  <c r="DG56" i="4"/>
  <c r="CR62" i="4"/>
  <c r="DG106" i="4"/>
  <c r="DG116" i="4"/>
  <c r="DG136" i="4"/>
  <c r="DG126" i="4"/>
  <c r="DG76" i="4"/>
  <c r="CI17" i="4" l="1"/>
  <c r="CI19" i="4" s="1"/>
  <c r="DG96" i="4"/>
  <c r="CQ20" i="4"/>
  <c r="CT20" i="4" s="1"/>
  <c r="CT22" i="4" s="1"/>
  <c r="AJ17" i="4"/>
  <c r="AG20" i="4" s="1"/>
  <c r="CE29" i="4"/>
  <c r="CJ27" i="4"/>
  <c r="AG17" i="4"/>
  <c r="AG16" i="4"/>
  <c r="CP24" i="4"/>
  <c r="CQ24" i="4" s="1"/>
  <c r="CT24" i="4" s="1"/>
  <c r="CP50" i="4"/>
  <c r="CP45" i="4"/>
  <c r="CP48" i="4" s="1"/>
  <c r="CI22" i="6"/>
  <c r="K16" i="6"/>
  <c r="K16" i="5"/>
  <c r="CP45" i="5"/>
  <c r="CP50" i="5"/>
  <c r="CP49" i="5"/>
  <c r="CI15" i="5"/>
  <c r="CI16" i="5"/>
  <c r="CI17" i="5"/>
  <c r="CO62" i="4"/>
  <c r="CP66" i="4" s="1"/>
  <c r="CI33" i="4"/>
  <c r="CI21" i="4" l="1"/>
  <c r="K15" i="4" s="1"/>
  <c r="CP47" i="4"/>
  <c r="CP68" i="4"/>
  <c r="CI46" i="4" s="1"/>
  <c r="CP69" i="4"/>
  <c r="CI47" i="4" s="1"/>
  <c r="CP70" i="4"/>
  <c r="CI48" i="4" s="1"/>
  <c r="CP71" i="4"/>
  <c r="CI49" i="4" s="1"/>
  <c r="CP72" i="4"/>
  <c r="CI50" i="4" s="1"/>
  <c r="CP73" i="4"/>
  <c r="CI51" i="4" s="1"/>
  <c r="CP74" i="4"/>
  <c r="CI52" i="4" s="1"/>
  <c r="CP75" i="4"/>
  <c r="CI53" i="4" s="1"/>
  <c r="CP67" i="4"/>
  <c r="CI45" i="4" s="1"/>
  <c r="CQ22" i="4"/>
  <c r="DK7" i="4"/>
  <c r="CS24" i="4"/>
  <c r="BZ28" i="4"/>
  <c r="CP46" i="4"/>
  <c r="CP47" i="5"/>
  <c r="CP46" i="5"/>
  <c r="CP48" i="5"/>
  <c r="CI21" i="5"/>
  <c r="CI19" i="5"/>
  <c r="CI35" i="6"/>
  <c r="BD31" i="6"/>
  <c r="CI23" i="6"/>
  <c r="CI32" i="6"/>
  <c r="K19" i="6"/>
  <c r="CI34" i="4"/>
  <c r="BK29" i="4"/>
  <c r="CQ62" i="4"/>
  <c r="CI32" i="4" s="1"/>
  <c r="BZ32" i="4" s="1"/>
  <c r="CP62" i="4"/>
  <c r="CI31" i="4" s="1"/>
  <c r="CI23" i="4" l="1"/>
  <c r="BD39" i="4" s="1"/>
  <c r="CP53" i="4"/>
  <c r="CP52" i="4"/>
  <c r="CP51" i="4"/>
  <c r="CM83" i="6"/>
  <c r="CI81" i="6" s="1"/>
  <c r="CI82" i="6" s="1"/>
  <c r="CI83" i="6" s="1"/>
  <c r="CI61" i="6"/>
  <c r="CP10" i="6" s="1"/>
  <c r="CQ10" i="6" s="1"/>
  <c r="CI80" i="6"/>
  <c r="BZ27" i="6"/>
  <c r="CI63" i="6"/>
  <c r="CI65" i="6" s="1"/>
  <c r="CI62" i="6" s="1"/>
  <c r="CM85" i="6"/>
  <c r="CP8" i="6"/>
  <c r="CI76" i="6"/>
  <c r="CI78" i="6" s="1"/>
  <c r="CI75" i="6" s="1"/>
  <c r="CI79" i="6" s="1"/>
  <c r="CP12" i="6" s="1"/>
  <c r="CQ12" i="6" s="1"/>
  <c r="CI67" i="6"/>
  <c r="CI69" i="6" s="1"/>
  <c r="CI66" i="6" s="1"/>
  <c r="CI70" i="6" s="1"/>
  <c r="CI90" i="6"/>
  <c r="CM84" i="6"/>
  <c r="CI57" i="6"/>
  <c r="AG9" i="6"/>
  <c r="CI37" i="6"/>
  <c r="CI36" i="6" s="1"/>
  <c r="CI72" i="6"/>
  <c r="CI74" i="6" s="1"/>
  <c r="CI71" i="6" s="1"/>
  <c r="K15" i="5"/>
  <c r="CI22" i="5"/>
  <c r="CP51" i="5"/>
  <c r="CP52" i="5"/>
  <c r="CP53" i="5"/>
  <c r="AI4" i="5"/>
  <c r="AJ3" i="6"/>
  <c r="CI43" i="4"/>
  <c r="CI44" i="4" s="1"/>
  <c r="BQ29" i="4"/>
  <c r="CI73" i="4" l="1"/>
  <c r="CI75" i="4" s="1"/>
  <c r="CI72" i="4" s="1"/>
  <c r="CI80" i="4" s="1"/>
  <c r="CP12" i="4" s="1"/>
  <c r="CP8" i="4"/>
  <c r="CS8" i="4" s="1"/>
  <c r="CI64" i="4"/>
  <c r="CI66" i="4" s="1"/>
  <c r="CI38" i="4"/>
  <c r="CI77" i="4"/>
  <c r="CI79" i="4" s="1"/>
  <c r="CI39" i="4"/>
  <c r="CI68" i="4"/>
  <c r="CI67" i="4" s="1"/>
  <c r="K19" i="4"/>
  <c r="BZ34" i="4" s="1"/>
  <c r="CI35" i="4"/>
  <c r="CE32" i="4"/>
  <c r="BZ29" i="6"/>
  <c r="BZ28" i="6" s="1"/>
  <c r="CP11" i="6"/>
  <c r="CQ11" i="6" s="1"/>
  <c r="CQ8" i="6"/>
  <c r="CI56" i="6"/>
  <c r="CI59" i="6"/>
  <c r="AG14" i="6"/>
  <c r="CP16" i="6"/>
  <c r="CQ16" i="6" s="1"/>
  <c r="CP24" i="6"/>
  <c r="CQ24" i="6" s="1"/>
  <c r="AG12" i="6"/>
  <c r="CI23" i="5"/>
  <c r="CI35" i="5"/>
  <c r="K19" i="5"/>
  <c r="CI32" i="5"/>
  <c r="BD32" i="5"/>
  <c r="BZ31" i="6"/>
  <c r="CP15" i="6"/>
  <c r="CQ15" i="6" s="1"/>
  <c r="BZ29" i="4"/>
  <c r="CI54" i="4"/>
  <c r="CI63" i="4" l="1"/>
  <c r="CI71" i="4" s="1"/>
  <c r="BZ37" i="4" s="1"/>
  <c r="BZ36" i="4" s="1"/>
  <c r="Z8" i="4" s="1"/>
  <c r="CI76" i="4"/>
  <c r="CI57" i="4"/>
  <c r="CI56" i="4"/>
  <c r="CP9" i="4" s="1"/>
  <c r="CI82" i="4"/>
  <c r="CI83" i="4" s="1"/>
  <c r="CQ8" i="4"/>
  <c r="CT8" i="4"/>
  <c r="CI70" i="4"/>
  <c r="BZ30" i="4"/>
  <c r="CI55" i="4"/>
  <c r="CI57" i="5"/>
  <c r="CP8" i="5"/>
  <c r="CI90" i="5"/>
  <c r="CI81" i="5"/>
  <c r="CI82" i="5" s="1"/>
  <c r="CI61" i="5"/>
  <c r="CP10" i="5" s="1"/>
  <c r="CQ10" i="5" s="1"/>
  <c r="CI63" i="5"/>
  <c r="AG9" i="5"/>
  <c r="CI76" i="5"/>
  <c r="CI78" i="5" s="1"/>
  <c r="CI75" i="5" s="1"/>
  <c r="CI67" i="5"/>
  <c r="CI72" i="5"/>
  <c r="CI37" i="5"/>
  <c r="CI36" i="5" s="1"/>
  <c r="BZ27" i="5"/>
  <c r="BZ32" i="6"/>
  <c r="AG15" i="6"/>
  <c r="CI88" i="6"/>
  <c r="CI60" i="6"/>
  <c r="CP9" i="6"/>
  <c r="CI60" i="4" l="1"/>
  <c r="CP10" i="4"/>
  <c r="CP11" i="4"/>
  <c r="CQ11" i="4" s="1"/>
  <c r="CS11" i="4" s="1"/>
  <c r="CI59" i="4"/>
  <c r="X2" i="4"/>
  <c r="CE36" i="4" s="1"/>
  <c r="CE34" i="4" s="1"/>
  <c r="CP78" i="4"/>
  <c r="CP77" i="4"/>
  <c r="CP14" i="4"/>
  <c r="CQ14" i="4" s="1"/>
  <c r="BZ31" i="4"/>
  <c r="CI66" i="5"/>
  <c r="CI69" i="5"/>
  <c r="CQ9" i="6"/>
  <c r="CQ17" i="6" s="1"/>
  <c r="CQ26" i="6" s="1"/>
  <c r="CQ27" i="6" s="1"/>
  <c r="CQ29" i="6" s="1"/>
  <c r="CP17" i="6"/>
  <c r="CM5" i="6" s="1"/>
  <c r="CP24" i="5"/>
  <c r="CQ24" i="5" s="1"/>
  <c r="AG15" i="5"/>
  <c r="CI74" i="5"/>
  <c r="CI71" i="5"/>
  <c r="CI79" i="5" s="1"/>
  <c r="CP12" i="5" s="1"/>
  <c r="CQ12" i="5" s="1"/>
  <c r="CI89" i="6"/>
  <c r="CI91" i="6"/>
  <c r="CI92" i="6" s="1"/>
  <c r="BP25" i="6" s="1"/>
  <c r="CQ8" i="5"/>
  <c r="CI62" i="5"/>
  <c r="CI70" i="5" s="1"/>
  <c r="CI65" i="5"/>
  <c r="CI56" i="5"/>
  <c r="CI59" i="5"/>
  <c r="CQ9" i="4"/>
  <c r="CI61" i="4" l="1"/>
  <c r="CI62" i="4" s="1"/>
  <c r="CQ10" i="4" s="1"/>
  <c r="CT10" i="4" s="1"/>
  <c r="CT11" i="4"/>
  <c r="CP17" i="4"/>
  <c r="CM5" i="4" s="1"/>
  <c r="CS14" i="4"/>
  <c r="CT14" i="4"/>
  <c r="CQ28" i="6"/>
  <c r="BD30" i="6"/>
  <c r="CP11" i="5"/>
  <c r="CQ11" i="5" s="1"/>
  <c r="BZ29" i="5"/>
  <c r="BZ28" i="5" s="1"/>
  <c r="CI88" i="5"/>
  <c r="CI60" i="5"/>
  <c r="CP9" i="5"/>
  <c r="CS9" i="4"/>
  <c r="CT9" i="4"/>
  <c r="CQ17" i="4" l="1"/>
  <c r="CT17" i="4" s="1"/>
  <c r="CT26" i="4" s="1"/>
  <c r="CT27" i="4" s="1"/>
  <c r="CT28" i="4" s="1"/>
  <c r="DJ10" i="4"/>
  <c r="CS10" i="4"/>
  <c r="CQ9" i="5"/>
  <c r="CQ17" i="5" s="1"/>
  <c r="CQ26" i="5" s="1"/>
  <c r="CQ27" i="5" s="1"/>
  <c r="CQ29" i="5" s="1"/>
  <c r="CP17" i="5"/>
  <c r="CM5" i="5" s="1"/>
  <c r="AG11" i="6"/>
  <c r="CI89" i="5"/>
  <c r="CI91" i="5"/>
  <c r="CI92" i="5" s="1"/>
  <c r="BP25" i="5" s="1"/>
  <c r="CM45" i="6"/>
  <c r="CM42" i="6"/>
  <c r="CM39" i="6"/>
  <c r="CM24" i="6"/>
  <c r="CM16" i="6"/>
  <c r="CM11" i="6"/>
  <c r="CM29" i="6"/>
  <c r="CM27" i="6"/>
  <c r="CM7" i="6"/>
  <c r="CM22" i="6"/>
  <c r="CM20" i="6"/>
  <c r="CM17" i="6"/>
  <c r="CM12" i="6"/>
  <c r="CM53" i="6"/>
  <c r="CM50" i="6"/>
  <c r="CM47" i="6"/>
  <c r="CM25" i="6"/>
  <c r="CM18" i="6"/>
  <c r="CM13" i="6"/>
  <c r="CM44" i="6"/>
  <c r="CM41" i="6"/>
  <c r="CM38" i="6"/>
  <c r="CM32" i="6"/>
  <c r="CM30" i="6"/>
  <c r="CM52" i="6"/>
  <c r="CM49" i="6"/>
  <c r="CM28" i="6"/>
  <c r="CM46" i="6"/>
  <c r="CM43" i="6"/>
  <c r="CM40" i="6"/>
  <c r="CM26" i="6"/>
  <c r="CM19" i="6"/>
  <c r="CM9" i="6"/>
  <c r="CM21" i="6"/>
  <c r="CM15" i="6"/>
  <c r="CM37" i="6"/>
  <c r="CM31" i="6"/>
  <c r="CM10" i="6"/>
  <c r="CM14" i="6"/>
  <c r="CM33" i="6"/>
  <c r="CM51" i="6"/>
  <c r="CM23" i="6"/>
  <c r="CM36" i="6"/>
  <c r="CM6" i="6"/>
  <c r="CM8" i="6"/>
  <c r="CM35" i="6"/>
  <c r="CM48" i="6"/>
  <c r="CM34" i="6"/>
  <c r="CQ26" i="4" l="1"/>
  <c r="CQ27" i="4" s="1"/>
  <c r="CQ28" i="4" s="1"/>
  <c r="CQ29" i="4" s="1"/>
  <c r="CQ32" i="4" s="1"/>
  <c r="CQ34" i="4" s="1"/>
  <c r="BD37" i="4" s="1"/>
  <c r="CS17" i="4"/>
  <c r="CS26" i="4" s="1"/>
  <c r="CS27" i="4" s="1"/>
  <c r="CS28" i="4" s="1"/>
  <c r="CS29" i="4" s="1"/>
  <c r="CS32" i="4" s="1"/>
  <c r="CS34" i="4" s="1"/>
  <c r="CM4" i="6"/>
  <c r="BD31" i="5"/>
  <c r="CQ28" i="5"/>
  <c r="CT29" i="4"/>
  <c r="CT32" i="4" s="1"/>
  <c r="CT34" i="4"/>
  <c r="CT35" i="4" l="1"/>
  <c r="CT36" i="4" s="1"/>
  <c r="AD23" i="4" s="1"/>
  <c r="CM40" i="5"/>
  <c r="CM30" i="5"/>
  <c r="CM28" i="5"/>
  <c r="CM14" i="5"/>
  <c r="CM8" i="5"/>
  <c r="CM39" i="5"/>
  <c r="CM31" i="5"/>
  <c r="CM15" i="5"/>
  <c r="CM9" i="5"/>
  <c r="CM29" i="5"/>
  <c r="CM10" i="5"/>
  <c r="CM6" i="5"/>
  <c r="CM36" i="5"/>
  <c r="CM34" i="5"/>
  <c r="CM32" i="5"/>
  <c r="CM25" i="5"/>
  <c r="CM17" i="5"/>
  <c r="CM7" i="5"/>
  <c r="CM18" i="5"/>
  <c r="CM12" i="5"/>
  <c r="CM41" i="5"/>
  <c r="CM23" i="5"/>
  <c r="CM21" i="5"/>
  <c r="CM37" i="5"/>
  <c r="CM13" i="5"/>
  <c r="CM33" i="5"/>
  <c r="CM20" i="5"/>
  <c r="CM11" i="5"/>
  <c r="CM27" i="5"/>
  <c r="AG11" i="5"/>
  <c r="AG14" i="5" s="1"/>
  <c r="CM38" i="5"/>
  <c r="CQ32" i="5"/>
  <c r="CM35" i="5"/>
  <c r="CM24" i="5"/>
  <c r="CM22" i="5"/>
  <c r="CM16" i="5"/>
  <c r="CM19" i="5"/>
  <c r="CM26" i="5"/>
  <c r="CS35" i="4"/>
  <c r="CS36" i="4" s="1"/>
  <c r="AD22" i="4" s="1"/>
  <c r="CM65" i="4"/>
  <c r="CM55" i="4"/>
  <c r="CM52" i="4"/>
  <c r="CM49" i="4"/>
  <c r="CM20" i="4"/>
  <c r="CM19" i="4"/>
  <c r="CM11" i="4"/>
  <c r="CM6" i="4"/>
  <c r="CM29" i="4"/>
  <c r="CM27" i="4"/>
  <c r="CM62" i="4"/>
  <c r="CM46" i="4"/>
  <c r="CM40" i="4"/>
  <c r="CM34" i="4"/>
  <c r="CM33" i="4"/>
  <c r="CM32" i="4"/>
  <c r="CM30" i="4"/>
  <c r="CM24" i="4"/>
  <c r="CM22" i="4"/>
  <c r="CM15" i="4"/>
  <c r="CM10" i="4"/>
  <c r="CM36" i="4"/>
  <c r="CM25" i="4"/>
  <c r="CM21" i="4"/>
  <c r="CM7" i="4"/>
  <c r="CM44" i="4"/>
  <c r="CM57" i="4"/>
  <c r="CM39" i="4"/>
  <c r="CM18" i="4"/>
  <c r="CM63" i="4"/>
  <c r="CM58" i="4"/>
  <c r="CM43" i="4"/>
  <c r="CM37" i="4"/>
  <c r="CM35" i="4"/>
  <c r="CM31" i="4"/>
  <c r="CM26" i="4"/>
  <c r="CM17" i="4"/>
  <c r="CM60" i="4"/>
  <c r="CM45" i="4"/>
  <c r="CM14" i="4"/>
  <c r="CM9" i="4"/>
  <c r="CM56" i="4"/>
  <c r="CM53" i="4"/>
  <c r="CM50" i="4"/>
  <c r="CM47" i="4"/>
  <c r="CM38" i="4"/>
  <c r="CM28" i="4"/>
  <c r="AG10" i="4"/>
  <c r="AG14" i="4" s="1"/>
  <c r="CM8" i="4"/>
  <c r="CM41" i="4"/>
  <c r="CM13" i="4"/>
  <c r="CM64" i="4"/>
  <c r="CM59" i="4"/>
  <c r="CM54" i="4"/>
  <c r="CM51" i="4"/>
  <c r="CM48" i="4"/>
  <c r="CM23" i="4"/>
  <c r="CM16" i="4"/>
  <c r="CM12" i="4"/>
  <c r="CM61" i="4"/>
  <c r="CM42" i="4"/>
  <c r="AG22" i="4" l="1"/>
  <c r="CM4" i="5"/>
  <c r="AG23" i="4"/>
  <c r="CM4" i="4"/>
  <c r="DJ66" i="4"/>
  <c r="DJ59" i="4"/>
  <c r="DJ56" i="4"/>
  <c r="DJ44" i="4"/>
  <c r="DJ38" i="4"/>
  <c r="DJ19" i="4"/>
  <c r="DJ17" i="4"/>
  <c r="DJ16" i="4"/>
  <c r="DJ12" i="4"/>
  <c r="DJ60" i="4"/>
  <c r="DJ41" i="4"/>
  <c r="DJ67" i="4"/>
  <c r="DJ24" i="4"/>
  <c r="DJ22" i="4"/>
  <c r="DJ69" i="4"/>
  <c r="DJ64" i="4"/>
  <c r="DJ54" i="4"/>
  <c r="DJ51" i="4"/>
  <c r="DJ48" i="4"/>
  <c r="DJ62" i="4"/>
  <c r="DJ57" i="4"/>
  <c r="DJ39" i="4"/>
  <c r="DJ20" i="4"/>
  <c r="DJ15" i="4"/>
  <c r="DJ43" i="4"/>
  <c r="DJ50" i="4"/>
  <c r="DJ61" i="4"/>
  <c r="DJ45" i="4"/>
  <c r="DJ11" i="4"/>
  <c r="DJ42" i="4"/>
  <c r="DJ34" i="4"/>
  <c r="DJ33" i="4"/>
  <c r="DJ32" i="4"/>
  <c r="DJ30" i="4"/>
  <c r="DJ23" i="4"/>
  <c r="DJ21" i="4"/>
  <c r="DJ65" i="4"/>
  <c r="DJ52" i="4"/>
  <c r="DJ49" i="4"/>
  <c r="DJ46" i="4"/>
  <c r="DJ36" i="4"/>
  <c r="DJ31" i="4"/>
  <c r="DJ29" i="4"/>
  <c r="DJ18" i="4"/>
  <c r="DJ14" i="4"/>
  <c r="DJ40" i="4"/>
  <c r="DJ28" i="4"/>
  <c r="DJ70" i="4"/>
  <c r="DJ55" i="4"/>
  <c r="DJ35" i="4"/>
  <c r="DJ26" i="4"/>
  <c r="DJ68" i="4"/>
  <c r="DJ63" i="4"/>
  <c r="DJ58" i="4"/>
  <c r="DJ37" i="4"/>
  <c r="DJ27" i="4"/>
  <c r="DJ25" i="4"/>
  <c r="DJ13" i="4"/>
  <c r="DJ53" i="4"/>
  <c r="DJ47" i="4"/>
  <c r="DJ9" i="4" l="1"/>
  <c r="DJ8" i="4"/>
  <c r="DK8" i="4" s="1"/>
  <c r="DK56" i="4" l="1"/>
  <c r="DK31" i="4"/>
  <c r="DK41" i="4"/>
  <c r="DK52" i="4"/>
  <c r="DK26" i="4"/>
  <c r="DK11" i="4"/>
  <c r="DK58" i="4"/>
  <c r="DK15" i="4"/>
  <c r="DK54" i="4"/>
  <c r="DK61" i="4"/>
  <c r="DK63" i="4"/>
  <c r="DK29" i="4"/>
  <c r="DK66" i="4"/>
  <c r="DK51" i="4"/>
  <c r="DK35" i="4"/>
  <c r="DK33" i="4"/>
  <c r="DK12" i="4"/>
  <c r="DK16" i="4"/>
  <c r="DK30" i="4"/>
  <c r="DK62" i="4"/>
  <c r="DK14" i="4"/>
  <c r="DK57" i="4"/>
  <c r="DK69" i="4"/>
  <c r="DK44" i="4"/>
  <c r="DK68" i="4"/>
  <c r="DK25" i="4"/>
  <c r="DK60" i="4"/>
  <c r="DK40" i="4"/>
  <c r="DK39" i="4"/>
  <c r="DK42" i="4"/>
  <c r="DK48" i="4"/>
  <c r="DK46" i="4"/>
  <c r="DK13" i="4"/>
  <c r="DK67" i="4"/>
  <c r="DK28" i="4"/>
  <c r="DK53" i="4"/>
  <c r="DK50" i="4"/>
  <c r="DK32" i="4"/>
  <c r="DK45" i="4"/>
  <c r="DK64" i="4"/>
  <c r="DK27" i="4"/>
  <c r="DK18" i="4"/>
  <c r="DK23" i="4"/>
  <c r="DK47" i="4"/>
  <c r="DK59" i="4"/>
  <c r="DK20" i="4"/>
  <c r="DK65" i="4"/>
  <c r="DK43" i="4"/>
  <c r="DK70" i="4"/>
  <c r="DK21" i="4"/>
  <c r="DK34" i="4"/>
  <c r="DK49" i="4"/>
  <c r="DK36" i="4"/>
  <c r="DK37" i="4"/>
  <c r="DK22" i="4"/>
  <c r="DK24" i="4"/>
  <c r="DK38" i="4"/>
  <c r="DK19" i="4"/>
  <c r="DK17" i="4"/>
  <c r="DK55" i="4"/>
  <c r="DK9" i="4" l="1"/>
  <c r="DJ6" i="4" s="1"/>
  <c r="CJ43" i="4" s="1"/>
  <c r="CJ44" i="4" s="1"/>
</calcChain>
</file>

<file path=xl/sharedStrings.xml><?xml version="1.0" encoding="utf-8"?>
<sst xmlns="http://schemas.openxmlformats.org/spreadsheetml/2006/main" count="4220" uniqueCount="1422">
  <si>
    <t>Volkswagen</t>
    <phoneticPr fontId="2" type="noConversion"/>
  </si>
  <si>
    <t>운영 IRR</t>
    <phoneticPr fontId="2" type="noConversion"/>
  </si>
  <si>
    <t>운영 IRR 반영</t>
    <phoneticPr fontId="2" type="noConversion"/>
  </si>
  <si>
    <t>입력 방식</t>
    <phoneticPr fontId="2" type="noConversion"/>
  </si>
  <si>
    <t>요율 입력</t>
    <phoneticPr fontId="2" type="noConversion"/>
  </si>
  <si>
    <t>금액 입력</t>
    <phoneticPr fontId="2" type="noConversion"/>
  </si>
  <si>
    <t>반영</t>
  </si>
  <si>
    <t>요율+금액</t>
  </si>
  <si>
    <t>요율</t>
  </si>
  <si>
    <t>운용</t>
    <phoneticPr fontId="2" type="noConversion"/>
  </si>
  <si>
    <t>금융</t>
    <phoneticPr fontId="2" type="noConversion"/>
  </si>
  <si>
    <t>당사명의</t>
  </si>
  <si>
    <t>당사명의</t>
    <phoneticPr fontId="2" type="noConversion"/>
  </si>
  <si>
    <t>이용자명의</t>
  </si>
  <si>
    <t>이용자명의</t>
    <phoneticPr fontId="2" type="noConversion"/>
  </si>
  <si>
    <t>미반영</t>
  </si>
  <si>
    <t>Max Fee</t>
    <phoneticPr fontId="2" type="noConversion"/>
  </si>
  <si>
    <t>제휴수수료</t>
    <phoneticPr fontId="2" type="noConversion"/>
  </si>
  <si>
    <t>*본 견적상 모든 수수료는 세 포함</t>
    <phoneticPr fontId="2" type="noConversion"/>
  </si>
  <si>
    <t xml:space="preserve"> *제휴/CM/AG수수료, 설정비용, 잔가보장수수료, 인지세, 용품 이외의 비용 있는 경우 사용</t>
    <phoneticPr fontId="2" type="noConversion"/>
  </si>
  <si>
    <t>비용</t>
    <phoneticPr fontId="2" type="noConversion"/>
  </si>
  <si>
    <t>운영 IRR 반영여부</t>
    <phoneticPr fontId="2" type="noConversion"/>
  </si>
  <si>
    <t>이용자명의리스 설정비</t>
    <phoneticPr fontId="2" type="noConversion"/>
  </si>
  <si>
    <t>제한여부</t>
    <phoneticPr fontId="2" type="noConversion"/>
  </si>
  <si>
    <t>고잔가</t>
    <phoneticPr fontId="2" type="noConversion"/>
  </si>
  <si>
    <t>최소잔가(차량계산서가 기준)</t>
    <phoneticPr fontId="2" type="noConversion"/>
  </si>
  <si>
    <t>할부</t>
  </si>
  <si>
    <t>할부 설정비</t>
  </si>
  <si>
    <t xml:space="preserve"> Ex) 운영 IRR 4%이고 운영 IRR 반영 선택한 경우, 실제 IRR 4%임. 미반영시 실제 IRR 하락</t>
    <phoneticPr fontId="2" type="noConversion"/>
  </si>
  <si>
    <t>견적관리자용 PAGE</t>
    <phoneticPr fontId="2" type="noConversion"/>
  </si>
  <si>
    <t xml:space="preserve">● 기타비용 </t>
    <phoneticPr fontId="2" type="noConversion"/>
  </si>
  <si>
    <t xml:space="preserve">● 제휴수수료 </t>
    <phoneticPr fontId="2" type="noConversion"/>
  </si>
  <si>
    <t>SEQ</t>
    <phoneticPr fontId="2" type="noConversion"/>
  </si>
  <si>
    <t>BRAND</t>
    <phoneticPr fontId="2" type="noConversion"/>
  </si>
  <si>
    <t>차종분류</t>
    <phoneticPr fontId="2" type="noConversion"/>
  </si>
  <si>
    <t>배기량</t>
    <phoneticPr fontId="2" type="noConversion"/>
  </si>
  <si>
    <t>차량가</t>
    <phoneticPr fontId="2" type="noConversion"/>
  </si>
  <si>
    <t>MODEL</t>
    <phoneticPr fontId="2" type="noConversion"/>
  </si>
  <si>
    <t>*DB적용 : 차량DB 고잔가 Y 모델만 가능</t>
    <phoneticPr fontId="2" type="noConversion"/>
  </si>
  <si>
    <t>용품/서비스</t>
    <phoneticPr fontId="2" type="noConversion"/>
  </si>
  <si>
    <t xml:space="preserve"> *국산차 탁송/대행업체 용품은 별도</t>
    <phoneticPr fontId="2" type="noConversion"/>
  </si>
  <si>
    <t xml:space="preserve"> *비용은 운영 IRR 반영시에만 입력</t>
    <phoneticPr fontId="2" type="noConversion"/>
  </si>
  <si>
    <t>이용자명의리스 설정조건</t>
    <phoneticPr fontId="2" type="noConversion"/>
  </si>
  <si>
    <t>Brand</t>
    <phoneticPr fontId="2" type="noConversion"/>
  </si>
  <si>
    <t>Model</t>
    <phoneticPr fontId="2" type="noConversion"/>
  </si>
  <si>
    <t>승용일반</t>
  </si>
  <si>
    <t>차종구분</t>
    <phoneticPr fontId="2" type="noConversion"/>
  </si>
  <si>
    <t>배기량</t>
    <phoneticPr fontId="2" type="noConversion"/>
  </si>
  <si>
    <t>기본차량가</t>
    <phoneticPr fontId="2" type="noConversion"/>
  </si>
  <si>
    <t>직접선택→</t>
    <phoneticPr fontId="2" type="noConversion"/>
  </si>
  <si>
    <t>직접입력→</t>
    <phoneticPr fontId="2" type="noConversion"/>
  </si>
  <si>
    <t>옵션</t>
    <phoneticPr fontId="2" type="noConversion"/>
  </si>
  <si>
    <t>할인</t>
    <phoneticPr fontId="2" type="noConversion"/>
  </si>
  <si>
    <t>(계산서포함)탁송료</t>
    <phoneticPr fontId="2" type="noConversion"/>
  </si>
  <si>
    <t>차량가격(계산서가)</t>
    <phoneticPr fontId="2" type="noConversion"/>
  </si>
  <si>
    <t>차량명의/등록지</t>
    <phoneticPr fontId="2" type="noConversion"/>
  </si>
  <si>
    <t>공채</t>
    <phoneticPr fontId="2" type="noConversion"/>
  </si>
  <si>
    <t>차종구분</t>
    <phoneticPr fontId="2" type="noConversion"/>
  </si>
  <si>
    <t>승용SUV(~5인)</t>
  </si>
  <si>
    <t>승용SUV(~5인)</t>
    <phoneticPr fontId="2" type="noConversion"/>
  </si>
  <si>
    <t>DB자동연결</t>
  </si>
  <si>
    <t>리스사명의</t>
    <phoneticPr fontId="2" type="noConversion"/>
  </si>
  <si>
    <t>이용자명의</t>
    <phoneticPr fontId="2" type="noConversion"/>
  </si>
  <si>
    <t>기타부대비</t>
    <phoneticPr fontId="2" type="noConversion"/>
  </si>
  <si>
    <t>탁송료</t>
    <phoneticPr fontId="2" type="noConversion"/>
  </si>
  <si>
    <t>상한금액</t>
    <phoneticPr fontId="2" type="noConversion"/>
  </si>
  <si>
    <t>기타부대비</t>
    <phoneticPr fontId="2" type="noConversion"/>
  </si>
  <si>
    <t>탁송료</t>
    <phoneticPr fontId="2" type="noConversion"/>
  </si>
  <si>
    <t>리스기간</t>
    <phoneticPr fontId="2" type="noConversion"/>
  </si>
  <si>
    <t>공채할인율</t>
    <phoneticPr fontId="2" type="noConversion"/>
  </si>
  <si>
    <t>≤</t>
    <phoneticPr fontId="2" type="noConversion"/>
  </si>
  <si>
    <t>보증보험</t>
    <phoneticPr fontId="2" type="noConversion"/>
  </si>
  <si>
    <t>할인비율</t>
    <phoneticPr fontId="2" type="noConversion"/>
  </si>
  <si>
    <t>할인금액</t>
    <phoneticPr fontId="2" type="noConversion"/>
  </si>
  <si>
    <t>금액입력</t>
  </si>
  <si>
    <t>보증금 금액입력</t>
    <phoneticPr fontId="2" type="noConversion"/>
  </si>
  <si>
    <t>보증보험 금액입력</t>
    <phoneticPr fontId="2" type="noConversion"/>
  </si>
  <si>
    <t>약정주행거리</t>
    <phoneticPr fontId="2" type="noConversion"/>
  </si>
  <si>
    <t>최종할인금액</t>
    <phoneticPr fontId="2" type="noConversion"/>
  </si>
  <si>
    <t>고잔가가능시  Y</t>
    <phoneticPr fontId="2" type="noConversion"/>
  </si>
  <si>
    <t>고잔가가능</t>
    <phoneticPr fontId="2" type="noConversion"/>
  </si>
  <si>
    <t>서울</t>
    <phoneticPr fontId="13" type="noConversion"/>
  </si>
  <si>
    <t>배기량 →</t>
    <phoneticPr fontId="2" type="noConversion"/>
  </si>
  <si>
    <t>등록지</t>
    <phoneticPr fontId="2" type="noConversion"/>
  </si>
  <si>
    <t>공채매입액</t>
    <phoneticPr fontId="2" type="noConversion"/>
  </si>
  <si>
    <t>공채비용</t>
    <phoneticPr fontId="2" type="noConversion"/>
  </si>
  <si>
    <t>승용일반</t>
    <phoneticPr fontId="2" type="noConversion"/>
  </si>
  <si>
    <t>승합(11~15인)</t>
    <phoneticPr fontId="2" type="noConversion"/>
  </si>
  <si>
    <t>화물(0.6톤 미만)</t>
    <phoneticPr fontId="2" type="noConversion"/>
  </si>
  <si>
    <t>화물(0.6~1톤 미만)</t>
    <phoneticPr fontId="2" type="noConversion"/>
  </si>
  <si>
    <t>화물(1~2.5톤 미만)</t>
    <phoneticPr fontId="2" type="noConversion"/>
  </si>
  <si>
    <t>화물(2.5~4.6톤 미만)</t>
    <phoneticPr fontId="2" type="noConversion"/>
  </si>
  <si>
    <t>화물(4.6톤 이상)</t>
    <phoneticPr fontId="2" type="noConversion"/>
  </si>
  <si>
    <t>부산</t>
    <phoneticPr fontId="13" type="noConversion"/>
  </si>
  <si>
    <t>경남</t>
    <phoneticPr fontId="13" type="noConversion"/>
  </si>
  <si>
    <t>대구</t>
    <phoneticPr fontId="13" type="noConversion"/>
  </si>
  <si>
    <t>인천</t>
    <phoneticPr fontId="13" type="noConversion"/>
  </si>
  <si>
    <t>화물(1000cc 미만)</t>
    <phoneticPr fontId="2" type="noConversion"/>
  </si>
  <si>
    <t>제주</t>
    <phoneticPr fontId="13" type="noConversion"/>
  </si>
  <si>
    <t>차종구분(대)</t>
    <phoneticPr fontId="2" type="noConversion"/>
  </si>
  <si>
    <t>대전</t>
    <phoneticPr fontId="13" type="noConversion"/>
  </si>
  <si>
    <t>광주</t>
    <phoneticPr fontId="13" type="noConversion"/>
  </si>
  <si>
    <t>울산</t>
    <phoneticPr fontId="13" type="noConversion"/>
  </si>
  <si>
    <t>강원</t>
    <phoneticPr fontId="2" type="noConversion"/>
  </si>
  <si>
    <t>전남</t>
    <phoneticPr fontId="2" type="noConversion"/>
  </si>
  <si>
    <t>세종</t>
    <phoneticPr fontId="13" type="noConversion"/>
  </si>
  <si>
    <t>경북</t>
    <phoneticPr fontId="2" type="noConversion"/>
  </si>
  <si>
    <t>경기</t>
    <phoneticPr fontId="13" type="noConversion"/>
  </si>
  <si>
    <t>충남</t>
    <phoneticPr fontId="13" type="noConversion"/>
  </si>
  <si>
    <t>충북</t>
    <phoneticPr fontId="13" type="noConversion"/>
  </si>
  <si>
    <t>전북</t>
    <phoneticPr fontId="13" type="noConversion"/>
  </si>
  <si>
    <t>서울</t>
  </si>
  <si>
    <t xml:space="preserve"> 공채 (비사업용)</t>
    <phoneticPr fontId="2" type="noConversion"/>
  </si>
  <si>
    <t>자동반영</t>
  </si>
  <si>
    <t>취득세 비율입력</t>
    <phoneticPr fontId="2" type="noConversion"/>
  </si>
  <si>
    <t>취득세 감면액입력</t>
    <phoneticPr fontId="2" type="noConversion"/>
  </si>
  <si>
    <t>취득세 금액입력</t>
    <phoneticPr fontId="2" type="noConversion"/>
  </si>
  <si>
    <t>비율입력</t>
    <phoneticPr fontId="2" type="noConversion"/>
  </si>
  <si>
    <t>감면액입력</t>
    <phoneticPr fontId="2" type="noConversion"/>
  </si>
  <si>
    <t>금액입력</t>
    <phoneticPr fontId="2" type="noConversion"/>
  </si>
  <si>
    <t>자동반영(1)</t>
    <phoneticPr fontId="2" type="noConversion"/>
  </si>
  <si>
    <t>자동반영</t>
    <phoneticPr fontId="2" type="noConversion"/>
  </si>
  <si>
    <t>취득세율</t>
    <phoneticPr fontId="2" type="noConversion"/>
  </si>
  <si>
    <t>최종 취득세</t>
    <phoneticPr fontId="2" type="noConversion"/>
  </si>
  <si>
    <t>요율</t>
    <phoneticPr fontId="2" type="noConversion"/>
  </si>
  <si>
    <t>금액</t>
    <phoneticPr fontId="2" type="noConversion"/>
  </si>
  <si>
    <t>취득원가</t>
    <phoneticPr fontId="2" type="noConversion"/>
  </si>
  <si>
    <t>리스기간</t>
    <phoneticPr fontId="2" type="noConversion"/>
  </si>
  <si>
    <t>IRR</t>
    <phoneticPr fontId="2" type="noConversion"/>
  </si>
  <si>
    <t>선납금</t>
    <phoneticPr fontId="2" type="noConversion"/>
  </si>
  <si>
    <t>보증금</t>
    <phoneticPr fontId="2" type="noConversion"/>
  </si>
  <si>
    <t>보증보험</t>
    <phoneticPr fontId="2" type="noConversion"/>
  </si>
  <si>
    <t>잔가</t>
    <phoneticPr fontId="2" type="noConversion"/>
  </si>
  <si>
    <t>주행거리 가감</t>
    <phoneticPr fontId="2" type="noConversion"/>
  </si>
  <si>
    <t>잔가율</t>
    <phoneticPr fontId="2" type="noConversion"/>
  </si>
  <si>
    <t>잔가 금액입력</t>
    <phoneticPr fontId="2" type="noConversion"/>
  </si>
  <si>
    <t>최대잔가→</t>
    <phoneticPr fontId="2" type="noConversion"/>
  </si>
  <si>
    <t>최소 잔가율</t>
    <phoneticPr fontId="2" type="noConversion"/>
  </si>
  <si>
    <t>최소 잔가액</t>
    <phoneticPr fontId="2" type="noConversion"/>
  </si>
  <si>
    <t>최소 잔가율 (취득원가비)</t>
    <phoneticPr fontId="2" type="noConversion"/>
  </si>
  <si>
    <t>최소잔가→</t>
    <phoneticPr fontId="2" type="noConversion"/>
  </si>
  <si>
    <t>금액입력</t>
    <phoneticPr fontId="2" type="noConversion"/>
  </si>
  <si>
    <t>최종 잔가</t>
    <phoneticPr fontId="2" type="noConversion"/>
  </si>
  <si>
    <t>최대 잔가율</t>
    <phoneticPr fontId="2" type="noConversion"/>
  </si>
  <si>
    <t>최대 잔가액</t>
    <phoneticPr fontId="2" type="noConversion"/>
  </si>
  <si>
    <t>최대 잔가율 (취득원가비)</t>
    <phoneticPr fontId="2" type="noConversion"/>
  </si>
  <si>
    <t>잔가 GAP</t>
    <phoneticPr fontId="2" type="noConversion"/>
  </si>
  <si>
    <t>잔가 GAP 비율</t>
    <phoneticPr fontId="2" type="noConversion"/>
  </si>
  <si>
    <t>잔가보장수수료율</t>
    <phoneticPr fontId="2" type="noConversion"/>
  </si>
  <si>
    <t>잔가보장수수료</t>
    <phoneticPr fontId="2" type="noConversion"/>
  </si>
  <si>
    <t>CM수수료율</t>
    <phoneticPr fontId="2" type="noConversion"/>
  </si>
  <si>
    <t xml:space="preserve">AG수수료 </t>
    <phoneticPr fontId="2" type="noConversion"/>
  </si>
  <si>
    <t>요율입력</t>
    <phoneticPr fontId="2" type="noConversion"/>
  </si>
  <si>
    <t>요율+금액입력</t>
    <phoneticPr fontId="2" type="noConversion"/>
  </si>
  <si>
    <t>주행거리</t>
    <phoneticPr fontId="2" type="noConversion"/>
  </si>
  <si>
    <t>AG수수료율</t>
    <phoneticPr fontId="2" type="noConversion"/>
  </si>
  <si>
    <t>CM</t>
    <phoneticPr fontId="2" type="noConversion"/>
  </si>
  <si>
    <t>Total</t>
    <phoneticPr fontId="2" type="noConversion"/>
  </si>
  <si>
    <t>CM수수료</t>
    <phoneticPr fontId="2" type="noConversion"/>
  </si>
  <si>
    <t>제휴수수료(당사명의)</t>
    <phoneticPr fontId="2" type="noConversion"/>
  </si>
  <si>
    <t>요율</t>
    <phoneticPr fontId="2" type="noConversion"/>
  </si>
  <si>
    <t>금액</t>
    <phoneticPr fontId="2" type="noConversion"/>
  </si>
  <si>
    <t>요율+금액</t>
    <phoneticPr fontId="2" type="noConversion"/>
  </si>
  <si>
    <t>제휴수수료(이용자명의)</t>
    <phoneticPr fontId="2" type="noConversion"/>
  </si>
  <si>
    <t>최종 제휴수수료</t>
    <phoneticPr fontId="2" type="noConversion"/>
  </si>
  <si>
    <t>기타비용(당사명의)</t>
  </si>
  <si>
    <t>기타비용(이용자명의)</t>
  </si>
  <si>
    <t>최종 기타비용</t>
  </si>
  <si>
    <t>인지세</t>
    <phoneticPr fontId="2" type="noConversion"/>
  </si>
  <si>
    <t>이용자명의 설정금액</t>
    <phoneticPr fontId="2" type="noConversion"/>
  </si>
  <si>
    <t>이용자명의 설정료</t>
    <phoneticPr fontId="2" type="noConversion"/>
  </si>
  <si>
    <t>자동차세</t>
    <phoneticPr fontId="2" type="noConversion"/>
  </si>
  <si>
    <t>보험료(年)</t>
    <phoneticPr fontId="2" type="noConversion"/>
  </si>
  <si>
    <t>이손액(수입수수료)</t>
    <phoneticPr fontId="2" type="noConversion"/>
  </si>
  <si>
    <t>차량상담</t>
    <phoneticPr fontId="2" type="noConversion"/>
  </si>
  <si>
    <t>용품/서비스 비용</t>
    <phoneticPr fontId="2" type="noConversion"/>
  </si>
  <si>
    <t>리스기간</t>
    <phoneticPr fontId="2" type="noConversion"/>
  </si>
  <si>
    <t>취득원가</t>
    <phoneticPr fontId="2" type="noConversion"/>
  </si>
  <si>
    <t>실제값</t>
    <phoneticPr fontId="2" type="noConversion"/>
  </si>
  <si>
    <t>IRR 반영값</t>
    <phoneticPr fontId="2" type="noConversion"/>
  </si>
  <si>
    <t>AG수수료</t>
    <phoneticPr fontId="2" type="noConversion"/>
  </si>
  <si>
    <t>CM수수료</t>
    <phoneticPr fontId="2" type="noConversion"/>
  </si>
  <si>
    <t>제휴수수료</t>
    <phoneticPr fontId="2" type="noConversion"/>
  </si>
  <si>
    <t>기타비용</t>
    <phoneticPr fontId="2" type="noConversion"/>
  </si>
  <si>
    <t>용품/서비스비용</t>
    <phoneticPr fontId="2" type="noConversion"/>
  </si>
  <si>
    <t>잔가보장수수료</t>
    <phoneticPr fontId="2" type="noConversion"/>
  </si>
  <si>
    <t>이용자명의리스설정료</t>
    <phoneticPr fontId="2" type="noConversion"/>
  </si>
  <si>
    <t>이손액</t>
    <phoneticPr fontId="2" type="noConversion"/>
  </si>
  <si>
    <t>MINUS</t>
    <phoneticPr fontId="2" type="noConversion"/>
  </si>
  <si>
    <t>PLUS</t>
    <phoneticPr fontId="2" type="noConversion"/>
  </si>
  <si>
    <t>보험료(年)</t>
    <phoneticPr fontId="2" type="noConversion"/>
  </si>
  <si>
    <t>보험료(月)</t>
    <phoneticPr fontId="2" type="noConversion"/>
  </si>
  <si>
    <t>PMT(1)</t>
    <phoneticPr fontId="2" type="noConversion"/>
  </si>
  <si>
    <t>RATE(1)</t>
    <phoneticPr fontId="2" type="noConversion"/>
  </si>
  <si>
    <t>RATE(2) 최종금리</t>
    <phoneticPr fontId="2" type="noConversion"/>
  </si>
  <si>
    <t>차세</t>
    <phoneticPr fontId="2" type="noConversion"/>
  </si>
  <si>
    <t>PMT(3) 최종납입금</t>
    <phoneticPr fontId="2" type="noConversion"/>
  </si>
  <si>
    <t>보증금없다면</t>
    <phoneticPr fontId="2" type="noConversion"/>
  </si>
  <si>
    <t>선납금없다면</t>
    <phoneticPr fontId="2" type="noConversion"/>
  </si>
  <si>
    <t>차세</t>
    <phoneticPr fontId="2" type="noConversion"/>
  </si>
  <si>
    <t>~24</t>
    <phoneticPr fontId="2" type="noConversion"/>
  </si>
  <si>
    <t>25~36</t>
    <phoneticPr fontId="2" type="noConversion"/>
  </si>
  <si>
    <t>37~48</t>
    <phoneticPr fontId="2" type="noConversion"/>
  </si>
  <si>
    <t>49~60</t>
    <phoneticPr fontId="2" type="noConversion"/>
  </si>
  <si>
    <t>고객명</t>
    <phoneticPr fontId="2" type="noConversion"/>
  </si>
  <si>
    <t>VVIP</t>
    <phoneticPr fontId="2" type="noConversion"/>
  </si>
  <si>
    <t>실제IRR</t>
    <phoneticPr fontId="2" type="noConversion"/>
  </si>
  <si>
    <t>기본</t>
    <phoneticPr fontId="2" type="noConversion"/>
  </si>
  <si>
    <t>옵션</t>
    <phoneticPr fontId="2" type="noConversion"/>
  </si>
  <si>
    <t>할인</t>
    <phoneticPr fontId="2" type="noConversion"/>
  </si>
  <si>
    <t>차량가격</t>
    <phoneticPr fontId="2" type="noConversion"/>
  </si>
  <si>
    <t>취득세</t>
    <phoneticPr fontId="2" type="noConversion"/>
  </si>
  <si>
    <t>공채비용</t>
    <phoneticPr fontId="2" type="noConversion"/>
  </si>
  <si>
    <t>기타부대비</t>
    <phoneticPr fontId="2" type="noConversion"/>
  </si>
  <si>
    <t>인지세</t>
    <phoneticPr fontId="2" type="noConversion"/>
  </si>
  <si>
    <t>취득원가의</t>
  </si>
  <si>
    <t>보증+선납</t>
    <phoneticPr fontId="2" type="noConversion"/>
  </si>
  <si>
    <t>보증+선납+잔가</t>
    <phoneticPr fontId="2" type="noConversion"/>
  </si>
  <si>
    <t>리스기간</t>
    <phoneticPr fontId="2" type="noConversion"/>
  </si>
  <si>
    <t>리스료</t>
    <phoneticPr fontId="2" type="noConversion"/>
  </si>
  <si>
    <t>선납리스료</t>
    <phoneticPr fontId="2" type="noConversion"/>
  </si>
  <si>
    <t>자동차세</t>
    <phoneticPr fontId="2" type="noConversion"/>
  </si>
  <si>
    <t>보험료</t>
    <phoneticPr fontId="2" type="noConversion"/>
  </si>
  <si>
    <t>잔존가치</t>
    <phoneticPr fontId="2" type="noConversion"/>
  </si>
  <si>
    <t>보증금</t>
    <phoneticPr fontId="2" type="noConversion"/>
  </si>
  <si>
    <t>초기납입금</t>
    <phoneticPr fontId="2" type="noConversion"/>
  </si>
  <si>
    <t>배기량</t>
    <phoneticPr fontId="2" type="noConversion"/>
  </si>
  <si>
    <t>月납입금</t>
    <phoneticPr fontId="2" type="noConversion"/>
  </si>
  <si>
    <t>수납계좌</t>
    <phoneticPr fontId="2" type="noConversion"/>
  </si>
  <si>
    <t>금리표시체크</t>
    <phoneticPr fontId="2" type="noConversion"/>
  </si>
  <si>
    <t>보증잔가율기준체크</t>
    <phoneticPr fontId="2" type="noConversion"/>
  </si>
  <si>
    <t>유예</t>
    <phoneticPr fontId="2" type="noConversion"/>
  </si>
  <si>
    <t>약정주행거리</t>
    <phoneticPr fontId="2" type="noConversion"/>
  </si>
  <si>
    <t>설정금액표시체크</t>
    <phoneticPr fontId="2" type="noConversion"/>
  </si>
  <si>
    <t>선납+보증금율</t>
    <phoneticPr fontId="2" type="noConversion"/>
  </si>
  <si>
    <t>MAX</t>
    <phoneticPr fontId="2" type="noConversion"/>
  </si>
  <si>
    <t>선납+보증+잔가율</t>
    <phoneticPr fontId="2" type="noConversion"/>
  </si>
  <si>
    <t>4대 중요 에러</t>
    <phoneticPr fontId="2" type="noConversion"/>
  </si>
  <si>
    <t>총구매비용</t>
    <phoneticPr fontId="2" type="noConversion"/>
  </si>
  <si>
    <t>리스원금</t>
    <phoneticPr fontId="2" type="noConversion"/>
  </si>
  <si>
    <t>리스원금입력</t>
    <phoneticPr fontId="2" type="noConversion"/>
  </si>
  <si>
    <t>유예</t>
    <phoneticPr fontId="2" type="noConversion"/>
  </si>
  <si>
    <t>차량가비율</t>
  </si>
  <si>
    <t>취득원가비율</t>
    <phoneticPr fontId="2" type="noConversion"/>
  </si>
  <si>
    <t>차량가비율</t>
    <phoneticPr fontId="2" type="noConversion"/>
  </si>
  <si>
    <t>총구매비용비율</t>
    <phoneticPr fontId="2" type="noConversion"/>
  </si>
  <si>
    <t>리스원금비율</t>
  </si>
  <si>
    <t>유예 금액입력</t>
    <phoneticPr fontId="2" type="noConversion"/>
  </si>
  <si>
    <t>유예금</t>
    <phoneticPr fontId="2" type="noConversion"/>
  </si>
  <si>
    <t>리스원금비율</t>
    <phoneticPr fontId="2" type="noConversion"/>
  </si>
  <si>
    <t>금액입력</t>
    <phoneticPr fontId="2" type="noConversion"/>
  </si>
  <si>
    <t>기타비용(고객제외)</t>
    <phoneticPr fontId="2" type="noConversion"/>
  </si>
  <si>
    <t>AG+제휴+기타비용수수료</t>
    <phoneticPr fontId="2" type="noConversion"/>
  </si>
  <si>
    <t>*금융리스,할부는 법정 상한선 적용</t>
    <phoneticPr fontId="2" type="noConversion"/>
  </si>
  <si>
    <t>상한선</t>
    <phoneticPr fontId="2" type="noConversion"/>
  </si>
  <si>
    <t>여유분</t>
    <phoneticPr fontId="2" type="noConversion"/>
  </si>
  <si>
    <t>가능율</t>
    <phoneticPr fontId="2" type="noConversion"/>
  </si>
  <si>
    <t>유예</t>
    <phoneticPr fontId="2" type="noConversion"/>
  </si>
  <si>
    <t>리스료</t>
    <phoneticPr fontId="2" type="noConversion"/>
  </si>
  <si>
    <t>리스원금</t>
    <phoneticPr fontId="2" type="noConversion"/>
  </si>
  <si>
    <t>만기유예금</t>
    <phoneticPr fontId="2" type="noConversion"/>
  </si>
  <si>
    <t>RATE(2)</t>
    <phoneticPr fontId="2" type="noConversion"/>
  </si>
  <si>
    <t>월차세</t>
    <phoneticPr fontId="2" type="noConversion"/>
  </si>
  <si>
    <t>월선납</t>
    <phoneticPr fontId="2" type="noConversion"/>
  </si>
  <si>
    <t>월보험</t>
    <phoneticPr fontId="2" type="noConversion"/>
  </si>
  <si>
    <t xml:space="preserve">PMT(2) </t>
    <phoneticPr fontId="2" type="noConversion"/>
  </si>
  <si>
    <t>순리스료(최종)</t>
    <phoneticPr fontId="2" type="noConversion"/>
  </si>
  <si>
    <t>RATE(3) (최종금리)</t>
    <phoneticPr fontId="2" type="noConversion"/>
  </si>
  <si>
    <t>리스료할인액</t>
    <phoneticPr fontId="2" type="noConversion"/>
  </si>
  <si>
    <t>리스료할인율</t>
    <phoneticPr fontId="2" type="noConversion"/>
  </si>
  <si>
    <t>PMT(2) 최종 순리스료</t>
    <phoneticPr fontId="2" type="noConversion"/>
  </si>
  <si>
    <t>선수금</t>
  </si>
  <si>
    <t>선수금 금액입력</t>
  </si>
  <si>
    <t>선수금액입력</t>
  </si>
  <si>
    <t>부가세</t>
    <phoneticPr fontId="2" type="noConversion"/>
  </si>
  <si>
    <t>선수금(원금)</t>
    <phoneticPr fontId="2" type="noConversion"/>
  </si>
  <si>
    <t>취득세
 (직접입력시만 사용)</t>
    <phoneticPr fontId="2" type="noConversion"/>
  </si>
  <si>
    <t>리스기간(개월)</t>
    <phoneticPr fontId="2" type="noConversion"/>
  </si>
  <si>
    <t>할부기간(개월)</t>
    <phoneticPr fontId="2" type="noConversion"/>
  </si>
  <si>
    <t>할부기간</t>
  </si>
  <si>
    <t>할부원금</t>
  </si>
  <si>
    <t>이용자명의할부설정료</t>
  </si>
  <si>
    <t>할부원금입력</t>
  </si>
  <si>
    <t>할부원금비율</t>
  </si>
  <si>
    <t>PMT(2) 최종 순할부료</t>
  </si>
  <si>
    <t>면제</t>
    <phoneticPr fontId="2" type="noConversion"/>
  </si>
  <si>
    <t>차량설정</t>
    <phoneticPr fontId="2" type="noConversion"/>
  </si>
  <si>
    <t>1백만원설정</t>
    <phoneticPr fontId="2" type="noConversion"/>
  </si>
  <si>
    <t>VVIP</t>
    <phoneticPr fontId="2" type="noConversion"/>
  </si>
  <si>
    <t>승용SUV(7~10인)</t>
    <phoneticPr fontId="2" type="noConversion"/>
  </si>
  <si>
    <t>잔가수수료 거꾸로 된 것 유의!!!! VLOOKUP TRUE 함수</t>
    <phoneticPr fontId="2" type="noConversion"/>
  </si>
  <si>
    <t>미포함(별도청구)</t>
  </si>
  <si>
    <t>현가율 →</t>
    <phoneticPr fontId="2" type="noConversion"/>
  </si>
  <si>
    <t>(Y-Z)/취득원가</t>
    <phoneticPr fontId="2" type="noConversion"/>
  </si>
  <si>
    <t>무보증잔가</t>
    <phoneticPr fontId="2" type="noConversion"/>
  </si>
  <si>
    <t>내재이자율(월)</t>
    <phoneticPr fontId="2" type="noConversion"/>
  </si>
  <si>
    <t>잔가할인(Z)</t>
    <phoneticPr fontId="2" type="noConversion"/>
  </si>
  <si>
    <t>1~만기</t>
    <phoneticPr fontId="2" type="noConversion"/>
  </si>
  <si>
    <t>할인SUM(Y)</t>
    <phoneticPr fontId="2" type="noConversion"/>
  </si>
  <si>
    <t>공채비용 포함여부</t>
    <phoneticPr fontId="2" type="noConversion"/>
  </si>
  <si>
    <t>탁송료 포함여부</t>
    <phoneticPr fontId="2" type="noConversion"/>
  </si>
  <si>
    <t xml:space="preserve">공채 </t>
    <phoneticPr fontId="2" type="noConversion"/>
  </si>
  <si>
    <t>부대비 포함여부</t>
    <phoneticPr fontId="2" type="noConversion"/>
  </si>
  <si>
    <t>탁송료</t>
    <phoneticPr fontId="2" type="noConversion"/>
  </si>
  <si>
    <t>보증+선납비율</t>
    <phoneticPr fontId="2" type="noConversion"/>
  </si>
  <si>
    <t>승용SUV(7~10인)</t>
  </si>
  <si>
    <t>M2 Coupe Competition</t>
  </si>
  <si>
    <t>A4 40 TFSI</t>
  </si>
  <si>
    <t>A4 40 TFSI Premium</t>
  </si>
  <si>
    <t>A6 40 TDI</t>
  </si>
  <si>
    <t>UX 250h 2WD</t>
  </si>
  <si>
    <t>UX 250h AWD</t>
  </si>
  <si>
    <t>Jeep</t>
  </si>
  <si>
    <t>5008 1.5 Allure</t>
  </si>
  <si>
    <t>Citroen</t>
  </si>
  <si>
    <t>911 Carrera Cabriolet</t>
  </si>
  <si>
    <t>911 Carrera S Cabriolet</t>
  </si>
  <si>
    <t>911 Carrera 4S Cabriolet</t>
  </si>
  <si>
    <t>Cayenne Turbo</t>
  </si>
  <si>
    <t>Bentley</t>
    <phoneticPr fontId="2" type="noConversion"/>
  </si>
  <si>
    <t>상한율 설정 (차량가/원금기준)</t>
    <phoneticPr fontId="2" type="noConversion"/>
  </si>
  <si>
    <t>BENZ</t>
    <phoneticPr fontId="2" type="noConversion"/>
  </si>
  <si>
    <t>비제휴사</t>
    <phoneticPr fontId="2" type="noConversion"/>
  </si>
  <si>
    <t>-</t>
    <phoneticPr fontId="2" type="noConversion"/>
  </si>
  <si>
    <t>부가서비스</t>
    <phoneticPr fontId="2" type="noConversion"/>
  </si>
  <si>
    <t>-</t>
  </si>
  <si>
    <t>비율입력</t>
  </si>
  <si>
    <t>하이브리드여부</t>
    <phoneticPr fontId="2" type="noConversion"/>
  </si>
  <si>
    <t>자동반영</t>
    <phoneticPr fontId="2" type="noConversion"/>
  </si>
  <si>
    <t>자동반영 (하이브리드)</t>
    <phoneticPr fontId="2" type="noConversion"/>
  </si>
  <si>
    <t>하이브리드 Y</t>
    <phoneticPr fontId="2" type="noConversion"/>
  </si>
  <si>
    <t>DB적용</t>
  </si>
  <si>
    <t>2.5만km/연</t>
    <phoneticPr fontId="2" type="noConversion"/>
  </si>
  <si>
    <t>모델명 수기입력여부</t>
    <phoneticPr fontId="2" type="noConversion"/>
  </si>
  <si>
    <t>모델명수기입력</t>
    <phoneticPr fontId="2" type="noConversion"/>
  </si>
  <si>
    <t>36M</t>
    <phoneticPr fontId="2" type="noConversion"/>
  </si>
  <si>
    <t>48M</t>
    <phoneticPr fontId="2" type="noConversion"/>
  </si>
  <si>
    <t>60M</t>
    <phoneticPr fontId="2" type="noConversion"/>
  </si>
  <si>
    <t>운용</t>
    <phoneticPr fontId="2" type="noConversion"/>
  </si>
  <si>
    <t>금융</t>
    <phoneticPr fontId="2" type="noConversion"/>
  </si>
  <si>
    <t>할부</t>
    <phoneticPr fontId="2" type="noConversion"/>
  </si>
  <si>
    <t>개월(운용)</t>
    <phoneticPr fontId="2" type="noConversion"/>
  </si>
  <si>
    <t>기간</t>
    <phoneticPr fontId="2" type="noConversion"/>
  </si>
  <si>
    <t>BMW</t>
  </si>
  <si>
    <t>할부
오토론</t>
    <phoneticPr fontId="2" type="noConversion"/>
  </si>
  <si>
    <t>Chevrolet</t>
    <phoneticPr fontId="2" type="noConversion"/>
  </si>
  <si>
    <t>30% 미만</t>
    <phoneticPr fontId="2" type="noConversion"/>
  </si>
  <si>
    <t>30% 이하</t>
    <phoneticPr fontId="2" type="noConversion"/>
  </si>
  <si>
    <t>35% 이하</t>
    <phoneticPr fontId="2" type="noConversion"/>
  </si>
  <si>
    <t>40% 이하</t>
    <phoneticPr fontId="2" type="noConversion"/>
  </si>
  <si>
    <t>45% 이하</t>
    <phoneticPr fontId="2" type="noConversion"/>
  </si>
  <si>
    <t>50% 이하</t>
    <phoneticPr fontId="2" type="noConversion"/>
  </si>
  <si>
    <t>C</t>
  </si>
  <si>
    <t>B</t>
  </si>
  <si>
    <t>N</t>
  </si>
  <si>
    <t>D</t>
  </si>
  <si>
    <t>A</t>
  </si>
  <si>
    <t>E</t>
  </si>
  <si>
    <t>F</t>
  </si>
  <si>
    <t>H</t>
  </si>
  <si>
    <t>K</t>
  </si>
  <si>
    <t>P</t>
  </si>
  <si>
    <t>I</t>
  </si>
  <si>
    <t>L</t>
  </si>
  <si>
    <t>G</t>
  </si>
  <si>
    <t>J</t>
  </si>
  <si>
    <t>M</t>
  </si>
  <si>
    <t>O</t>
  </si>
  <si>
    <t>장기선수금</t>
    <phoneticPr fontId="2" type="noConversion"/>
  </si>
  <si>
    <t>보증금</t>
    <phoneticPr fontId="2" type="noConversion"/>
  </si>
  <si>
    <t>장기선수금</t>
    <phoneticPr fontId="2" type="noConversion"/>
  </si>
  <si>
    <t>우리은행</t>
    <phoneticPr fontId="2" type="noConversion"/>
  </si>
  <si>
    <t>XXXX-XXXXX</t>
    <phoneticPr fontId="2" type="noConversion"/>
  </si>
  <si>
    <t>운용리스 견적서</t>
    <phoneticPr fontId="2" type="noConversion"/>
  </si>
  <si>
    <t>선수금</t>
    <phoneticPr fontId="2" type="noConversion"/>
  </si>
  <si>
    <t>영업담당자</t>
    <phoneticPr fontId="2" type="noConversion"/>
  </si>
  <si>
    <t>견적유효기간</t>
    <phoneticPr fontId="53" type="noConversion"/>
  </si>
  <si>
    <t>010-000-0000</t>
    <phoneticPr fontId="2" type="noConversion"/>
  </si>
  <si>
    <t>견적발행일</t>
    <phoneticPr fontId="53" type="noConversion"/>
  </si>
  <si>
    <t>배기량</t>
    <phoneticPr fontId="2" type="noConversion"/>
  </si>
  <si>
    <t>기본</t>
    <phoneticPr fontId="2" type="noConversion"/>
  </si>
  <si>
    <t>옵션</t>
    <phoneticPr fontId="2" type="noConversion"/>
  </si>
  <si>
    <t>차량가격</t>
    <phoneticPr fontId="2" type="noConversion"/>
  </si>
  <si>
    <t>취득세</t>
    <phoneticPr fontId="2" type="noConversion"/>
  </si>
  <si>
    <t>기타부대비</t>
    <phoneticPr fontId="2" type="noConversion"/>
  </si>
  <si>
    <t>총구매비용</t>
    <phoneticPr fontId="2" type="noConversion"/>
  </si>
  <si>
    <t>月납입금</t>
    <phoneticPr fontId="2" type="noConversion"/>
  </si>
  <si>
    <t>만기유예금</t>
    <phoneticPr fontId="2" type="noConversion"/>
  </si>
  <si>
    <t>금융리스 견적서</t>
    <phoneticPr fontId="2" type="noConversion"/>
  </si>
  <si>
    <t>*보증보험 미표기</t>
    <phoneticPr fontId="2" type="noConversion"/>
  </si>
  <si>
    <t>영업담당자</t>
    <phoneticPr fontId="2" type="noConversion"/>
  </si>
  <si>
    <t>010-0000-0000</t>
    <phoneticPr fontId="2" type="noConversion"/>
  </si>
  <si>
    <t>적용금리</t>
    <phoneticPr fontId="2" type="noConversion"/>
  </si>
  <si>
    <t>ㆍ사업자등록증 사본 ㆍ운전면허증사본 ㆍ주민등록등본 ㆍ인감증명서 ㆍ소득/재산 증빙서류</t>
    <phoneticPr fontId="2" type="noConversion"/>
  </si>
  <si>
    <t>개인(사업자)</t>
    <phoneticPr fontId="2" type="noConversion"/>
  </si>
  <si>
    <t>법인사업자</t>
    <phoneticPr fontId="2" type="noConversion"/>
  </si>
  <si>
    <t>ㆍ자동이체 통장 사본   ※ 전문직종사자는 자격/면허증 사본 필수</t>
    <phoneticPr fontId="2" type="noConversion"/>
  </si>
  <si>
    <t>ㆍ사업자등록증 사본 ㆍ법인등기부등본 ㆍ법인인감증명서 ㆍ최근2개년 재무제표 ㆍ주주명부</t>
    <phoneticPr fontId="2" type="noConversion"/>
  </si>
  <si>
    <t>ㆍ자동이체 통장 사본   ※ 대표이사 연대보증 필수 (신분증/주민등록등본/인감증명서/소득,재산증빙 서류)</t>
    <phoneticPr fontId="2" type="noConversion"/>
  </si>
  <si>
    <t>적용금리</t>
    <phoneticPr fontId="2" type="noConversion"/>
  </si>
  <si>
    <t>* 할부료 상환 매월 후납입니다.</t>
    <phoneticPr fontId="53" type="noConversion"/>
  </si>
  <si>
    <t>* 인지대는 당사 50%, 이용자 50%부담입니다.</t>
    <phoneticPr fontId="2" type="noConversion"/>
  </si>
  <si>
    <t>* 이용자부담 인지대 : 대출금 5천만원원이하 0원, 1억원 이하 35,000원, 10억원 이하 75,000원</t>
    <phoneticPr fontId="2" type="noConversion"/>
  </si>
  <si>
    <t>인지대</t>
    <phoneticPr fontId="2" type="noConversion"/>
  </si>
  <si>
    <t>* 만기 및 중도상환시점 근저당 해지 조건입니다. (해지비용 별도)</t>
    <phoneticPr fontId="2" type="noConversion"/>
  </si>
  <si>
    <t>* 운행중 발생하는 범칙금 및 과태료는 이용자 부담이며, 중도상환시 약정에 따른 수수료가 발생합니다.</t>
    <phoneticPr fontId="53" type="noConversion"/>
  </si>
  <si>
    <t>* 보증/선납금납입에 따른 리스료할인내역</t>
    <phoneticPr fontId="2" type="noConversion"/>
  </si>
  <si>
    <t>보증금</t>
    <phoneticPr fontId="2" type="noConversion"/>
  </si>
  <si>
    <t>선납금</t>
    <phoneticPr fontId="2" type="noConversion"/>
  </si>
  <si>
    <t>▷계약시 유의사항</t>
    <phoneticPr fontId="2" type="noConversion"/>
  </si>
  <si>
    <r>
      <rPr>
        <b/>
        <sz val="8"/>
        <color theme="1"/>
        <rFont val="맑은 고딕"/>
        <family val="3"/>
        <charset val="129"/>
      </rPr>
      <t>▷필요</t>
    </r>
    <r>
      <rPr>
        <b/>
        <sz val="8"/>
        <color theme="1"/>
        <rFont val="맑은 고딕"/>
        <family val="3"/>
        <charset val="129"/>
        <scheme val="major"/>
      </rPr>
      <t>서류 (발행기간 3개월내)</t>
    </r>
    <phoneticPr fontId="2" type="noConversion"/>
  </si>
  <si>
    <t>할부/오토론 견적서</t>
    <phoneticPr fontId="2" type="noConversion"/>
  </si>
  <si>
    <t>초기납입금</t>
    <phoneticPr fontId="2" type="noConversion"/>
  </si>
  <si>
    <t>취득원가</t>
    <phoneticPr fontId="2" type="noConversion"/>
  </si>
  <si>
    <t>CADILLAC</t>
  </si>
  <si>
    <t>FORD</t>
  </si>
  <si>
    <t>HONDA</t>
  </si>
  <si>
    <t>LEXUS</t>
  </si>
  <si>
    <t>LINCOLN</t>
  </si>
  <si>
    <t>MASERATI</t>
  </si>
  <si>
    <t>MINI</t>
  </si>
  <si>
    <t>PEUGEOT</t>
  </si>
  <si>
    <t>PORSCHE</t>
  </si>
  <si>
    <t>TOYOTA</t>
  </si>
  <si>
    <t>VOLVO</t>
  </si>
  <si>
    <t>A3 40 TFSI</t>
  </si>
  <si>
    <t>A4 40 TDI qu. Premium</t>
  </si>
  <si>
    <t>A5 SB 45 TFSI qu. Premium</t>
  </si>
  <si>
    <t>A5 SB 40 TDI qu. Premium</t>
  </si>
  <si>
    <t>A5 Coupe 45 TFSI qu. Premium</t>
  </si>
  <si>
    <t>A5 Cab. 45 TFSI qu. Premium</t>
  </si>
  <si>
    <t>A6 40 TDI Premium</t>
  </si>
  <si>
    <t>A6 40 TDI qu. Premium</t>
  </si>
  <si>
    <t>A6 45 TDI qu. Premium</t>
  </si>
  <si>
    <t>A6 45 TFSI</t>
  </si>
  <si>
    <t>A6 45 TFSI Premium</t>
  </si>
  <si>
    <t>A6 45 TFSI qu. Premium</t>
  </si>
  <si>
    <t>S6 TDI</t>
  </si>
  <si>
    <t>A7 45 TDI qu. Premium</t>
  </si>
  <si>
    <t>A7 50 TDI qu. Premium</t>
  </si>
  <si>
    <t>A7 55 TFSI qu. Premium</t>
  </si>
  <si>
    <t>S7 TDI</t>
  </si>
  <si>
    <t>S8 L 55 TFSI</t>
  </si>
  <si>
    <t>Q2 35 TDI</t>
  </si>
  <si>
    <t>Q2 35 TDI Premium</t>
  </si>
  <si>
    <t>Q3 35 TDI</t>
  </si>
  <si>
    <t>Q3 35 TDI Premium</t>
  </si>
  <si>
    <t>Q5 40 TDI qu. Premium</t>
  </si>
  <si>
    <t>Q7 45 TDI qu.</t>
  </si>
  <si>
    <t>Q7 45 TDI qu. Premium</t>
  </si>
  <si>
    <t>Q7 50 TDI qu. Premium</t>
  </si>
  <si>
    <t>Q8 45 TDI qu. Premium</t>
  </si>
  <si>
    <t>Q8 50 TDI qu. Premium</t>
  </si>
  <si>
    <t>320d Sedan</t>
  </si>
  <si>
    <t>320d M Sport</t>
  </si>
  <si>
    <t>320d M Sport xDrive</t>
  </si>
  <si>
    <t>320i Sedan</t>
  </si>
  <si>
    <t>320i M Sport</t>
  </si>
  <si>
    <t>M340i Sedan</t>
  </si>
  <si>
    <t>330e M Sport</t>
  </si>
  <si>
    <t>320d Touring M Sport</t>
  </si>
  <si>
    <t>420d Coupe M Sport</t>
  </si>
  <si>
    <t>420i Coupe M Sport</t>
  </si>
  <si>
    <t>740d DPE xDrive</t>
  </si>
  <si>
    <t>740d M Sport xDrive</t>
  </si>
  <si>
    <t>M 760Li xDrive</t>
  </si>
  <si>
    <t>M5 Competition</t>
  </si>
  <si>
    <t>M8 Coupe Competition</t>
  </si>
  <si>
    <t>M8 Gran Coupe Competition</t>
  </si>
  <si>
    <t>Z4 sDrive 20i M Sport</t>
  </si>
  <si>
    <t>Z4 M40i</t>
  </si>
  <si>
    <t>X2 xDrive 18d Advantage</t>
  </si>
  <si>
    <t>X2 xDrive 20i Advantage</t>
  </si>
  <si>
    <t>X2 xDrive 20i M Sport</t>
  </si>
  <si>
    <t>X3 M40i</t>
  </si>
  <si>
    <t>X4 M40i</t>
  </si>
  <si>
    <t>X5 30d xLine xDrive (7인승)</t>
  </si>
  <si>
    <t>X6 30d M Sport xDrive</t>
  </si>
  <si>
    <t>X6 40i M Sport xDrive</t>
  </si>
  <si>
    <t>X7 xDrive 40d DPE (6인승)</t>
  </si>
  <si>
    <t>X7 xDrive 40d DPE (7인승)</t>
  </si>
  <si>
    <t>X7 xDrive 40d M Sport (6인승)</t>
  </si>
  <si>
    <t>X7 xDrive 40i DPE (6인승)</t>
  </si>
  <si>
    <t>X7 xDrive 40i DPE (7인승)</t>
  </si>
  <si>
    <t>XT5 Premium Luxury</t>
  </si>
  <si>
    <t>XT5 Sport</t>
  </si>
  <si>
    <t>Portofino Convertible GT</t>
  </si>
  <si>
    <t>812 Superfast V12</t>
  </si>
  <si>
    <t>F8 Tributo V8</t>
  </si>
  <si>
    <t>ACCORD 1.5 Turbo</t>
  </si>
  <si>
    <t>CIVIC Sport 1.5 Turbo</t>
  </si>
  <si>
    <t>Grand Cherokee 3.6 Limited</t>
  </si>
  <si>
    <t>Urus V8</t>
  </si>
  <si>
    <t>Aventador LP740-4 S</t>
  </si>
  <si>
    <t>Aventador LP770-4 SVJ</t>
  </si>
  <si>
    <t>Aventador LP740-4 S Roadster</t>
  </si>
  <si>
    <t>Aventador LP770-4 SVJ Roadster</t>
  </si>
  <si>
    <t>Huracan EVO LP610-2</t>
  </si>
  <si>
    <t>Huracan EVO LP640-4</t>
  </si>
  <si>
    <t>Huracan EVO LP640-4 Spyder</t>
  </si>
  <si>
    <t>RC F</t>
  </si>
  <si>
    <t>LC 500 Sport+</t>
  </si>
  <si>
    <t>LC 500h Sport+</t>
  </si>
  <si>
    <t>Nautilus 200A</t>
  </si>
  <si>
    <t>Nautilus 202A</t>
  </si>
  <si>
    <t>Corsair Reserve</t>
  </si>
  <si>
    <t>Aviator Reserve</t>
  </si>
  <si>
    <t>Aviator Black Label</t>
  </si>
  <si>
    <t>Levante Trofeo</t>
  </si>
  <si>
    <t>C 200 Coupe</t>
  </si>
  <si>
    <t>G 63 AMG</t>
  </si>
  <si>
    <t>MINI Hatch 3 door Cooper JCW</t>
  </si>
  <si>
    <t>e-208 Allure</t>
  </si>
  <si>
    <t>2008 Allure</t>
  </si>
  <si>
    <t>e-2008 Allure</t>
  </si>
  <si>
    <t>508 1.5 Allure</t>
  </si>
  <si>
    <t>911 Carrera 4 Cabriolet</t>
  </si>
  <si>
    <t>911 Carrera GTS Cabriolet</t>
  </si>
  <si>
    <t>911 Carrera 4 GTS Cabriolet</t>
  </si>
  <si>
    <t>911 Targa 4</t>
  </si>
  <si>
    <t>911 Targa 4S</t>
  </si>
  <si>
    <t>911 Targa 4 GTS</t>
  </si>
  <si>
    <t>911 Turbo S Cabriolet</t>
  </si>
  <si>
    <t>718 BOXSTER 2.0</t>
  </si>
  <si>
    <t>718 BOXSTER S</t>
  </si>
  <si>
    <t>718 BOXSTER GTS</t>
  </si>
  <si>
    <t>718 Cayman 2.0</t>
  </si>
  <si>
    <t>718 Cayman S</t>
  </si>
  <si>
    <t>718 Cayman GTS</t>
  </si>
  <si>
    <t>Cayenne Turbo Coupe</t>
  </si>
  <si>
    <t>Panamera 4 E-Hybrid</t>
  </si>
  <si>
    <t>Taycan 4S</t>
  </si>
  <si>
    <t>Taycan Turbo</t>
  </si>
  <si>
    <t>Taycan Turbo S</t>
  </si>
  <si>
    <t>PRIUS C Crossover 1.5 Hybrid</t>
  </si>
  <si>
    <t>PRIUS 1.8 Hybrid 2WD</t>
  </si>
  <si>
    <t>PRIUS 1.8 Hybrid 4WD</t>
  </si>
  <si>
    <t>PRIUS Prime 1.8 PHEV</t>
  </si>
  <si>
    <t>CAMRY Hybrid LE</t>
  </si>
  <si>
    <t>CAMRY Hybrid XLE</t>
  </si>
  <si>
    <t>Touareg 3.0 TDI Premium</t>
  </si>
  <si>
    <t>Touareg 3.0 TDI Prestige</t>
  </si>
  <si>
    <t>Touareg 3.0 TDI R-Line</t>
  </si>
  <si>
    <t>Touareg 4.0 TDI Prestige</t>
  </si>
  <si>
    <t>Touareg 4.0 TDI R-Line</t>
  </si>
  <si>
    <t>S60 B5 Momentum</t>
  </si>
  <si>
    <t>TESLA</t>
  </si>
  <si>
    <t>Ferrari</t>
  </si>
  <si>
    <t>Jaguar-Landrover</t>
  </si>
  <si>
    <t>Lamborghini</t>
  </si>
  <si>
    <t>Model X EV AWD Long Range</t>
  </si>
  <si>
    <t>Model X EV AWD  Performance</t>
  </si>
  <si>
    <t>Model S 100D Long Range</t>
  </si>
  <si>
    <t>Model S 100D Performance</t>
  </si>
  <si>
    <t>Model 3 EV Standard Rang Plus</t>
  </si>
  <si>
    <t>Model 3 EV AWD Long Range</t>
  </si>
  <si>
    <t>Model 3 EV AWD Performance</t>
  </si>
  <si>
    <t>Volkswagen</t>
    <phoneticPr fontId="2" type="noConversion"/>
  </si>
  <si>
    <t>AUDI</t>
    <phoneticPr fontId="2" type="noConversion"/>
  </si>
  <si>
    <t>BENZ</t>
    <phoneticPr fontId="2" type="noConversion"/>
  </si>
  <si>
    <t>BENZ</t>
    <phoneticPr fontId="2" type="noConversion"/>
  </si>
  <si>
    <t>AUDI</t>
    <phoneticPr fontId="2" type="noConversion"/>
  </si>
  <si>
    <t>LEXUS</t>
    <phoneticPr fontId="2" type="noConversion"/>
  </si>
  <si>
    <t>HONDA</t>
    <phoneticPr fontId="2" type="noConversion"/>
  </si>
  <si>
    <t>VOLVO</t>
    <phoneticPr fontId="2" type="noConversion"/>
  </si>
  <si>
    <t>CADILLAC</t>
    <phoneticPr fontId="2" type="noConversion"/>
  </si>
  <si>
    <t>Ferrari</t>
    <phoneticPr fontId="2" type="noConversion"/>
  </si>
  <si>
    <t>FORD</t>
    <phoneticPr fontId="2" type="noConversion"/>
  </si>
  <si>
    <t>Lamborghini</t>
    <phoneticPr fontId="2" type="noConversion"/>
  </si>
  <si>
    <t>LINCOLN</t>
    <phoneticPr fontId="2" type="noConversion"/>
  </si>
  <si>
    <t>MASERATI</t>
    <phoneticPr fontId="2" type="noConversion"/>
  </si>
  <si>
    <t>MINI</t>
    <phoneticPr fontId="2" type="noConversion"/>
  </si>
  <si>
    <t>PEUGEOT</t>
    <phoneticPr fontId="2" type="noConversion"/>
  </si>
  <si>
    <t>PORSCHE</t>
    <phoneticPr fontId="2" type="noConversion"/>
  </si>
  <si>
    <t>TOYOTA</t>
    <phoneticPr fontId="2" type="noConversion"/>
  </si>
  <si>
    <t>인천</t>
  </si>
  <si>
    <t>Y</t>
    <phoneticPr fontId="2" type="noConversion"/>
  </si>
  <si>
    <t>VAT포함</t>
    <phoneticPr fontId="2" type="noConversion"/>
  </si>
  <si>
    <t>기본 12개월</t>
    <phoneticPr fontId="2" type="noConversion"/>
  </si>
  <si>
    <t>기본 24개월</t>
    <phoneticPr fontId="2" type="noConversion"/>
  </si>
  <si>
    <t>기본 36개월</t>
    <phoneticPr fontId="2" type="noConversion"/>
  </si>
  <si>
    <t>기본 48개월</t>
    <phoneticPr fontId="2" type="noConversion"/>
  </si>
  <si>
    <t>기본 60개월</t>
    <phoneticPr fontId="2" type="noConversion"/>
  </si>
  <si>
    <t>잔가프로모션</t>
    <phoneticPr fontId="2" type="noConversion"/>
  </si>
  <si>
    <t>비고1</t>
    <phoneticPr fontId="2" type="noConversion"/>
  </si>
  <si>
    <t>Panamera 4</t>
    <phoneticPr fontId="2" type="noConversion"/>
  </si>
  <si>
    <t>Panamera 4 Executive</t>
    <phoneticPr fontId="2" type="noConversion"/>
  </si>
  <si>
    <t>Panamera GTS</t>
    <phoneticPr fontId="2" type="noConversion"/>
  </si>
  <si>
    <t xml:space="preserve">  </t>
    <phoneticPr fontId="2" type="noConversion"/>
  </si>
  <si>
    <t>차량명의</t>
    <phoneticPr fontId="2" type="noConversion"/>
  </si>
  <si>
    <t>차량가 기준</t>
  </si>
  <si>
    <t>보증금률 표시기준</t>
    <phoneticPr fontId="2" type="noConversion"/>
  </si>
  <si>
    <t>기본차량가(직접입력)</t>
    <phoneticPr fontId="2" type="noConversion"/>
  </si>
  <si>
    <t>기본차량가(직접입력)</t>
    <phoneticPr fontId="2" type="noConversion"/>
  </si>
  <si>
    <t>기본차량가(직접입력)</t>
    <phoneticPr fontId="2" type="noConversion"/>
  </si>
  <si>
    <t xml:space="preserve"> OOO</t>
    <phoneticPr fontId="2" type="noConversion"/>
  </si>
  <si>
    <t>OOO</t>
    <phoneticPr fontId="2" type="noConversion"/>
  </si>
  <si>
    <t>OOO</t>
    <phoneticPr fontId="2" type="noConversion"/>
  </si>
  <si>
    <t>Jaguar_Landrover</t>
    <phoneticPr fontId="2" type="noConversion"/>
  </si>
  <si>
    <t>520i Luxury</t>
    <phoneticPr fontId="2" type="noConversion"/>
  </si>
  <si>
    <t>520i M Sport</t>
    <phoneticPr fontId="2" type="noConversion"/>
  </si>
  <si>
    <t>530i M Sport xDrive</t>
    <phoneticPr fontId="2" type="noConversion"/>
  </si>
  <si>
    <t>M550i xDrive</t>
    <phoneticPr fontId="2" type="noConversion"/>
  </si>
  <si>
    <t>523d M Sport</t>
    <phoneticPr fontId="2" type="noConversion"/>
  </si>
  <si>
    <t>523d M Sport xDrive</t>
    <phoneticPr fontId="2" type="noConversion"/>
  </si>
  <si>
    <t>530e M Sport</t>
    <phoneticPr fontId="2" type="noConversion"/>
  </si>
  <si>
    <t>AUDI</t>
  </si>
  <si>
    <t>BENZ</t>
  </si>
  <si>
    <t>확    인    서</t>
  </si>
  <si>
    <t>-    아        래    -</t>
    <phoneticPr fontId="2" type="noConversion"/>
  </si>
  <si>
    <t> ● 공채할인  내역</t>
    <phoneticPr fontId="2" type="noConversion"/>
  </si>
  <si>
    <t>당초 예상할인금액</t>
    <phoneticPr fontId="2" type="noConversion"/>
  </si>
  <si>
    <t>등록시 공채할인금액</t>
    <phoneticPr fontId="2" type="noConversion"/>
  </si>
  <si>
    <t>차액</t>
    <phoneticPr fontId="2" type="noConversion"/>
  </si>
  <si>
    <t xml:space="preserve">  자동차 리스계약 (계약번호:                        ) 에 의거, 자동차 등록시 </t>
    <phoneticPr fontId="2" type="noConversion"/>
  </si>
  <si>
    <t xml:space="preserve">  발생한 아래의 공채할인금액 차액을 정히 수령하였음을 확인합니다.</t>
    <phoneticPr fontId="2" type="noConversion"/>
  </si>
  <si>
    <t>1000CC이하제거</t>
    <phoneticPr fontId="2" type="noConversion"/>
  </si>
  <si>
    <t>Bentley</t>
    <phoneticPr fontId="2" type="noConversion"/>
  </si>
  <si>
    <t>A4 35 TDI</t>
    <phoneticPr fontId="2" type="noConversion"/>
  </si>
  <si>
    <t>A5 SB 40 TFSI qu. Premium</t>
    <phoneticPr fontId="2" type="noConversion"/>
  </si>
  <si>
    <t>XT4 SPORT</t>
    <phoneticPr fontId="2" type="noConversion"/>
  </si>
  <si>
    <t>R8 V10 Performance</t>
    <phoneticPr fontId="2" type="noConversion"/>
  </si>
  <si>
    <t>010-0000-0000</t>
    <phoneticPr fontId="2" type="noConversion"/>
  </si>
  <si>
    <t>A-standard</t>
    <phoneticPr fontId="2" type="noConversion"/>
  </si>
  <si>
    <t>B-standard</t>
    <phoneticPr fontId="2" type="noConversion"/>
  </si>
  <si>
    <t>기본</t>
    <phoneticPr fontId="2" type="noConversion"/>
  </si>
  <si>
    <t>C-standard</t>
    <phoneticPr fontId="2" type="noConversion"/>
  </si>
  <si>
    <t>GAP</t>
    <phoneticPr fontId="2" type="noConversion"/>
  </si>
  <si>
    <t>Type</t>
    <phoneticPr fontId="2" type="noConversion"/>
  </si>
  <si>
    <t>수수료율</t>
    <phoneticPr fontId="2" type="noConversion"/>
  </si>
  <si>
    <t>Type-B 참고</t>
    <phoneticPr fontId="2" type="noConversion"/>
  </si>
  <si>
    <t>엠캐피탈㈜</t>
    <phoneticPr fontId="2" type="noConversion"/>
  </si>
  <si>
    <t>KCC오토</t>
    <phoneticPr fontId="2" type="noConversion"/>
  </si>
  <si>
    <t>CAMRY Hybrid XSE</t>
    <phoneticPr fontId="2" type="noConversion"/>
  </si>
  <si>
    <t>F-PACE D200 SE</t>
    <phoneticPr fontId="2" type="noConversion"/>
  </si>
  <si>
    <t>취득원가</t>
    <phoneticPr fontId="2" type="noConversion"/>
  </si>
  <si>
    <t>- 차량가 내 포함되는 탁송료만 입력</t>
    <phoneticPr fontId="2" type="noConversion"/>
  </si>
  <si>
    <t>- 이용자명의 이용불가</t>
    <phoneticPr fontId="2" type="noConversion"/>
  </si>
  <si>
    <t>선수금(리스원금)</t>
    <phoneticPr fontId="2" type="noConversion"/>
  </si>
  <si>
    <t>- 리스원금 차량가격 이상 취급 불가</t>
    <phoneticPr fontId="2" type="noConversion"/>
  </si>
  <si>
    <t>- 할부원금 차량가 이상 취급불가</t>
    <phoneticPr fontId="2" type="noConversion"/>
  </si>
  <si>
    <t>MSRP</t>
    <phoneticPr fontId="2" type="noConversion"/>
  </si>
  <si>
    <t>MSRP</t>
    <phoneticPr fontId="2" type="noConversion"/>
  </si>
  <si>
    <t>MSRP</t>
    <phoneticPr fontId="2" type="noConversion"/>
  </si>
  <si>
    <t>MSRP</t>
    <phoneticPr fontId="2" type="noConversion"/>
  </si>
  <si>
    <t xml:space="preserve"> </t>
    <phoneticPr fontId="2" type="noConversion"/>
  </si>
  <si>
    <t>비제휴사</t>
  </si>
  <si>
    <t>SQ5 TFSI</t>
    <phoneticPr fontId="2" type="noConversion"/>
  </si>
  <si>
    <t>Vantage V8</t>
    <phoneticPr fontId="2" type="noConversion"/>
  </si>
  <si>
    <t>DBS Superleggera V12</t>
    <phoneticPr fontId="2" type="noConversion"/>
  </si>
  <si>
    <t>DBX V8</t>
    <phoneticPr fontId="2" type="noConversion"/>
  </si>
  <si>
    <t>DB11 4.0 V8</t>
    <phoneticPr fontId="2" type="noConversion"/>
  </si>
  <si>
    <t>DB11 5.2 V8</t>
    <phoneticPr fontId="2" type="noConversion"/>
  </si>
  <si>
    <t>DB11 4.0 V8 Volante</t>
    <phoneticPr fontId="2" type="noConversion"/>
  </si>
  <si>
    <t>McLaren</t>
    <phoneticPr fontId="2" type="noConversion"/>
  </si>
  <si>
    <t>McLaren</t>
    <phoneticPr fontId="2" type="noConversion"/>
  </si>
  <si>
    <t>720S Spider</t>
    <phoneticPr fontId="2" type="noConversion"/>
  </si>
  <si>
    <t>720S</t>
    <phoneticPr fontId="2" type="noConversion"/>
  </si>
  <si>
    <t>GT 4.0</t>
    <phoneticPr fontId="2" type="noConversion"/>
  </si>
  <si>
    <t>ASTON_MARTIN</t>
    <phoneticPr fontId="2" type="noConversion"/>
  </si>
  <si>
    <t>ASTON_MARTIN</t>
    <phoneticPr fontId="2" type="noConversion"/>
  </si>
  <si>
    <t>S4 TFSI</t>
    <phoneticPr fontId="2" type="noConversion"/>
  </si>
  <si>
    <t>RS6 Avant TFSI</t>
    <phoneticPr fontId="2" type="noConversion"/>
  </si>
  <si>
    <t>RS7 TFSI</t>
    <phoneticPr fontId="2" type="noConversion"/>
  </si>
  <si>
    <t>제휴수수료면제여부</t>
    <phoneticPr fontId="2" type="noConversion"/>
  </si>
  <si>
    <t>KCC면제</t>
    <phoneticPr fontId="2" type="noConversion"/>
  </si>
  <si>
    <t>↑ 모델 없을시 직접입력(잔가군 문의 요망)</t>
    <phoneticPr fontId="2" type="noConversion"/>
  </si>
  <si>
    <t xml:space="preserve">     차종직접입력</t>
    <phoneticPr fontId="2" type="noConversion"/>
  </si>
  <si>
    <t>면제여부</t>
    <phoneticPr fontId="2" type="noConversion"/>
  </si>
  <si>
    <t>AUDI</t>
    <phoneticPr fontId="2" type="noConversion"/>
  </si>
  <si>
    <t>C 200 Cabriolet</t>
  </si>
  <si>
    <t>ACCORD 2.0 HYBRID Touring</t>
    <phoneticPr fontId="2" type="noConversion"/>
  </si>
  <si>
    <t>911 GT3</t>
    <phoneticPr fontId="2" type="noConversion"/>
  </si>
  <si>
    <t>Cayenne Turbo GT</t>
    <phoneticPr fontId="2" type="noConversion"/>
  </si>
  <si>
    <t>승용일반</t>
    <phoneticPr fontId="2" type="noConversion"/>
  </si>
  <si>
    <t>주행거리가감</t>
    <phoneticPr fontId="2" type="noConversion"/>
  </si>
  <si>
    <t>최대잔가율</t>
    <phoneticPr fontId="2" type="noConversion"/>
  </si>
  <si>
    <t>e-tron 55 qu.</t>
    <phoneticPr fontId="2" type="noConversion"/>
  </si>
  <si>
    <t>Taycan Base</t>
    <phoneticPr fontId="2" type="noConversion"/>
  </si>
  <si>
    <t>Q5 40 TDI qu.</t>
    <phoneticPr fontId="2" type="noConversion"/>
  </si>
  <si>
    <t>Q5 45 TFSI qu. Premium</t>
    <phoneticPr fontId="2" type="noConversion"/>
  </si>
  <si>
    <t>AUDI</t>
    <phoneticPr fontId="2" type="noConversion"/>
  </si>
  <si>
    <t>A5 SB 40 TFSI qu.</t>
    <phoneticPr fontId="2" type="noConversion"/>
  </si>
  <si>
    <t xml:space="preserve">  귀사와                     간에    202    년      월         일자로 체결한 </t>
    <phoneticPr fontId="2" type="noConversion"/>
  </si>
  <si>
    <t>경차 75만초과분 부담</t>
    <phoneticPr fontId="2" type="noConversion"/>
  </si>
  <si>
    <t>경차 75만초과분 부담</t>
    <phoneticPr fontId="2" type="noConversion"/>
  </si>
  <si>
    <t>경차 75만초과분 부담</t>
    <phoneticPr fontId="2" type="noConversion"/>
  </si>
  <si>
    <t>- 하이브리드, 전기차, 경차 등 특례해당건 취득세 재확인 요망</t>
    <phoneticPr fontId="2" type="noConversion"/>
  </si>
  <si>
    <t>A 220 Sedan</t>
  </si>
  <si>
    <t>* 상기 견적의 유효기간은 7일 이며, 7일 이후에는 당사 기준금리 및 당사 기준의 변동으로 인하여 변동 될수 있습니다.</t>
    <phoneticPr fontId="2" type="noConversion"/>
  </si>
  <si>
    <t>Panamera Turbo S E-Hybrid</t>
    <phoneticPr fontId="2" type="noConversion"/>
  </si>
  <si>
    <t>NX 350h Premium</t>
    <phoneticPr fontId="2" type="noConversion"/>
  </si>
  <si>
    <t>NX 350h Luxury</t>
    <phoneticPr fontId="2" type="noConversion"/>
  </si>
  <si>
    <t>NX 450h+ Premium</t>
    <phoneticPr fontId="2" type="noConversion"/>
  </si>
  <si>
    <t>NX 450h+ F SPORT</t>
    <phoneticPr fontId="2" type="noConversion"/>
  </si>
  <si>
    <t>Q</t>
  </si>
  <si>
    <t>R</t>
  </si>
  <si>
    <t>S</t>
  </si>
  <si>
    <t>T</t>
  </si>
  <si>
    <t>U</t>
  </si>
  <si>
    <t>V</t>
  </si>
  <si>
    <t>↑ KCC오토 진행시 필수 선택</t>
    <phoneticPr fontId="2" type="noConversion"/>
  </si>
  <si>
    <t>승용일반</t>
    <phoneticPr fontId="2" type="noConversion"/>
  </si>
  <si>
    <t>218d Active Tourer Advantage</t>
    <phoneticPr fontId="2" type="noConversion"/>
  </si>
  <si>
    <t>218d Active Tourer Luxury</t>
    <phoneticPr fontId="2" type="noConversion"/>
  </si>
  <si>
    <t>220i Gran Coupe M Sport</t>
    <phoneticPr fontId="2" type="noConversion"/>
  </si>
  <si>
    <t>Taycan GTS</t>
    <phoneticPr fontId="2" type="noConversion"/>
  </si>
  <si>
    <t>제휴수수료율</t>
    <phoneticPr fontId="2" type="noConversion"/>
  </si>
  <si>
    <t>제휴사</t>
    <phoneticPr fontId="2" type="noConversion"/>
  </si>
  <si>
    <t>리스원금</t>
    <phoneticPr fontId="2" type="noConversion"/>
  </si>
  <si>
    <t>근저당설정</t>
    <phoneticPr fontId="2" type="noConversion"/>
  </si>
  <si>
    <t>(설정지원금)</t>
    <phoneticPr fontId="2" type="noConversion"/>
  </si>
  <si>
    <t>인지대</t>
    <phoneticPr fontId="2" type="noConversion"/>
  </si>
  <si>
    <t>Q4 e-tron 40</t>
    <phoneticPr fontId="2" type="noConversion"/>
  </si>
  <si>
    <t>Q4 e-tron 40 Premium</t>
    <phoneticPr fontId="2" type="noConversion"/>
  </si>
  <si>
    <t>B프로모션</t>
    <phoneticPr fontId="2" type="noConversion"/>
  </si>
  <si>
    <t>C프로모션</t>
    <phoneticPr fontId="2" type="noConversion"/>
  </si>
  <si>
    <t>Type-C-Promo</t>
    <phoneticPr fontId="2" type="noConversion"/>
  </si>
  <si>
    <t>Type-C</t>
    <phoneticPr fontId="2" type="noConversion"/>
  </si>
  <si>
    <t>* 보험은 자차 질권설정(차량가 100%) 후 증권사본 송부 부탁드립니다.(엠캐피탈㈜, 105-81-87072)</t>
  </si>
  <si>
    <t>* 계약종결 후 소유권 이전 시 당사매매대금 또는 구청기준과표로 취득세 발생됩니다.</t>
  </si>
  <si>
    <t xml:space="preserve">* 지방세법 제10조 개정(시행 '23.1.1)에 따라 취득세 과세표준을 취득가액과 시가표준액 중 높은 금액을 </t>
  </si>
  <si>
    <t xml:space="preserve">* 지방세법 제10조 개정(시행 '23.1.1)에 따라 취득세 과세표준을 취득가액과 시가표준액 중 높은 금액을 </t>
    <phoneticPr fontId="2" type="noConversion"/>
  </si>
  <si>
    <t xml:space="preserve">  과세표준으로 하도록 규정되어 견적서 상의 취득세와 상이할 수 있습니다. 이와 같은 경우, 고객님께서</t>
  </si>
  <si>
    <t xml:space="preserve">  취등록세 차액분을 직접 납부해주셔야 하며, 영업담당자는 반드시 과세표준 확인 후 견적부탁드립니다.</t>
  </si>
  <si>
    <t xml:space="preserve">  취등록세 차액분을 직접 납부해주셔야 하며, 영업담당자는 반드시 과세표준 확인 후 견적부탁드립니다.</t>
    <phoneticPr fontId="2" type="noConversion"/>
  </si>
  <si>
    <t>* 중도상환수수료는 "잔여미회수원금 X 최대 2% * (잔여기간 월수/리스기간 전체월수)" 입니다.</t>
  </si>
  <si>
    <t>* 운행중 발생하는 범칙금 및 과태료는 이용자 부담이며, 중도상환시 약정에 따른 수수료가 발생합니다.</t>
  </si>
  <si>
    <t xml:space="preserve">  과세표준으로 하도록 규정되어 견적서 상의 취득세와 상이할 수 있습니다. 이와 같은 경우, 고객님께서</t>
    <phoneticPr fontId="2" type="noConversion"/>
  </si>
  <si>
    <t>잔가보장사</t>
    <phoneticPr fontId="2" type="noConversion"/>
  </si>
  <si>
    <t>잔가GAP</t>
    <phoneticPr fontId="2" type="noConversion"/>
  </si>
  <si>
    <t>잔가수수료율</t>
    <phoneticPr fontId="2" type="noConversion"/>
  </si>
  <si>
    <t>잔가보장수수료</t>
    <phoneticPr fontId="2" type="noConversion"/>
  </si>
  <si>
    <t>일반잔가</t>
    <phoneticPr fontId="2" type="noConversion"/>
  </si>
  <si>
    <t>제휴사</t>
    <phoneticPr fontId="2" type="noConversion"/>
  </si>
  <si>
    <t>취득원가</t>
    <phoneticPr fontId="2" type="noConversion"/>
  </si>
  <si>
    <t>제휴수수료율</t>
    <phoneticPr fontId="2" type="noConversion"/>
  </si>
  <si>
    <t>제휴수수료</t>
    <phoneticPr fontId="2" type="noConversion"/>
  </si>
  <si>
    <t>제휴사</t>
    <phoneticPr fontId="2" type="noConversion"/>
  </si>
  <si>
    <t>리스원금</t>
    <phoneticPr fontId="2" type="noConversion"/>
  </si>
  <si>
    <t>근저당설정</t>
    <phoneticPr fontId="2" type="noConversion"/>
  </si>
  <si>
    <t>(설정지원금)</t>
    <phoneticPr fontId="2" type="noConversion"/>
  </si>
  <si>
    <t xml:space="preserve"> M 캐피탈 주식회사 귀중</t>
    <phoneticPr fontId="2" type="noConversion"/>
  </si>
  <si>
    <t xml:space="preserve">                   (인)</t>
    <phoneticPr fontId="2" type="noConversion"/>
  </si>
  <si>
    <t>리스이용자</t>
    <phoneticPr fontId="2" type="noConversion"/>
  </si>
  <si>
    <t>연대보증인</t>
    <phoneticPr fontId="2" type="noConversion"/>
  </si>
  <si>
    <t>A3 40 TFSI Premium</t>
  </si>
  <si>
    <t>A6 50 TDI qu. Premium</t>
  </si>
  <si>
    <t>A8 50 TDI qu. Premium</t>
  </si>
  <si>
    <t>A8 L 50 TDI qu. Premium</t>
  </si>
  <si>
    <t>A8 L 55 TFSI qu. Premium</t>
  </si>
  <si>
    <t>A8 L 60 TFSI qu. (4 Seat)</t>
  </si>
  <si>
    <t>A8 L 60 TFSI qu. (5 Seat)</t>
  </si>
  <si>
    <t>Q3 35 TDI qu. Premium</t>
  </si>
  <si>
    <t>Q4 e-tron SB 40</t>
  </si>
  <si>
    <t>Q4 e-tron SB 40 Premium</t>
  </si>
  <si>
    <t>A4 45 TFSI qu. Premium</t>
  </si>
  <si>
    <t>Q5 SB 40 TDI qu.</t>
  </si>
  <si>
    <t>Q5 SB 40 TDI qu. Premium</t>
  </si>
  <si>
    <t>Q5 SB 45 TFSI qu.</t>
  </si>
  <si>
    <t>Q5 SB 45 TFSI qu. Premium</t>
  </si>
  <si>
    <t>Q7 55 TFSI qu. Premium</t>
  </si>
  <si>
    <t>Q8 45 TDI qu.</t>
  </si>
  <si>
    <t>Q8 55 TFSI qu. Premium</t>
  </si>
  <si>
    <t>RS Q8 4.0 TFSI</t>
  </si>
  <si>
    <t>S3 TFSI</t>
  </si>
  <si>
    <t>S5 SB TFSI</t>
  </si>
  <si>
    <t>S5 Coupe TFSI</t>
  </si>
  <si>
    <t>SQ5 SB TFSI</t>
  </si>
  <si>
    <t>e-tron GT qu.</t>
  </si>
  <si>
    <t>e-tron GT qu. Premium</t>
  </si>
  <si>
    <t>e-tron SB 55 qu.</t>
  </si>
  <si>
    <t>e-tron GT RS</t>
  </si>
  <si>
    <t>e-tron S</t>
  </si>
  <si>
    <t>e-tron SB S</t>
  </si>
  <si>
    <t>New Continental GT V8</t>
  </si>
  <si>
    <t>New Flying Spur Classic</t>
  </si>
  <si>
    <t>New Flying Spur Sport</t>
  </si>
  <si>
    <t>Mulsanne 6.8</t>
  </si>
  <si>
    <t>New Bentayga V8 (2021)</t>
  </si>
  <si>
    <t>220i Active Tourer Advantage</t>
  </si>
  <si>
    <t>220i Active Tourer Luxury</t>
  </si>
  <si>
    <t>220i Active Tourer M Sport</t>
  </si>
  <si>
    <t>220i Gran Coupe Sport</t>
  </si>
  <si>
    <t>320d Sedan xDrive</t>
  </si>
  <si>
    <t>320d Touring</t>
  </si>
  <si>
    <t>320i Touring</t>
  </si>
  <si>
    <t>320i Touring M Sport</t>
  </si>
  <si>
    <t>420d Gran Coupe M Sport</t>
  </si>
  <si>
    <t>420d Gran Coupe M Sport Perf. Pkg</t>
  </si>
  <si>
    <t>420i Convertible M Sport</t>
  </si>
  <si>
    <t>420i Gran Coupe M Sport</t>
  </si>
  <si>
    <t>420i Gran Coupe M Sport Perf. Pkg</t>
  </si>
  <si>
    <t>i4 eDrive40 Gran Coupe M Sport</t>
  </si>
  <si>
    <t>i4 eDrive40 Gran Coupe M Sport Pro</t>
  </si>
  <si>
    <t xml:space="preserve">i4 M50 Gran Coupe </t>
  </si>
  <si>
    <t xml:space="preserve">i4 M50 Gran Coupe Pro </t>
  </si>
  <si>
    <t>i7 xDrive60 DPE Executive</t>
  </si>
  <si>
    <t>i7 xDrive60 M Sport Executive</t>
  </si>
  <si>
    <t>iX M60</t>
  </si>
  <si>
    <t>iX xDrive 50 Sport Plus</t>
  </si>
  <si>
    <t>iX3 M Sport</t>
  </si>
  <si>
    <t>M135i xDrive</t>
  </si>
  <si>
    <t>M235i Gran Coupe xDrive</t>
  </si>
  <si>
    <t>M240i Coupe xDrive</t>
  </si>
  <si>
    <t>M3 Touring Competition M xDrive</t>
  </si>
  <si>
    <t>M340i Touring xDrive</t>
  </si>
  <si>
    <t>M440i Convertible xDrive</t>
  </si>
  <si>
    <t>M440i Coupe xDrive</t>
  </si>
  <si>
    <t>M4 Coupe Competition M xDrive</t>
  </si>
  <si>
    <t>M4 Con. Competition M xDrive</t>
  </si>
  <si>
    <t>M850i Coupe xDrive</t>
  </si>
  <si>
    <t>M850i Gran Coupe xDrive</t>
  </si>
  <si>
    <t>X2 M35i</t>
  </si>
  <si>
    <t>X3 20d M Sport xDrive</t>
  </si>
  <si>
    <t>X3 30e M Sport Pro xDrive</t>
  </si>
  <si>
    <t>X3 30e xLine xDrive</t>
  </si>
  <si>
    <t>X3 30e M Sport xDrive</t>
  </si>
  <si>
    <t>X3 M</t>
  </si>
  <si>
    <t>X4 20i M Sport Pro xDrive</t>
  </si>
  <si>
    <t>X4 20i M Sport xDrive</t>
  </si>
  <si>
    <t>X4 20i xLine xDrive</t>
  </si>
  <si>
    <t>X4 20d M Sport Pro xDrive</t>
  </si>
  <si>
    <t>X4 20d xLine xDrive</t>
  </si>
  <si>
    <t>X4 20d M Sport xDrive</t>
  </si>
  <si>
    <t>X4 M</t>
  </si>
  <si>
    <t>X5 30d M Sport xDrive (5인승)</t>
  </si>
  <si>
    <t>X5 30d M Sport xDrive (7인승)</t>
  </si>
  <si>
    <t>X5 40i M Sport xDrive (5인승)</t>
  </si>
  <si>
    <t>X5 40i M Sport xDrive (7인승)</t>
  </si>
  <si>
    <t>X5 40i xLine xDrive (7인승)</t>
  </si>
  <si>
    <t>X5 M</t>
  </si>
  <si>
    <t>X6 M Competition</t>
  </si>
  <si>
    <t>X7 xDrive 40d M Sport (7인승)</t>
  </si>
  <si>
    <t>X7 xDrive 40i M Sport (7인승)</t>
  </si>
  <si>
    <t>XM Gloss Shadow Line</t>
  </si>
  <si>
    <t>XM Night Gold</t>
  </si>
  <si>
    <t>CT4 Sport</t>
  </si>
  <si>
    <t>CT5 Premium Luxury</t>
  </si>
  <si>
    <t>CT5 Sport</t>
  </si>
  <si>
    <t>CT5 V Blackwing</t>
  </si>
  <si>
    <t>ESCALADE ESV Premium Luxury Platinum</t>
  </si>
  <si>
    <t>ESCALADE ESV Sport Platinum</t>
  </si>
  <si>
    <t>ESCALADE Sport Platinum</t>
  </si>
  <si>
    <t>ESCALADE Premium Luxury Platinum</t>
  </si>
  <si>
    <t>XT6 Sport (6인승)</t>
  </si>
  <si>
    <t>XT6 Sport (7인승)</t>
  </si>
  <si>
    <t>GTC4 Lusso T V8</t>
  </si>
  <si>
    <t>GTC4 Lusso V12</t>
  </si>
  <si>
    <t>Explorer 2.3L LTD AWD</t>
  </si>
  <si>
    <t>Explorer 3.0L Platinum</t>
  </si>
  <si>
    <t>Explorer PHEV</t>
  </si>
  <si>
    <t>Expedition Platinum 7P</t>
  </si>
  <si>
    <t>Expedition Platinum 8P</t>
  </si>
  <si>
    <t>Bronco 4 Door OUTER BANKS</t>
  </si>
  <si>
    <t>MUSTANG 2.3L Convertible EcoBoost Premium</t>
  </si>
  <si>
    <t>MUSTANG 2.3L Coupe EcoBoost Premium</t>
  </si>
  <si>
    <t>MUSTANG 5.0L Convertible GT Premium</t>
  </si>
  <si>
    <t>MUSTANG 5.0L Coupe GT Premium</t>
  </si>
  <si>
    <t>Navigator Reserve 7p</t>
  </si>
  <si>
    <t>Navigator Reserve 8p</t>
  </si>
  <si>
    <t>Aviator PHEV Grand Touring</t>
  </si>
  <si>
    <t>CR-V 2WD EX-L Turbo</t>
  </si>
  <si>
    <t>CR-V 4WD EX-L Hybrid</t>
  </si>
  <si>
    <t>CR-V 4WD Touring Hybrid</t>
  </si>
  <si>
    <t>ODYSSEY Elite</t>
  </si>
  <si>
    <t>PILOT Elite</t>
  </si>
  <si>
    <t>XF P250 SE</t>
  </si>
  <si>
    <t>XF P250 SE AWD</t>
  </si>
  <si>
    <t>F-Type Convertible P300</t>
  </si>
  <si>
    <t>F-Type Coupe P300</t>
  </si>
  <si>
    <t>F-PACE P250 S</t>
  </si>
  <si>
    <t>Defender 110 P300 X-Dynamic SE</t>
  </si>
  <si>
    <t>Defender 110 P400 X</t>
  </si>
  <si>
    <t>Defender 130 D300 X-Dynamic HSE</t>
  </si>
  <si>
    <t>Defender 130 P400 X-Dynamic HSE</t>
  </si>
  <si>
    <t>Discovery D250 S</t>
  </si>
  <si>
    <t>Discovery D250 SE</t>
  </si>
  <si>
    <t>Discovery Sport P250 S</t>
  </si>
  <si>
    <t>Range Rover Evoque P 250 SE</t>
  </si>
  <si>
    <t>Range Rover P530 AB LWB</t>
  </si>
  <si>
    <t>Range Rover P530 AB LWB (7인승)</t>
  </si>
  <si>
    <t>Range Rover P530 AB SWB</t>
  </si>
  <si>
    <t>Range Rover P530 SV LWB</t>
  </si>
  <si>
    <t>Range Rover Sport P360 Dynamic HSE</t>
  </si>
  <si>
    <t>Range Rover Sport P360 Dynamic SE</t>
  </si>
  <si>
    <t>Range Rover Velar P400 R-Dy HSE</t>
  </si>
  <si>
    <t>Cherokee 2.4 Limited AWD</t>
  </si>
  <si>
    <t>Cherokee 2.4 Limited FWD</t>
  </si>
  <si>
    <t>Compass Limited AWD</t>
  </si>
  <si>
    <t>Compass Limited FWD</t>
  </si>
  <si>
    <t>Compass S AWD</t>
  </si>
  <si>
    <t>Grand Cherokee 3.6 Overland</t>
  </si>
  <si>
    <t>Grand Cherokee L Overland</t>
  </si>
  <si>
    <t>Grand Cherokee L Summit Reserve</t>
  </si>
  <si>
    <t>Grand Cherokee Limited 4ex PHEV</t>
  </si>
  <si>
    <t>Grand Cherokee Summit Reserve 4ex PHEV</t>
  </si>
  <si>
    <t>Renegade Limited FWD</t>
  </si>
  <si>
    <t>Renegade Limited AWD</t>
  </si>
  <si>
    <t>Renegade Longitude FWD</t>
  </si>
  <si>
    <t>Wrangler 2door Rubicon</t>
  </si>
  <si>
    <t>Wrangler 4door Rubicon</t>
  </si>
  <si>
    <t>Wrangler 4door Islander</t>
  </si>
  <si>
    <t>Wrangler 4door Overland Power Top</t>
  </si>
  <si>
    <t>Wrangler 4door Overland</t>
  </si>
  <si>
    <t>Wrangler Overland 4ex PHEV</t>
  </si>
  <si>
    <t>Wrangler 4door Rubicon Power Top</t>
  </si>
  <si>
    <t>Wrangler Overland 4ex Power Top PHEV</t>
  </si>
  <si>
    <t>ES 300h Luxury</t>
  </si>
  <si>
    <t>ES 300h Luxury Plus</t>
  </si>
  <si>
    <t>ES 300h Executive</t>
  </si>
  <si>
    <t>ES 300h F-SPORT</t>
  </si>
  <si>
    <t>LC Convertible 500 Sport+</t>
  </si>
  <si>
    <t>LS 500h Luxury AWD</t>
  </si>
  <si>
    <t>LS 500h Platinum AWD</t>
  </si>
  <si>
    <t>LS 500 Luxury AWD</t>
  </si>
  <si>
    <t>LS 500 Platinum AWD</t>
  </si>
  <si>
    <t>LS 500 Supreme AWD</t>
  </si>
  <si>
    <t>UX 250h F Sport</t>
  </si>
  <si>
    <t>RX 350h</t>
  </si>
  <si>
    <t>RX 450h+</t>
  </si>
  <si>
    <t>RX 500h</t>
  </si>
  <si>
    <t>Ghibli GT</t>
  </si>
  <si>
    <t>Ghibli GT Base</t>
  </si>
  <si>
    <t>Ghibli GT Fragment Special Ed.</t>
  </si>
  <si>
    <t>Ghibli Modena</t>
  </si>
  <si>
    <t>Ghibli Modena S Q4</t>
  </si>
  <si>
    <t>Ghibli Trofeo</t>
  </si>
  <si>
    <t>Grecale GT</t>
  </si>
  <si>
    <t>Grecale GT Type P</t>
  </si>
  <si>
    <t>Grecale Modena</t>
  </si>
  <si>
    <t>Grecale Trofeo</t>
  </si>
  <si>
    <t>Levante GT</t>
  </si>
  <si>
    <t>Levante GT Base</t>
  </si>
  <si>
    <t>Levante Modena</t>
  </si>
  <si>
    <t>Levante Modena S Q4</t>
  </si>
  <si>
    <t>Quattroporte GT</t>
  </si>
  <si>
    <t>Quattroporte GT Base</t>
  </si>
  <si>
    <t>Quattroporte Modena Q4</t>
  </si>
  <si>
    <t>Quattroporte Trofeo</t>
  </si>
  <si>
    <t>MC20 V6</t>
  </si>
  <si>
    <t>A 200d Sedan</t>
  </si>
  <si>
    <t>A 220 Hatchback</t>
  </si>
  <si>
    <t>A 250 4Matic Sedan</t>
  </si>
  <si>
    <t>A 35 AMG 4Matic Sedan</t>
  </si>
  <si>
    <t>A 45 AMG 4Matic Hatchback</t>
  </si>
  <si>
    <t>AMG GT 4door 43 4Matic+</t>
  </si>
  <si>
    <t>AMG GT 4door 43 4Matic+ Dynamic</t>
  </si>
  <si>
    <t>AMG GT 4door 63 S 4Matic</t>
  </si>
  <si>
    <t>C 300 4Matic AMG Line</t>
  </si>
  <si>
    <t>C 300 4Matic Avantgarde</t>
  </si>
  <si>
    <t>C 43 AMG 4Matic Coupe</t>
  </si>
  <si>
    <t>CLA 45 S 4Matic AMG</t>
  </si>
  <si>
    <t>E 220d 4Matic AMG Line</t>
  </si>
  <si>
    <t>E 220d 4Matic Exclusive</t>
  </si>
  <si>
    <t>E 450 4Matic Exclusive</t>
  </si>
  <si>
    <t>EQA 250</t>
  </si>
  <si>
    <t>EQA 250 AMG-Line</t>
  </si>
  <si>
    <t>EQB 300 4Matic</t>
  </si>
  <si>
    <t>EQB 300 4Matic AMG Line (5인승)</t>
  </si>
  <si>
    <t>EQB 300 4Matic AMG Line (7인승)</t>
  </si>
  <si>
    <t>EQC 400 4Matic</t>
  </si>
  <si>
    <t>EQE 300</t>
  </si>
  <si>
    <t>EQE 350 4Matic</t>
  </si>
  <si>
    <t>EQE 350+</t>
  </si>
  <si>
    <t>EQE 53 AMG 4Matic</t>
  </si>
  <si>
    <t>EQE SUV 350 4Matic</t>
  </si>
  <si>
    <t>EQE SUV 500 4Matic</t>
  </si>
  <si>
    <t>EQE SUV 500 4Matic Launching Ed.</t>
  </si>
  <si>
    <t>EQS 450 4Matic</t>
  </si>
  <si>
    <t>EQS 450+</t>
  </si>
  <si>
    <t>EQS 53 AMG 4Matic+</t>
  </si>
  <si>
    <t>EQS SUV 450 4Matic</t>
  </si>
  <si>
    <t>EQS SUV 580 4Matic</t>
  </si>
  <si>
    <t>G 63 AMG MANUFAKTUR</t>
  </si>
  <si>
    <t>GLA 250 4Matic</t>
  </si>
  <si>
    <t>GLA 45 AMG 4Matic</t>
  </si>
  <si>
    <t>GLB 200d</t>
  </si>
  <si>
    <t>GLB 250 4Matic</t>
  </si>
  <si>
    <t>GLB 35 AMG 4Matic</t>
  </si>
  <si>
    <t>GLC 43 4Matic AMG Coupe</t>
  </si>
  <si>
    <t>GLE 300d 4Matic</t>
  </si>
  <si>
    <t>GLE 53 AMG 4Matic</t>
  </si>
  <si>
    <t>GLS 580 4Matic</t>
  </si>
  <si>
    <t>Maybach GLS 600 4Matic</t>
  </si>
  <si>
    <t>Maybach GLS 600 4Matic MANUFAKTUR</t>
  </si>
  <si>
    <t>Maybach S 580 4Matic</t>
  </si>
  <si>
    <t>Maybach S 680 4Matic</t>
  </si>
  <si>
    <t>S 580 4Matic</t>
  </si>
  <si>
    <t>S 580e 4Matic</t>
  </si>
  <si>
    <t>SL 63 AMG 4Matic+</t>
  </si>
  <si>
    <t>SL 63 AMG 4Matic+ Performance</t>
  </si>
  <si>
    <t>MINI Clubman Cooper Classic</t>
  </si>
  <si>
    <t>MINI Clubman Cooper D Classic</t>
  </si>
  <si>
    <t>MINI Clubman Cooper S Classic</t>
  </si>
  <si>
    <t>MINI Clubman Cooper S T1</t>
  </si>
  <si>
    <t>MINI Clubman Cooper SD Classic</t>
  </si>
  <si>
    <t>MINI Clubman Cooper T1</t>
  </si>
  <si>
    <t>MINI Clubman JCW ALL4</t>
  </si>
  <si>
    <t>MINI Clubman JCW ALL4 T1</t>
  </si>
  <si>
    <t>MINI Convertible Cooper Classic</t>
  </si>
  <si>
    <t>MINI Convertible Cooper S Classic</t>
  </si>
  <si>
    <t>MINI Convertible JCW</t>
  </si>
  <si>
    <t>MINI Convertible JCW T1</t>
  </si>
  <si>
    <t>MINI Countryman Cooper Classic</t>
  </si>
  <si>
    <t>MINI Countryman Cooper Classic Plus</t>
  </si>
  <si>
    <t>MINI Countryman Cooper D ALL4 Classic</t>
  </si>
  <si>
    <t>MINI Countryman Cooper S ALL4 Classic</t>
  </si>
  <si>
    <t>MINI Countryman Cooper S ALL4 T1</t>
  </si>
  <si>
    <t>MINI Countryman Cooper SD ALL4 Classic</t>
  </si>
  <si>
    <t>MINI Countryman Cooper T1</t>
  </si>
  <si>
    <t>MINI Countryman JCW ALL4</t>
  </si>
  <si>
    <t>MINI Hatch 3 door Cooper Classic</t>
  </si>
  <si>
    <t>MINI Hatch 3 door Cooper Classic Plus</t>
  </si>
  <si>
    <t>MINI Hatch 3 door Cooper JCW T1</t>
  </si>
  <si>
    <t>MINI Hatch 3 door Cooper S Classic</t>
  </si>
  <si>
    <t>MINI Hatch 3 door Cooper S T1</t>
  </si>
  <si>
    <t>MINI Hatch 3 door Cooper T1</t>
  </si>
  <si>
    <t>MINI Hatch 5 door Cooper Classic</t>
  </si>
  <si>
    <t>MINI Hatch 5 door Cooper S Classic</t>
  </si>
  <si>
    <t>MINI Hatch 5 door Cooper S T1</t>
  </si>
  <si>
    <t>MINI Hatch 5 door Cooper T1</t>
  </si>
  <si>
    <t>e-208 GT</t>
  </si>
  <si>
    <t>e-2008 GT</t>
  </si>
  <si>
    <t>2008 GT</t>
  </si>
  <si>
    <t>3008 1.5 Allure</t>
  </si>
  <si>
    <t>3008 1.5 GT</t>
  </si>
  <si>
    <t>3008 1.5 GT Pack</t>
  </si>
  <si>
    <t>308 Allure</t>
  </si>
  <si>
    <t>308 GT</t>
  </si>
  <si>
    <t>508 1.5 GT</t>
  </si>
  <si>
    <t>508 1.5 GT Pack</t>
  </si>
  <si>
    <t>5008 1.2 Allure</t>
  </si>
  <si>
    <t>5008 1.2 GT</t>
  </si>
  <si>
    <t>5008 1.2 Pack</t>
  </si>
  <si>
    <t>5008 1.5 GT</t>
  </si>
  <si>
    <t>5008 2.0 GT Pack</t>
  </si>
  <si>
    <t>718 Cayman GT4</t>
  </si>
  <si>
    <t>911 Carrera 4 Coupe</t>
  </si>
  <si>
    <t>911 Carrera 4 GTS Coupe</t>
  </si>
  <si>
    <t>911 Carrera 4S Coupe</t>
  </si>
  <si>
    <t>911 Carrera Coupe</t>
  </si>
  <si>
    <t>911 Carrera GTS Coupe</t>
  </si>
  <si>
    <t>911 Carrera S Coupe</t>
  </si>
  <si>
    <t>911 Turbo S Coupe</t>
  </si>
  <si>
    <t>Cayenne 3.0 Platinum Ed.</t>
  </si>
  <si>
    <t>Cayenne 3.0 Coupe Platinum Ed.</t>
  </si>
  <si>
    <t>Cayenne Coupe E-Hybrid Platinum Ed.</t>
  </si>
  <si>
    <t>Cayenne E-Hybrid Platinum Ed.</t>
  </si>
  <si>
    <t>Macan Ⅲ S</t>
  </si>
  <si>
    <t>Macan Ⅲ GTS</t>
  </si>
  <si>
    <t>Panamera 4 E-Hybrid Platinum Ed.</t>
  </si>
  <si>
    <t>Panamera 4 Platinum Ed.</t>
  </si>
  <si>
    <t>Panamera Turbo S</t>
  </si>
  <si>
    <t>Taycan Cross Turismo 4S</t>
  </si>
  <si>
    <t>Taycan Cross Turismo S</t>
  </si>
  <si>
    <t>Taycan Cross Turismo Turbo</t>
  </si>
  <si>
    <t>Crown 2.4L HEV Dual Boost</t>
  </si>
  <si>
    <t>Crown 2.5L HEV</t>
  </si>
  <si>
    <t>GR 86 Premium</t>
  </si>
  <si>
    <t>GR 86 Standard</t>
  </si>
  <si>
    <t>GR SUPRA 3.0</t>
  </si>
  <si>
    <t>RAV4 Hybrid 2WD XLE</t>
  </si>
  <si>
    <t>RAV4 Hybrid AWD LTD</t>
  </si>
  <si>
    <t>RAV4 Hybrid XSE</t>
  </si>
  <si>
    <t>SIENNA 2.5 Hybrid 2WD</t>
  </si>
  <si>
    <t>SIENNA 2.5 Hybrid 4WD</t>
  </si>
  <si>
    <t>Arteon 2.0 TDI Prestige</t>
  </si>
  <si>
    <t>Arteon 2.0 TDI Prestige 4M</t>
  </si>
  <si>
    <t>Arteon 2.0 TDI R-Line 4M</t>
  </si>
  <si>
    <t>Golf 2.0 TDI Premium</t>
  </si>
  <si>
    <t>Golf 2.0 TDI Prestige</t>
  </si>
  <si>
    <t>Golf 2.0 GTI</t>
  </si>
  <si>
    <t>Jetta 1.5 Premium</t>
  </si>
  <si>
    <t>Jetta 1.5 Prestige</t>
  </si>
  <si>
    <t>Tiguan TDI Premium</t>
  </si>
  <si>
    <t>Tiguan TDI Prestige</t>
  </si>
  <si>
    <t>Tiguan TDI Prestige 4M</t>
  </si>
  <si>
    <t>Tiguan Allspace TDI Premium</t>
  </si>
  <si>
    <t>Tiguan Allspace TDI Prestige</t>
  </si>
  <si>
    <t>Tiguan Allspace TSI Prestige</t>
  </si>
  <si>
    <t>T-Roc 2.0 TDI Style</t>
  </si>
  <si>
    <t>T-Roc 2.0 TDI Prestige</t>
  </si>
  <si>
    <t>T-Roc 2.0 TDI Premium</t>
  </si>
  <si>
    <t>XC40 B4 AWD Plus Bright</t>
  </si>
  <si>
    <t>XC40 B4 AWD Ultimate Bright</t>
  </si>
  <si>
    <t>XC60 B5 AWD Plus Bright</t>
  </si>
  <si>
    <t>XC60 B5 AWD Ultimate Bright</t>
  </si>
  <si>
    <t>XC60 B6 AWD Ultimate Bright</t>
  </si>
  <si>
    <t>XC60 T8 AWD Ultimate Bright PHEV</t>
  </si>
  <si>
    <t>XC90 B6 AWD Plus Bright</t>
  </si>
  <si>
    <t>XC90 B6 AWD Ultimate Bright</t>
  </si>
  <si>
    <t>XC90 T8 AWD Ultimate Bright PHEV</t>
  </si>
  <si>
    <t>S60 B5 Ultimate Bright</t>
  </si>
  <si>
    <t>S90 B5 Plus Bright</t>
  </si>
  <si>
    <t>S90 B5 Ultimate Bright</t>
  </si>
  <si>
    <t>S90 B6 AWD Ultimate Bright</t>
  </si>
  <si>
    <t>S90 T8 AWD Ultimate Bright PHEV</t>
  </si>
  <si>
    <t>V60 CC B5 AWD Plus</t>
  </si>
  <si>
    <t>V60 CC B5 AWD Ultimate</t>
  </si>
  <si>
    <t>V90 CC B5 AWD Plus</t>
  </si>
  <si>
    <t>V90 CC B5 AWD Ultimate</t>
  </si>
  <si>
    <t>V90 CC B6 AWD Ultimate</t>
  </si>
  <si>
    <t>RS5 Sportback</t>
  </si>
  <si>
    <t>Q5 45 TFSI qu.</t>
  </si>
  <si>
    <t>F-PACE P250 SE</t>
  </si>
  <si>
    <t>SPECTRE</t>
  </si>
  <si>
    <t>SPECTRE</t>
    <phoneticPr fontId="2" type="noConversion"/>
  </si>
  <si>
    <t>Rolls_Royce</t>
  </si>
  <si>
    <t>Rolls_Royce</t>
    <phoneticPr fontId="2" type="noConversion"/>
  </si>
  <si>
    <t>Q3 40 TFSI qu.</t>
    <phoneticPr fontId="2" type="noConversion"/>
  </si>
  <si>
    <t>Q3 40 TFSI qu. Premium</t>
    <phoneticPr fontId="2" type="noConversion"/>
  </si>
  <si>
    <t>Q3 35 TDI Sportback</t>
    <phoneticPr fontId="2" type="noConversion"/>
  </si>
  <si>
    <t>Q3 40 TFSI qu. Sportback</t>
    <phoneticPr fontId="2" type="noConversion"/>
  </si>
  <si>
    <t>Q3 40 TFSI qu. Sportback Premium</t>
    <phoneticPr fontId="2" type="noConversion"/>
  </si>
  <si>
    <t>Q3 35 TDI Sportback Premium</t>
    <phoneticPr fontId="2" type="noConversion"/>
  </si>
  <si>
    <t>Q3 35 TDI Sportback qu. Premium</t>
    <phoneticPr fontId="2" type="noConversion"/>
  </si>
  <si>
    <t>SQ7 TFSI</t>
    <phoneticPr fontId="2" type="noConversion"/>
  </si>
  <si>
    <t>Y</t>
    <phoneticPr fontId="2" type="noConversion"/>
  </si>
  <si>
    <t>CLE 200 Coupe</t>
    <phoneticPr fontId="2" type="noConversion"/>
  </si>
  <si>
    <t>CLE 450 4Matic Coupe</t>
    <phoneticPr fontId="2" type="noConversion"/>
  </si>
  <si>
    <t>CLE 200 Cabriolet</t>
    <phoneticPr fontId="2" type="noConversion"/>
  </si>
  <si>
    <t>CLE 450 4Matic Cabriolet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</si>
  <si>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</si>
  <si>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</si>
  <si>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</si>
  <si>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C 200 AMG Line</t>
    <phoneticPr fontId="2" type="noConversion"/>
  </si>
  <si>
    <t>C 200 Avantgarde</t>
    <phoneticPr fontId="2" type="noConversion"/>
  </si>
  <si>
    <t>E 350e 4Matic Exclusive</t>
    <phoneticPr fontId="2" type="noConversion"/>
  </si>
  <si>
    <t>E 200 Avantgarde Limited</t>
    <phoneticPr fontId="2" type="noConversion"/>
  </si>
  <si>
    <t>E 200 Avantgarde</t>
    <phoneticPr fontId="2" type="noConversion"/>
  </si>
  <si>
    <t>Y</t>
    <phoneticPr fontId="2" type="noConversion"/>
  </si>
  <si>
    <t>E 300 4Matic Exclusive</t>
    <phoneticPr fontId="2" type="noConversion"/>
  </si>
  <si>
    <t>E 300 4Matic AMG Line</t>
    <phoneticPr fontId="2" type="noConversion"/>
  </si>
  <si>
    <t>E 450 4Matic</t>
    <phoneticPr fontId="2" type="noConversion"/>
  </si>
  <si>
    <t>GLC 43 4Matic AMG</t>
    <phoneticPr fontId="2" type="noConversion"/>
  </si>
  <si>
    <t>GLC 220d 4Matic</t>
    <phoneticPr fontId="2" type="noConversion"/>
  </si>
  <si>
    <t>GLE 450d 4Matic Coupe</t>
    <phoneticPr fontId="2" type="noConversion"/>
  </si>
  <si>
    <t>GLE 53 AMG 4Matic Coupe</t>
    <phoneticPr fontId="2" type="noConversion"/>
  </si>
  <si>
    <t>GLE 450 4Matic Coupe 25MY</t>
    <phoneticPr fontId="2" type="noConversion"/>
  </si>
  <si>
    <t>GLE 450 4Matic 25MY</t>
    <phoneticPr fontId="2" type="noConversion"/>
  </si>
  <si>
    <t>GLS 450d 4Matic</t>
    <phoneticPr fontId="2" type="noConversion"/>
  </si>
  <si>
    <t>GLS 450 4Matic</t>
    <phoneticPr fontId="2" type="noConversion"/>
  </si>
  <si>
    <t>Y</t>
    <phoneticPr fontId="2" type="noConversion"/>
  </si>
  <si>
    <t>530i xDrive</t>
    <phoneticPr fontId="2" type="noConversion"/>
  </si>
  <si>
    <t xml:space="preserve">523d </t>
    <phoneticPr fontId="2" type="noConversion"/>
  </si>
  <si>
    <t xml:space="preserve">530e </t>
    <phoneticPr fontId="2" type="noConversion"/>
  </si>
  <si>
    <t>523d xDrive</t>
    <phoneticPr fontId="2" type="noConversion"/>
  </si>
  <si>
    <t>530e xDrive</t>
    <phoneticPr fontId="2" type="noConversion"/>
  </si>
  <si>
    <t>530e M Sport xDrive</t>
    <phoneticPr fontId="2" type="noConversion"/>
  </si>
  <si>
    <t>Y</t>
    <phoneticPr fontId="2" type="noConversion"/>
  </si>
  <si>
    <t>Y</t>
    <phoneticPr fontId="2" type="noConversion"/>
  </si>
  <si>
    <t>740i xDrive DPE</t>
    <phoneticPr fontId="2" type="noConversion"/>
  </si>
  <si>
    <t>740i xDrive M Sport</t>
    <phoneticPr fontId="2" type="noConversion"/>
  </si>
  <si>
    <t>750e xDrive DPE</t>
    <phoneticPr fontId="2" type="noConversion"/>
  </si>
  <si>
    <t>750e xDrive M Sport</t>
    <phoneticPr fontId="2" type="noConversion"/>
  </si>
  <si>
    <t>G 450d</t>
    <phoneticPr fontId="2" type="noConversion"/>
  </si>
  <si>
    <t>M3 Competition M xDrive</t>
    <phoneticPr fontId="2" type="noConversion"/>
  </si>
  <si>
    <t>X1 18d xLine xDrive</t>
    <phoneticPr fontId="2" type="noConversion"/>
  </si>
  <si>
    <t>X1 18d M Sport xDrive</t>
    <phoneticPr fontId="2" type="noConversion"/>
  </si>
  <si>
    <t>X1 20i xLine xDrive</t>
    <phoneticPr fontId="2" type="noConversion"/>
  </si>
  <si>
    <t>X1 20i M Sport xDrive</t>
    <phoneticPr fontId="2" type="noConversion"/>
  </si>
  <si>
    <t>M35i xDrive</t>
    <phoneticPr fontId="2" type="noConversion"/>
  </si>
  <si>
    <t>M50 xDrive Pro</t>
    <phoneticPr fontId="2" type="noConversion"/>
  </si>
  <si>
    <t>Y</t>
    <phoneticPr fontId="2" type="noConversion"/>
  </si>
  <si>
    <t>X3 20d xDrive</t>
    <phoneticPr fontId="2" type="noConversion"/>
  </si>
  <si>
    <t>X3 20 xLine xDrive</t>
    <phoneticPr fontId="2" type="noConversion"/>
  </si>
  <si>
    <t>X3 20 M Sport xDrive</t>
    <phoneticPr fontId="2" type="noConversion"/>
  </si>
  <si>
    <t>X3 20 M Sport Pro xDrive</t>
    <phoneticPr fontId="2" type="noConversion"/>
  </si>
  <si>
    <t>X5 50e xLine</t>
    <phoneticPr fontId="2" type="noConversion"/>
  </si>
  <si>
    <t>X5 50e xDrive M Sport</t>
    <phoneticPr fontId="2" type="noConversion"/>
  </si>
  <si>
    <t>X5 M60i xDrive Pro</t>
    <phoneticPr fontId="2" type="noConversion"/>
  </si>
  <si>
    <t>X6 M60i xDrive Pro</t>
    <phoneticPr fontId="2" type="noConversion"/>
  </si>
  <si>
    <t>X7 xDrive 40i M Sport (6인승)</t>
    <phoneticPr fontId="2" type="noConversion"/>
  </si>
  <si>
    <t>M60i xDrive M Sport Pro</t>
    <phoneticPr fontId="2" type="noConversion"/>
  </si>
  <si>
    <t>XM Label brooklyn Grey Editon</t>
    <phoneticPr fontId="2" type="noConversion"/>
  </si>
  <si>
    <t xml:space="preserve">    24MY는 담당자 별도 문의</t>
    <phoneticPr fontId="2" type="noConversion"/>
  </si>
  <si>
    <t>AG수수료율</t>
    <phoneticPr fontId="2" type="noConversion"/>
  </si>
  <si>
    <t>CLA 250 4Matic Progressive</t>
    <phoneticPr fontId="2" type="noConversion"/>
  </si>
  <si>
    <t>CLA 250 4Matic AMG Line</t>
    <phoneticPr fontId="2" type="noConversion"/>
  </si>
  <si>
    <t>GLC 300 4MATIC Coupe Avantgarde</t>
    <phoneticPr fontId="2" type="noConversion"/>
  </si>
  <si>
    <t>GLC 300 4Matic Avantgarde</t>
    <phoneticPr fontId="2" type="noConversion"/>
  </si>
  <si>
    <t>GLC 300 4MATIC Coupe AMG Line</t>
    <phoneticPr fontId="2" type="noConversion"/>
  </si>
  <si>
    <t>GLC 300 4Matic AMG Line</t>
    <phoneticPr fontId="2" type="noConversion"/>
  </si>
  <si>
    <t>GLE 350 4Matic</t>
    <phoneticPr fontId="2" type="noConversion"/>
  </si>
  <si>
    <t>S 450 4Matic Long</t>
    <phoneticPr fontId="2" type="noConversion"/>
  </si>
  <si>
    <t>S 500 4Matic Long</t>
    <phoneticPr fontId="2" type="noConversion"/>
  </si>
  <si>
    <t>120 base</t>
    <phoneticPr fontId="2" type="noConversion"/>
  </si>
  <si>
    <t>120 M Sport</t>
    <phoneticPr fontId="2" type="noConversion"/>
  </si>
  <si>
    <t>M135 xDrive</t>
    <phoneticPr fontId="2" type="noConversion"/>
  </si>
  <si>
    <t>* 리스차량 명의는 엠지캐피탈㈜ 이며, 리스기간 만료시 차량의 반환 / 매입 / 재리스 중 택일이 가능합니다."</t>
    <phoneticPr fontId="2" type="noConversion"/>
  </si>
  <si>
    <t>* 보험은 자차 질권설정(차량가 100%) 후 증권사본 송부 부탁드립니다.(엠지캐피탈㈜, 105-81-87072)</t>
    <phoneticPr fontId="2" type="noConversion"/>
  </si>
  <si>
    <t>* 초기 납입 입급계좌 : 우리은행 1006-500-203980 엠지캐피탈㈜ (계약자 명의로 입금 바랍니다)</t>
    <phoneticPr fontId="2" type="noConversion"/>
  </si>
  <si>
    <t>구분</t>
    <phoneticPr fontId="2" type="noConversion"/>
  </si>
  <si>
    <t>■ 에스앤케이모터스</t>
    <phoneticPr fontId="2" type="noConversion"/>
  </si>
  <si>
    <t>W</t>
  </si>
  <si>
    <t>X</t>
  </si>
  <si>
    <t>Y</t>
  </si>
  <si>
    <t>Z</t>
  </si>
  <si>
    <t>에스앤케이모터스</t>
    <phoneticPr fontId="2" type="noConversion"/>
  </si>
  <si>
    <t>E</t>
    <phoneticPr fontId="2" type="noConversion"/>
  </si>
  <si>
    <t>E</t>
    <phoneticPr fontId="2" type="noConversion"/>
  </si>
  <si>
    <t>E</t>
    <phoneticPr fontId="2" type="noConversion"/>
  </si>
  <si>
    <t>에스앤케이모터스</t>
    <phoneticPr fontId="2" type="noConversion"/>
  </si>
  <si>
    <t>에스앤케이모터스</t>
    <phoneticPr fontId="2" type="noConversion"/>
  </si>
  <si>
    <t>E</t>
    <phoneticPr fontId="2" type="noConversion"/>
  </si>
  <si>
    <t>E</t>
    <phoneticPr fontId="2" type="noConversion"/>
  </si>
  <si>
    <t>E</t>
    <phoneticPr fontId="2" type="noConversion"/>
  </si>
  <si>
    <t>E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</si>
  <si>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</si>
  <si>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</si>
  <si>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</si>
  <si>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</si>
  <si>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</si>
  <si>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</si>
  <si>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</si>
  <si>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</si>
  <si>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</si>
  <si>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</si>
  <si>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</si>
  <si>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</si>
  <si>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F</t>
    <phoneticPr fontId="2" type="noConversion"/>
  </si>
  <si>
    <t>G</t>
    <phoneticPr fontId="2" type="noConversion"/>
  </si>
  <si>
    <t>G</t>
    <phoneticPr fontId="2" type="noConversion"/>
  </si>
  <si>
    <t>H</t>
    <phoneticPr fontId="2" type="noConversion"/>
  </si>
  <si>
    <t>H</t>
    <phoneticPr fontId="2" type="noConversion"/>
  </si>
  <si>
    <t>H</t>
    <phoneticPr fontId="2" type="noConversion"/>
  </si>
  <si>
    <t>H</t>
    <phoneticPr fontId="2" type="noConversion"/>
  </si>
  <si>
    <t>I</t>
    <phoneticPr fontId="2" type="noConversion"/>
  </si>
  <si>
    <t>I</t>
    <phoneticPr fontId="2" type="noConversion"/>
  </si>
  <si>
    <t>I</t>
    <phoneticPr fontId="2" type="noConversion"/>
  </si>
  <si>
    <t>I</t>
    <phoneticPr fontId="2" type="noConversion"/>
  </si>
  <si>
    <t>I</t>
    <phoneticPr fontId="2" type="noConversion"/>
  </si>
  <si>
    <t>J</t>
    <phoneticPr fontId="2" type="noConversion"/>
  </si>
  <si>
    <t>I</t>
    <phoneticPr fontId="2" type="noConversion"/>
  </si>
  <si>
    <t>I</t>
    <phoneticPr fontId="2" type="noConversion"/>
  </si>
  <si>
    <t>J</t>
    <phoneticPr fontId="2" type="noConversion"/>
  </si>
  <si>
    <t>J</t>
    <phoneticPr fontId="2" type="noConversion"/>
  </si>
  <si>
    <t>J</t>
    <phoneticPr fontId="2" type="noConversion"/>
  </si>
  <si>
    <t>J</t>
    <phoneticPr fontId="2" type="noConversion"/>
  </si>
  <si>
    <t>J</t>
    <phoneticPr fontId="2" type="noConversion"/>
  </si>
  <si>
    <t>J</t>
    <phoneticPr fontId="2" type="noConversion"/>
  </si>
  <si>
    <t>J</t>
    <phoneticPr fontId="2" type="noConversion"/>
  </si>
  <si>
    <t>K</t>
    <phoneticPr fontId="2" type="noConversion"/>
  </si>
  <si>
    <t>K</t>
    <phoneticPr fontId="2" type="noConversion"/>
  </si>
  <si>
    <t>K</t>
    <phoneticPr fontId="2" type="noConversion"/>
  </si>
  <si>
    <t>K</t>
    <phoneticPr fontId="2" type="noConversion"/>
  </si>
  <si>
    <t>L</t>
    <phoneticPr fontId="2" type="noConversion"/>
  </si>
  <si>
    <t>L</t>
    <phoneticPr fontId="2" type="noConversion"/>
  </si>
  <si>
    <t>Q</t>
    <phoneticPr fontId="2" type="noConversion"/>
  </si>
  <si>
    <t>L</t>
    <phoneticPr fontId="2" type="noConversion"/>
  </si>
  <si>
    <t>L</t>
    <phoneticPr fontId="2" type="noConversion"/>
  </si>
  <si>
    <t>L</t>
    <phoneticPr fontId="2" type="noConversion"/>
  </si>
  <si>
    <t>L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</si>
  <si>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</si>
  <si>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</si>
  <si>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</si>
  <si>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</si>
  <si>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</si>
  <si>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</si>
  <si>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</si>
  <si>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M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</si>
  <si>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</si>
  <si>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</si>
  <si>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</si>
  <si>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</si>
  <si>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N</t>
    <phoneticPr fontId="2" type="noConversion"/>
  </si>
  <si>
    <t>LM 500h Executive (6인승)</t>
    <phoneticPr fontId="2" type="noConversion"/>
  </si>
  <si>
    <t>LM 500h Royal (4인승)</t>
    <phoneticPr fontId="2" type="noConversion"/>
  </si>
  <si>
    <t>Y</t>
    <phoneticPr fontId="2" type="noConversion"/>
  </si>
  <si>
    <t>Y</t>
    <phoneticPr fontId="2" type="noConversion"/>
  </si>
  <si>
    <t>Alphard 2.5 AWD</t>
    <phoneticPr fontId="2" type="noConversion"/>
  </si>
  <si>
    <t>A7 55 TFSI e qu. Premium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</si>
  <si>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</si>
  <si>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</si>
  <si>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</si>
  <si>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</si>
  <si>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</si>
  <si>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O</t>
    <phoneticPr fontId="2" type="noConversion"/>
  </si>
  <si>
    <t>Q</t>
    <phoneticPr fontId="2" type="noConversion"/>
  </si>
  <si>
    <t>Q</t>
    <phoneticPr fontId="2" type="noConversion"/>
  </si>
  <si>
    <t>P</t>
    <phoneticPr fontId="2" type="noConversion"/>
  </si>
  <si>
    <t>P</t>
    <phoneticPr fontId="2" type="noConversion"/>
  </si>
  <si>
    <t>Z</t>
    <phoneticPr fontId="2" type="noConversion"/>
  </si>
  <si>
    <t>Z</t>
    <phoneticPr fontId="2" type="noConversion"/>
  </si>
  <si>
    <t>R</t>
    <phoneticPr fontId="2" type="noConversion"/>
  </si>
  <si>
    <t>R</t>
    <phoneticPr fontId="2" type="noConversion"/>
  </si>
  <si>
    <t>R</t>
    <phoneticPr fontId="2" type="noConversion"/>
  </si>
  <si>
    <t>R</t>
    <phoneticPr fontId="2" type="noConversion"/>
  </si>
  <si>
    <t>Y</t>
    <phoneticPr fontId="2" type="noConversion"/>
  </si>
  <si>
    <t>Z</t>
    <phoneticPr fontId="2" type="noConversion"/>
  </si>
  <si>
    <t>P</t>
    <phoneticPr fontId="2" type="noConversion"/>
  </si>
  <si>
    <t>P</t>
    <phoneticPr fontId="2" type="noConversion"/>
  </si>
  <si>
    <t>U</t>
    <phoneticPr fontId="2" type="noConversion"/>
  </si>
  <si>
    <t>U</t>
    <phoneticPr fontId="2" type="noConversion"/>
  </si>
  <si>
    <t>R</t>
    <phoneticPr fontId="2" type="noConversion"/>
  </si>
  <si>
    <t>K</t>
    <phoneticPr fontId="2" type="noConversion"/>
  </si>
  <si>
    <t>R</t>
    <phoneticPr fontId="2" type="noConversion"/>
  </si>
  <si>
    <t>R</t>
    <phoneticPr fontId="2" type="noConversion"/>
  </si>
  <si>
    <t>P</t>
    <phoneticPr fontId="2" type="noConversion"/>
  </si>
  <si>
    <t>Z</t>
    <phoneticPr fontId="2" type="noConversion"/>
  </si>
  <si>
    <t>Q</t>
    <phoneticPr fontId="2" type="noConversion"/>
  </si>
  <si>
    <t>Q</t>
    <phoneticPr fontId="2" type="noConversion"/>
  </si>
  <si>
    <t>Q</t>
    <phoneticPr fontId="2" type="noConversion"/>
  </si>
  <si>
    <t>Q</t>
    <phoneticPr fontId="2" type="noConversion"/>
  </si>
  <si>
    <t>Y</t>
    <phoneticPr fontId="2" type="noConversion"/>
  </si>
  <si>
    <t>□ 이름</t>
    <phoneticPr fontId="2" type="noConversion"/>
  </si>
  <si>
    <t>□ 연락처</t>
    <phoneticPr fontId="2" type="noConversion"/>
  </si>
  <si>
    <t>고객명</t>
    <phoneticPr fontId="2" type="noConversion"/>
  </si>
  <si>
    <t>결제일 / 이메일</t>
    <phoneticPr fontId="2" type="noConversion"/>
  </si>
  <si>
    <t>□ 결제일</t>
    <phoneticPr fontId="2" type="noConversion"/>
  </si>
  <si>
    <t>□ E-mail</t>
    <phoneticPr fontId="2" type="noConversion"/>
  </si>
  <si>
    <t>차종</t>
    <phoneticPr fontId="2" type="noConversion"/>
  </si>
  <si>
    <t>차량 상세 옵션</t>
    <phoneticPr fontId="2" type="noConversion"/>
  </si>
  <si>
    <t>외장색</t>
    <phoneticPr fontId="2" type="noConversion"/>
  </si>
  <si>
    <t>내장색</t>
    <phoneticPr fontId="2" type="noConversion"/>
  </si>
  <si>
    <t>운용리스 펀딩 신청서</t>
    <phoneticPr fontId="2" type="noConversion"/>
  </si>
  <si>
    <t>모집 법인 소속</t>
    <phoneticPr fontId="2" type="noConversion"/>
  </si>
  <si>
    <t>모집인</t>
    <phoneticPr fontId="2" type="noConversion"/>
  </si>
  <si>
    <t>원 (VAT 포함)</t>
    <phoneticPr fontId="2" type="noConversion"/>
  </si>
  <si>
    <r>
      <t xml:space="preserve">총 차량 가격 (세금계산서 금액 VAT포함) / </t>
    </r>
    <r>
      <rPr>
        <b/>
        <u/>
        <sz val="15"/>
        <color rgb="FFFF0000"/>
        <rFont val="맑은 고딕"/>
        <family val="3"/>
        <charset val="129"/>
        <scheme val="minor"/>
      </rPr>
      <t xml:space="preserve">세금계산서 금액(VAT포함) 과 동일 해야함 </t>
    </r>
    <phoneticPr fontId="2" type="noConversion"/>
  </si>
  <si>
    <t>보증금 / 선수금</t>
    <phoneticPr fontId="2" type="noConversion"/>
  </si>
  <si>
    <t>□ 당사 입금</t>
    <phoneticPr fontId="2" type="noConversion"/>
  </si>
  <si>
    <t>□ 차감 지급</t>
    <phoneticPr fontId="2" type="noConversion"/>
  </si>
  <si>
    <r>
      <t xml:space="preserve">송금시 표기 </t>
    </r>
    <r>
      <rPr>
        <b/>
        <u/>
        <sz val="15"/>
        <color rgb="FFFF0000"/>
        <rFont val="맑은 고딕"/>
        <family val="3"/>
        <charset val="129"/>
        <scheme val="minor"/>
      </rPr>
      <t>(EX : 엠지캐김영태 / 김영태 / 엠지캐피탈 / 최대 7글자까지만 설정 가능)</t>
    </r>
    <phoneticPr fontId="2" type="noConversion"/>
  </si>
  <si>
    <r>
      <t xml:space="preserve">전자 약정  (개인/개인사업자) 만 진행 가능 
전자 약정 진행건도 </t>
    </r>
    <r>
      <rPr>
        <b/>
        <u/>
        <sz val="30"/>
        <color theme="0"/>
        <rFont val="맑은 고딕"/>
        <family val="3"/>
        <charset val="129"/>
        <scheme val="minor"/>
      </rPr>
      <t>유입경로 확인서 작성 필수</t>
    </r>
    <phoneticPr fontId="2" type="noConversion"/>
  </si>
  <si>
    <t>CM수수료율</t>
    <phoneticPr fontId="2" type="noConversion"/>
  </si>
  <si>
    <t>총 수수료</t>
    <phoneticPr fontId="2" type="noConversion"/>
  </si>
  <si>
    <t>총 수수료율</t>
    <phoneticPr fontId="2" type="noConversion"/>
  </si>
  <si>
    <t>CM수수료</t>
    <phoneticPr fontId="2" type="noConversion"/>
  </si>
  <si>
    <t>APS</t>
    <phoneticPr fontId="2" type="noConversion"/>
  </si>
  <si>
    <t>SA1</t>
  </si>
  <si>
    <t>SA</t>
  </si>
  <si>
    <t>■ APS</t>
    <phoneticPr fontId="2" type="noConversion"/>
  </si>
  <si>
    <t>SD1</t>
    <phoneticPr fontId="2" type="noConversion"/>
  </si>
  <si>
    <t>SD</t>
    <phoneticPr fontId="2" type="noConversion"/>
  </si>
  <si>
    <t>SC1</t>
    <phoneticPr fontId="2" type="noConversion"/>
  </si>
  <si>
    <t>SC</t>
    <phoneticPr fontId="2" type="noConversion"/>
  </si>
  <si>
    <t>SB1</t>
    <phoneticPr fontId="2" type="noConversion"/>
  </si>
  <si>
    <t>SB</t>
    <phoneticPr fontId="2" type="noConversion"/>
  </si>
  <si>
    <t>SA1</t>
    <phoneticPr fontId="2" type="noConversion"/>
  </si>
  <si>
    <t>SA</t>
    <phoneticPr fontId="2" type="noConversion"/>
  </si>
  <si>
    <t>AA</t>
    <phoneticPr fontId="2" type="noConversion"/>
  </si>
  <si>
    <t>AB</t>
    <phoneticPr fontId="2" type="noConversion"/>
  </si>
  <si>
    <t>AC</t>
    <phoneticPr fontId="2" type="noConversion"/>
  </si>
  <si>
    <t>AD</t>
    <phoneticPr fontId="2" type="noConversion"/>
  </si>
  <si>
    <t>AE</t>
    <phoneticPr fontId="2" type="noConversion"/>
  </si>
  <si>
    <t>AF</t>
    <phoneticPr fontId="2" type="noConversion"/>
  </si>
  <si>
    <t>AG</t>
    <phoneticPr fontId="2" type="noConversion"/>
  </si>
  <si>
    <t>AH</t>
    <phoneticPr fontId="2" type="noConversion"/>
  </si>
  <si>
    <t>구분</t>
    <phoneticPr fontId="2" type="noConversion"/>
  </si>
  <si>
    <t>APS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</si>
  <si>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</si>
  <si>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</si>
  <si>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</si>
  <si>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APS</t>
    <phoneticPr fontId="2" type="noConversion"/>
  </si>
  <si>
    <t>에스앤케이모터스</t>
    <phoneticPr fontId="2" type="noConversion"/>
  </si>
  <si>
    <t>잔가군(에스앤케이모터스)</t>
    <phoneticPr fontId="2" type="noConversion"/>
  </si>
  <si>
    <t>잔가군(APS)</t>
    <phoneticPr fontId="2" type="noConversion"/>
  </si>
  <si>
    <t>차봇</t>
    <phoneticPr fontId="2" type="noConversion"/>
  </si>
  <si>
    <t>차봇</t>
    <phoneticPr fontId="2" type="noConversion"/>
  </si>
  <si>
    <t>S 450 4Matic</t>
    <phoneticPr fontId="2" type="noConversion"/>
  </si>
  <si>
    <t>S 350d 4Matic</t>
    <phoneticPr fontId="2" type="noConversion"/>
  </si>
  <si>
    <t>J</t>
    <phoneticPr fontId="2" type="noConversion"/>
  </si>
  <si>
    <t>Defender 110 X-Dynamic SE</t>
    <phoneticPr fontId="2" type="noConversion"/>
  </si>
  <si>
    <t>Defender 110 X-Dynamic HSE</t>
    <phoneticPr fontId="2" type="noConversion"/>
  </si>
  <si>
    <t>Defender P635 OCTA</t>
    <phoneticPr fontId="2" type="noConversion"/>
  </si>
  <si>
    <t>Defender P635 OCTA Edition One</t>
    <phoneticPr fontId="2" type="noConversion"/>
  </si>
  <si>
    <t>Defender 90 D250 X-Dynamic SE</t>
    <phoneticPr fontId="2" type="noConversion"/>
  </si>
  <si>
    <t>Defender 90 P400X</t>
    <phoneticPr fontId="2" type="noConversion"/>
  </si>
  <si>
    <t>Range Rover Evoque P 250 S</t>
    <phoneticPr fontId="2" type="noConversion"/>
  </si>
  <si>
    <t>Range Rover Evoque P 250 Dynamic SE</t>
    <phoneticPr fontId="2" type="noConversion"/>
  </si>
  <si>
    <t>V</t>
    <phoneticPr fontId="2" type="noConversion"/>
  </si>
  <si>
    <t>V</t>
    <phoneticPr fontId="2" type="noConversion"/>
  </si>
  <si>
    <t>V</t>
    <phoneticPr fontId="2" type="noConversion"/>
  </si>
  <si>
    <t>Discovery D350 Dynamic HSE</t>
    <phoneticPr fontId="2" type="noConversion"/>
  </si>
  <si>
    <t>Discovery P360 Dynamic HSE</t>
    <phoneticPr fontId="2" type="noConversion"/>
  </si>
  <si>
    <t>Discovery P300 S</t>
    <phoneticPr fontId="2" type="noConversion"/>
  </si>
  <si>
    <t>Discovery Sport P250 Dynamic SE</t>
    <phoneticPr fontId="2" type="noConversion"/>
  </si>
  <si>
    <t>Y</t>
    <phoneticPr fontId="2" type="noConversion"/>
  </si>
  <si>
    <t>Y</t>
    <phoneticPr fontId="2" type="noConversion"/>
  </si>
  <si>
    <t>Y</t>
    <phoneticPr fontId="2" type="noConversion"/>
  </si>
  <si>
    <t>Range Rover Velar P400e Dynamic SE</t>
    <phoneticPr fontId="2" type="noConversion"/>
  </si>
  <si>
    <t>Y</t>
    <phoneticPr fontId="2" type="noConversion"/>
  </si>
  <si>
    <t>Range Rover Velar P250 Dynamic SE</t>
    <phoneticPr fontId="2" type="noConversion"/>
  </si>
  <si>
    <t>Range Rover Velar P400 Autobiography</t>
    <phoneticPr fontId="2" type="noConversion"/>
  </si>
  <si>
    <t>Range Rover Sport P550e Dynamic HSE</t>
    <phoneticPr fontId="2" type="noConversion"/>
  </si>
  <si>
    <t>Range Rover Sport P400 Autobiography</t>
    <phoneticPr fontId="2" type="noConversion"/>
  </si>
  <si>
    <t>Range Rover Sport P635 SV</t>
    <phoneticPr fontId="2" type="noConversion"/>
  </si>
  <si>
    <t>Range Rover P550e Autobiography SWB</t>
    <phoneticPr fontId="2" type="noConversion"/>
  </si>
  <si>
    <t>Range Rover P530 Autobiography SWB</t>
    <phoneticPr fontId="2" type="noConversion"/>
  </si>
  <si>
    <t>Range Rover P530 Autobiography LWB</t>
    <phoneticPr fontId="2" type="noConversion"/>
  </si>
  <si>
    <t>Range Rover D350 Autobiography LWB</t>
    <phoneticPr fontId="2" type="noConversion"/>
  </si>
  <si>
    <t>Range Rover D350 Autobiography LWB (7인승)</t>
    <phoneticPr fontId="2" type="noConversion"/>
  </si>
  <si>
    <t>Range Rover P530 Autobiography LWB(7인승)</t>
    <phoneticPr fontId="2" type="noConversion"/>
  </si>
  <si>
    <t>Range Rover P615 SV LWB</t>
    <phoneticPr fontId="2" type="noConversion"/>
  </si>
  <si>
    <t>O</t>
    <phoneticPr fontId="2" type="noConversion"/>
  </si>
  <si>
    <t>O</t>
    <phoneticPr fontId="2" type="noConversion"/>
  </si>
  <si>
    <t>V</t>
    <phoneticPr fontId="2" type="noConversion"/>
  </si>
  <si>
    <t>V</t>
    <phoneticPr fontId="2" type="noConversion"/>
  </si>
  <si>
    <t>BMW</t>
    <phoneticPr fontId="2" type="noConversion"/>
  </si>
  <si>
    <t>BMW</t>
    <phoneticPr fontId="2" type="noConversion"/>
  </si>
  <si>
    <t>BMW</t>
    <phoneticPr fontId="2" type="noConversion"/>
  </si>
  <si>
    <t>■ 펀딩시 꼭 확인후 접수 바랍니다 
① 차량 가격 
   (딜러사 확인 필수,VAT포함된 세금계산서 발행금액)
② 기타 부대비용 
    입력불가
③ 탁송료
    (세금계산서 발행할수 있는 금액만 입력)
④ 펀딩신청서 및 유입경로 확인서 징구 필수
⑤ 최대 담보율은 40%
    (보증금+선수금)
추가 입력건은 담당자와 별도 협의
⑥ 모집인 당사 등록여부 필수 확인
⑦ KCC오토 취급건은 추가 수수료 지급 불가
⑧ 등록은 "함안" 필수 입니다</t>
    <phoneticPr fontId="2" type="noConversion"/>
  </si>
  <si>
    <t>㈜겟차</t>
    <phoneticPr fontId="2" type="noConversion"/>
  </si>
  <si>
    <t>주식회사 리렌컴퍼니</t>
    <phoneticPr fontId="2" type="noConversion"/>
  </si>
  <si>
    <t>주식회사 모딜카</t>
    <phoneticPr fontId="2" type="noConversion"/>
  </si>
  <si>
    <t>주식회사 성문네트웍스</t>
    <phoneticPr fontId="2" type="noConversion"/>
  </si>
  <si>
    <t>주식회사 슈어카</t>
    <phoneticPr fontId="2" type="noConversion"/>
  </si>
  <si>
    <t>주식회사 스마트다이렉트카</t>
    <phoneticPr fontId="2" type="noConversion"/>
  </si>
  <si>
    <t>주식회사 스타오토모빌</t>
    <phoneticPr fontId="2" type="noConversion"/>
  </si>
  <si>
    <t>주식회사 시현신차장기렌터카</t>
    <phoneticPr fontId="2" type="noConversion"/>
  </si>
  <si>
    <t>주식회사 씨에스카</t>
    <phoneticPr fontId="2" type="noConversion"/>
  </si>
  <si>
    <t>주식회사 에스아이그룹</t>
    <phoneticPr fontId="2" type="noConversion"/>
  </si>
  <si>
    <t>주식회사 에이원오토</t>
    <phoneticPr fontId="2" type="noConversion"/>
  </si>
  <si>
    <t>주식회사 엘리더</t>
    <phoneticPr fontId="2" type="noConversion"/>
  </si>
  <si>
    <t>주식회사 오토다이렉트카</t>
    <phoneticPr fontId="2" type="noConversion"/>
  </si>
  <si>
    <t>주식회사 카베이</t>
    <phoneticPr fontId="2" type="noConversion"/>
  </si>
  <si>
    <t>주식회사 카이엠</t>
    <phoneticPr fontId="2" type="noConversion"/>
  </si>
  <si>
    <t>주식회사 트리플에이네트웍스</t>
    <phoneticPr fontId="2" type="noConversion"/>
  </si>
  <si>
    <t>차봇모빌리티 주식회사</t>
    <phoneticPr fontId="2" type="noConversion"/>
  </si>
  <si>
    <t>2025.10.16_Vol 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</si>
</sst>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6" formatCode="&quot;₩&quot;#,##0;[Red]\-&quot;₩&quot;#,##0"/>
    <numFmt numFmtId="41" formatCode="_-* #,##0_-;\-* #,##0_-;_-* &quot;-&quot;_-;_-@_-"/>
    <numFmt numFmtId="176" formatCode="0.0%"/>
    <numFmt numFmtId="177" formatCode="0.000%"/>
    <numFmt numFmtId="178" formatCode="##&quot;개월&quot;"/>
    <numFmt numFmtId="179" formatCode="_-* #,##0.00_-;\-* #,##0.00_-;_-* &quot;-&quot;_-;_-@_-"/>
    <numFmt numFmtId="180" formatCode="&quot;年&quot;##,###&quot;km&quot;"/>
    <numFmt numFmtId="181" formatCode="_-* #,##0.000_-;\-* #,##0.000_-;_-* &quot;-&quot;_-;_-@_-"/>
    <numFmt numFmtId="182" formatCode="#,##0_);[Red]\(#,##0\)"/>
    <numFmt numFmtId="183" formatCode="0.00000%"/>
    <numFmt numFmtId="184" formatCode="#,###&quot;cc&quot;"/>
    <numFmt numFmtId="185" formatCode="0.0000%"/>
    <numFmt numFmtId="186" formatCode="0_ "/>
    <numFmt numFmtId="187" formatCode="0.0000"/>
    <numFmt numFmtId="188" formatCode="#\ &quot;견 적 서&quot;"/>
    <numFmt numFmtId="189" formatCode="#,###"/>
    <numFmt numFmtId="190" formatCode="yyyy&quot;년&quot;\ m&quot;월&quot;;@"/>
    <numFmt numFmtId="191" formatCode="##,###&quot;km&quot;"/>
    <numFmt numFmtId="192" formatCode="&quot;₩&quot;#,##0"/>
    <numFmt numFmtId="193" formatCode="0.00000000000000000000000000000000"/>
  </numFmts>
  <fonts count="9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color theme="1"/>
      <name val="휴먼명조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굴림체"/>
      <family val="3"/>
      <charset val="129"/>
    </font>
    <font>
      <sz val="10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theme="1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C00000"/>
      <name val="맑은 고딕"/>
      <family val="3"/>
      <charset val="129"/>
      <scheme val="major"/>
    </font>
    <font>
      <sz val="7"/>
      <color theme="1" tint="0.34998626667073579"/>
      <name val="맑은 고딕"/>
      <family val="3"/>
      <charset val="129"/>
      <scheme val="major"/>
    </font>
    <font>
      <u/>
      <sz val="7"/>
      <color theme="1"/>
      <name val="맑은 고딕"/>
      <family val="3"/>
      <charset val="129"/>
      <scheme val="major"/>
    </font>
    <font>
      <sz val="8"/>
      <color theme="1" tint="0.34998626667073579"/>
      <name val="맑은 고딕"/>
      <family val="3"/>
      <charset val="129"/>
      <scheme val="major"/>
    </font>
    <font>
      <u val="singleAccounting"/>
      <sz val="8"/>
      <color theme="1" tint="0.34998626667073579"/>
      <name val="맑은 고딕"/>
      <family val="3"/>
      <charset val="129"/>
      <scheme val="major"/>
    </font>
    <font>
      <u val="singleAccounting"/>
      <sz val="8"/>
      <color theme="1"/>
      <name val="맑은 고딕"/>
      <family val="3"/>
      <charset val="129"/>
      <scheme val="major"/>
    </font>
    <font>
      <i/>
      <sz val="8"/>
      <color theme="1" tint="0.34998626667073579"/>
      <name val="맑은 고딕"/>
      <family val="3"/>
      <charset val="129"/>
      <scheme val="major"/>
    </font>
    <font>
      <sz val="6"/>
      <color theme="1" tint="0.34998626667073579"/>
      <name val="맑은 고딕"/>
      <family val="3"/>
      <charset val="129"/>
      <scheme val="major"/>
    </font>
    <font>
      <i/>
      <sz val="9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7"/>
      <name val="맑은 고딕"/>
      <family val="3"/>
      <charset val="129"/>
      <scheme val="major"/>
    </font>
    <font>
      <sz val="10"/>
      <color theme="1" tint="0.34998626667073579"/>
      <name val="맑은 고딕"/>
      <family val="3"/>
      <charset val="129"/>
      <scheme val="major"/>
    </font>
    <font>
      <sz val="9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i/>
      <sz val="9"/>
      <color rgb="FFFF0000"/>
      <name val="맑은 고딕"/>
      <family val="3"/>
      <charset val="129"/>
      <scheme val="major"/>
    </font>
    <font>
      <sz val="11"/>
      <color theme="1"/>
      <name val="Arial Rounded MT Bold"/>
      <family val="2"/>
    </font>
    <font>
      <b/>
      <i/>
      <sz val="11"/>
      <color rgb="FFC00000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ajor"/>
    </font>
    <font>
      <sz val="9"/>
      <color theme="1" tint="0.34998626667073579"/>
      <name val="맑은 고딕"/>
      <family val="3"/>
      <charset val="129"/>
      <scheme val="major"/>
    </font>
    <font>
      <sz val="8"/>
      <color theme="9" tint="0.79998168889431442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9"/>
      <color theme="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i/>
      <sz val="10"/>
      <color rgb="FF0A1828"/>
      <name val="맑은 고딕"/>
      <family val="3"/>
      <charset val="129"/>
      <scheme val="major"/>
    </font>
    <font>
      <b/>
      <i/>
      <sz val="9"/>
      <color rgb="FF0A1828"/>
      <name val="맑은 고딕"/>
      <family val="3"/>
      <charset val="129"/>
      <scheme val="major"/>
    </font>
    <font>
      <b/>
      <i/>
      <sz val="8"/>
      <color rgb="FF0A1828"/>
      <name val="맑은 고딕"/>
      <family val="3"/>
      <charset val="129"/>
      <scheme val="major"/>
    </font>
    <font>
      <sz val="7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ajor"/>
    </font>
    <font>
      <sz val="8"/>
      <color theme="0"/>
      <name val="맑은 고딕"/>
      <family val="3"/>
      <charset val="129"/>
      <scheme val="major"/>
    </font>
    <font>
      <b/>
      <sz val="8"/>
      <color theme="1" tint="0.34998626667073579"/>
      <name val="맑은 고딕"/>
      <family val="3"/>
      <charset val="129"/>
      <scheme val="major"/>
    </font>
    <font>
      <b/>
      <sz val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</font>
    <font>
      <b/>
      <sz val="7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14"/>
      <color theme="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ajor"/>
    </font>
    <font>
      <b/>
      <i/>
      <sz val="10"/>
      <color rgb="FFFF0000"/>
      <name val="맑은 고딕"/>
      <family val="3"/>
      <charset val="129"/>
      <scheme val="major"/>
    </font>
    <font>
      <b/>
      <i/>
      <sz val="20"/>
      <color theme="0"/>
      <name val="맑은 고딕"/>
      <family val="3"/>
      <charset val="129"/>
      <scheme val="major"/>
    </font>
    <font>
      <b/>
      <sz val="10"/>
      <color rgb="FFC00000"/>
      <name val="맑은 고딕"/>
      <family val="3"/>
      <charset val="129"/>
      <scheme val="minor"/>
    </font>
    <font>
      <b/>
      <i/>
      <sz val="8"/>
      <name val="맑은 고딕"/>
      <family val="3"/>
      <charset val="129"/>
      <scheme val="major"/>
    </font>
    <font>
      <i/>
      <sz val="9"/>
      <name val="맑은 고딕"/>
      <family val="3"/>
      <charset val="129"/>
      <scheme val="major"/>
    </font>
    <font>
      <b/>
      <u/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3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5"/>
      <color theme="1"/>
      <name val="맑은 고딕"/>
      <family val="3"/>
      <charset val="129"/>
      <scheme val="minor"/>
    </font>
    <font>
      <b/>
      <u/>
      <sz val="15"/>
      <color rgb="FFFF0000"/>
      <name val="맑은 고딕"/>
      <family val="3"/>
      <charset val="129"/>
      <scheme val="minor"/>
    </font>
    <font>
      <b/>
      <sz val="30"/>
      <color theme="0"/>
      <name val="맑은 고딕"/>
      <family val="3"/>
      <charset val="129"/>
      <scheme val="minor"/>
    </font>
    <font>
      <b/>
      <u/>
      <sz val="30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24"/>
      <color theme="0"/>
      <name val="맑은 고딕"/>
      <family val="3"/>
      <charset val="129"/>
      <scheme val="major"/>
    </font>
    <font>
      <sz val="22"/>
      <color theme="1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8"/>
      <color theme="1"/>
      <name val="맑은 고딕"/>
      <family val="3"/>
      <charset val="129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9" tint="0.79998168889431442"/>
        <bgColor indexed="64"/>
      </patternFill>
    </fill>
  </fills>
  <borders count="2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hair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0" tint="-0.34998626667073579"/>
      </right>
      <top style="double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 style="double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hair">
        <color indexed="64"/>
      </bottom>
      <diagonal/>
    </border>
    <border>
      <left style="thin">
        <color theme="0" tint="-0.34998626667073579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hair">
        <color indexed="64"/>
      </top>
      <bottom/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hair">
        <color theme="0" tint="-0.499984740745262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hair">
        <color theme="0" tint="-0.499984740745262"/>
      </right>
      <top style="medium">
        <color rgb="FFC00000"/>
      </top>
      <bottom style="medium">
        <color rgb="FFC0000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rgb="FFC00000"/>
      </top>
      <bottom style="medium">
        <color rgb="FFC00000"/>
      </bottom>
      <diagonal/>
    </border>
    <border>
      <left style="hair">
        <color theme="0" tint="-0.499984740745262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hair">
        <color theme="0" tint="-0.499984740745262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34998626667073579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n">
        <color theme="0" tint="-0.499984740745262"/>
      </right>
      <top style="thick">
        <color rgb="FFFF0000"/>
      </top>
      <bottom style="thick">
        <color rgb="FFFF0000"/>
      </bottom>
      <diagonal/>
    </border>
    <border>
      <left style="thin">
        <color theme="0" tint="-0.499984740745262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n">
        <color theme="0" tint="-0.499984740745262"/>
      </right>
      <top style="thick">
        <color rgb="FFFF0000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ck">
        <color rgb="FFFF0000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ck">
        <color rgb="FFFF0000"/>
      </top>
      <bottom style="hair">
        <color theme="0" tint="-0.499984740745262"/>
      </bottom>
      <diagonal/>
    </border>
    <border>
      <left style="hair">
        <color theme="0" tint="-0.499984740745262"/>
      </left>
      <right style="thick">
        <color rgb="FFFF0000"/>
      </right>
      <top style="thick">
        <color rgb="FFFF0000"/>
      </top>
      <bottom style="hair">
        <color theme="0" tint="-0.499984740745262"/>
      </bottom>
      <diagonal/>
    </border>
    <border>
      <left style="thick">
        <color rgb="FFFF0000"/>
      </left>
      <right/>
      <top/>
      <bottom/>
      <diagonal/>
    </border>
    <border>
      <left style="hair">
        <color theme="0" tint="-0.499984740745262"/>
      </left>
      <right style="thick">
        <color rgb="FFFF0000"/>
      </right>
      <top style="hair">
        <color theme="0" tint="-0.499984740745262"/>
      </top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n">
        <color theme="0" tint="-0.499984740745262"/>
      </right>
      <top/>
      <bottom style="thick">
        <color rgb="FFFF0000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ck">
        <color rgb="FFFF0000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ck">
        <color rgb="FFFF0000"/>
      </bottom>
      <diagonal/>
    </border>
    <border>
      <left style="hair">
        <color theme="0" tint="-0.499984740745262"/>
      </left>
      <right style="thick">
        <color rgb="FFFF0000"/>
      </right>
      <top/>
      <bottom style="thick">
        <color rgb="FFFF0000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thin">
        <color theme="0" tint="-0.499984740745262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/>
      <top style="medium">
        <color rgb="FFFF0000"/>
      </top>
      <bottom style="medium">
        <color rgb="FFFF0000"/>
      </bottom>
      <diagonal/>
    </border>
    <border>
      <left/>
      <right style="dashed">
        <color theme="0" tint="-0.14996795556505021"/>
      </right>
      <top/>
      <bottom/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/>
      <diagonal/>
    </border>
    <border>
      <left style="thick">
        <color rgb="FFFF0000"/>
      </left>
      <right style="thin">
        <color theme="0" tint="-0.499984740745262"/>
      </right>
      <top style="thick">
        <color rgb="FFFF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ck">
        <color rgb="FFFF0000"/>
      </top>
      <bottom style="hair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ck">
        <color rgb="FFFF0000"/>
      </top>
      <bottom style="hair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ck">
        <color rgb="FFFF0000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ck">
        <color rgb="FFFF0000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 style="thin">
        <color theme="0" tint="-0.499984740745262"/>
      </left>
      <right style="thick">
        <color rgb="FFFF0000"/>
      </right>
      <top style="thin">
        <color theme="0" tint="-0.499984740745262"/>
      </top>
      <bottom style="thick">
        <color rgb="FFFF0000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thick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ck">
        <color rgb="FFFF0000"/>
      </top>
      <bottom style="thin">
        <color theme="0" tint="-0.499984740745262"/>
      </bottom>
      <diagonal/>
    </border>
    <border>
      <left style="thin">
        <color theme="0" tint="-0.499984740745262"/>
      </left>
      <right style="thick">
        <color rgb="FFFF0000"/>
      </right>
      <top style="thick">
        <color rgb="FFFF0000"/>
      </top>
      <bottom style="thin">
        <color theme="0" tint="-0.499984740745262"/>
      </bottom>
      <diagonal/>
    </border>
    <border>
      <left style="thick">
        <color rgb="FFFF0000"/>
      </left>
      <right style="thin">
        <color theme="0" tint="-0.499984740745262"/>
      </right>
      <top style="thin">
        <color theme="0" tint="-0.499984740745262"/>
      </top>
      <bottom style="thick">
        <color rgb="FFFF0000"/>
      </bottom>
      <diagonal/>
    </border>
    <border>
      <left/>
      <right/>
      <top style="thick">
        <color rgb="FFFF0000"/>
      </top>
      <bottom style="thin">
        <color auto="1"/>
      </bottom>
      <diagonal/>
    </border>
    <border>
      <left/>
      <right style="thin">
        <color theme="0" tint="-0.499984740745262"/>
      </right>
      <top style="thick">
        <color rgb="FFFF0000"/>
      </top>
      <bottom style="thin">
        <color auto="1"/>
      </bottom>
      <diagonal/>
    </border>
    <border>
      <left style="thin">
        <color theme="0" tint="-0.499984740745262"/>
      </left>
      <right/>
      <top style="thick">
        <color rgb="FFFF0000"/>
      </top>
      <bottom style="thin">
        <color auto="1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thick">
        <color rgb="FFFF0000"/>
      </bottom>
      <diagonal/>
    </border>
    <border>
      <left/>
      <right/>
      <top style="hair">
        <color theme="0" tint="-0.499984740745262"/>
      </top>
      <bottom style="thick">
        <color rgb="FFFF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FF0000"/>
      </top>
      <bottom style="thin">
        <color theme="0" tint="-0.499984740745262"/>
      </bottom>
      <diagonal/>
    </border>
    <border>
      <left/>
      <right/>
      <top style="medium">
        <color rgb="FFFF0000"/>
      </top>
      <bottom/>
      <diagonal/>
    </border>
    <border>
      <left style="medium">
        <color rgb="FFFF0000"/>
      </left>
      <right style="thin">
        <color theme="0" tint="-0.499984740745262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hair">
        <color theme="0" tint="-0.499984740745262"/>
      </left>
      <right/>
      <top style="thick">
        <color rgb="FFFF0000"/>
      </top>
      <bottom style="thin">
        <color theme="0" tint="-0.499984740745262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 applyBorder="0"/>
    <xf numFmtId="41" fontId="68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0" fontId="69" fillId="0" borderId="0">
      <alignment vertical="center"/>
    </xf>
    <xf numFmtId="0" fontId="1" fillId="0" borderId="0">
      <alignment vertical="center"/>
    </xf>
    <xf numFmtId="0" fontId="89" fillId="17" borderId="0" applyNumberFormat="0" applyBorder="0" applyAlignment="0" applyProtection="0">
      <alignment vertical="center"/>
    </xf>
  </cellStyleXfs>
  <cellXfs count="1065">
    <xf numFmtId="0" fontId="0" fillId="0" borderId="0" xfId="0">
      <alignment vertical="center"/>
    </xf>
    <xf numFmtId="0" fontId="8" fillId="0" borderId="0" xfId="1" applyNumberFormat="1" applyFont="1" applyFill="1" applyBorder="1" applyAlignment="1" applyProtection="1">
      <alignment vertical="center"/>
      <protection locked="0"/>
    </xf>
    <xf numFmtId="0" fontId="7" fillId="0" borderId="0" xfId="1" applyNumberFormat="1" applyFont="1" applyFill="1" applyBorder="1" applyAlignment="1" applyProtection="1">
      <alignment vertical="center" wrapText="1"/>
      <protection locked="0"/>
    </xf>
    <xf numFmtId="41" fontId="7" fillId="0" borderId="0" xfId="1" applyFont="1" applyFill="1" applyBorder="1" applyAlignment="1" applyProtection="1">
      <alignment horizontal="center" vertical="center"/>
      <protection locked="0"/>
    </xf>
    <xf numFmtId="41" fontId="7" fillId="0" borderId="0" xfId="1" applyFont="1" applyFill="1" applyBorder="1" applyAlignment="1" applyProtection="1">
      <alignment vertical="center"/>
      <protection locked="0"/>
    </xf>
    <xf numFmtId="10" fontId="7" fillId="0" borderId="0" xfId="2" applyNumberFormat="1" applyFont="1" applyFill="1" applyBorder="1" applyAlignment="1" applyProtection="1">
      <alignment horizontal="center" vertical="center"/>
      <protection locked="0"/>
    </xf>
    <xf numFmtId="41" fontId="7" fillId="0" borderId="16" xfId="1" applyFont="1" applyFill="1" applyBorder="1" applyAlignment="1" applyProtection="1">
      <alignment horizontal="center" vertical="center"/>
      <protection locked="0"/>
    </xf>
    <xf numFmtId="41" fontId="7" fillId="0" borderId="43" xfId="1" applyFont="1" applyFill="1" applyBorder="1" applyAlignment="1" applyProtection="1">
      <alignment vertical="center" shrinkToFit="1"/>
      <protection locked="0"/>
    </xf>
    <xf numFmtId="41" fontId="7" fillId="0" borderId="66" xfId="1" applyFont="1" applyFill="1" applyBorder="1" applyAlignment="1" applyProtection="1">
      <alignment vertical="center" shrinkToFit="1"/>
      <protection locked="0"/>
    </xf>
    <xf numFmtId="41" fontId="7" fillId="0" borderId="70" xfId="1" applyFont="1" applyFill="1" applyBorder="1" applyAlignment="1" applyProtection="1">
      <alignment vertical="center" shrinkToFit="1"/>
      <protection locked="0"/>
    </xf>
    <xf numFmtId="41" fontId="3" fillId="0" borderId="0" xfId="1" applyFont="1" applyFill="1" applyProtection="1">
      <alignment vertical="center"/>
      <protection locked="0"/>
    </xf>
    <xf numFmtId="41" fontId="6" fillId="0" borderId="0" xfId="1" applyFont="1" applyFill="1" applyProtection="1">
      <alignment vertical="center"/>
      <protection locked="0"/>
    </xf>
    <xf numFmtId="41" fontId="5" fillId="0" borderId="0" xfId="1" applyFont="1" applyFill="1" applyBorder="1" applyAlignment="1" applyProtection="1">
      <alignment vertical="center"/>
      <protection locked="0"/>
    </xf>
    <xf numFmtId="0" fontId="7" fillId="0" borderId="67" xfId="2" applyNumberFormat="1" applyFont="1" applyFill="1" applyBorder="1" applyAlignment="1" applyProtection="1">
      <alignment horizontal="center" vertical="center"/>
      <protection locked="0"/>
    </xf>
    <xf numFmtId="0" fontId="7" fillId="0" borderId="71" xfId="2" applyNumberFormat="1" applyFont="1" applyFill="1" applyBorder="1" applyAlignment="1" applyProtection="1">
      <alignment horizontal="center" vertical="center"/>
      <protection locked="0"/>
    </xf>
    <xf numFmtId="0" fontId="7" fillId="0" borderId="44" xfId="2" applyNumberFormat="1" applyFont="1" applyFill="1" applyBorder="1" applyAlignment="1" applyProtection="1">
      <alignment horizontal="center" vertical="center"/>
      <protection locked="0"/>
    </xf>
    <xf numFmtId="41" fontId="9" fillId="0" borderId="0" xfId="1" applyFont="1" applyAlignment="1" applyProtection="1">
      <alignment horizontal="center" vertical="center" shrinkToFit="1"/>
      <protection hidden="1"/>
    </xf>
    <xf numFmtId="41" fontId="5" fillId="0" borderId="0" xfId="1" applyFont="1" applyAlignment="1" applyProtection="1">
      <alignment vertical="center" shrinkToFit="1"/>
      <protection hidden="1"/>
    </xf>
    <xf numFmtId="41" fontId="5" fillId="3" borderId="0" xfId="1" applyFont="1" applyFill="1" applyAlignment="1" applyProtection="1">
      <alignment vertical="center" shrinkToFit="1"/>
      <protection hidden="1"/>
    </xf>
    <xf numFmtId="41" fontId="9" fillId="3" borderId="0" xfId="1" applyFont="1" applyFill="1" applyAlignment="1" applyProtection="1">
      <alignment horizontal="center" vertical="center" shrinkToFit="1"/>
      <protection hidden="1"/>
    </xf>
    <xf numFmtId="41" fontId="5" fillId="0" borderId="0" xfId="1" applyFont="1" applyFill="1" applyAlignment="1" applyProtection="1">
      <alignment vertical="center" shrinkToFit="1"/>
      <protection hidden="1"/>
    </xf>
    <xf numFmtId="41" fontId="9" fillId="0" borderId="0" xfId="1" applyFont="1" applyFill="1" applyAlignment="1" applyProtection="1">
      <alignment horizontal="center" vertical="center" shrinkToFit="1"/>
      <protection hidden="1"/>
    </xf>
    <xf numFmtId="0" fontId="18" fillId="0" borderId="0" xfId="0" applyFont="1" applyAlignment="1" applyProtection="1">
      <alignment vertical="center" shrinkToFit="1"/>
      <protection hidden="1"/>
    </xf>
    <xf numFmtId="0" fontId="19" fillId="0" borderId="0" xfId="0" applyFont="1" applyAlignment="1" applyProtection="1">
      <alignment vertical="center" shrinkToFit="1"/>
      <protection hidden="1"/>
    </xf>
    <xf numFmtId="0" fontId="18" fillId="6" borderId="0" xfId="0" applyFont="1" applyFill="1" applyAlignment="1" applyProtection="1">
      <alignment vertical="center" shrinkToFit="1"/>
      <protection locked="0"/>
    </xf>
    <xf numFmtId="0" fontId="18" fillId="0" borderId="0" xfId="0" applyFont="1" applyAlignment="1" applyProtection="1">
      <alignment vertical="center" shrinkToFit="1"/>
      <protection locked="0"/>
    </xf>
    <xf numFmtId="0" fontId="18" fillId="0" borderId="0" xfId="0" applyFont="1" applyAlignment="1" applyProtection="1">
      <alignment horizontal="center" vertical="center" shrinkToFit="1"/>
      <protection locked="0"/>
    </xf>
    <xf numFmtId="0" fontId="18" fillId="0" borderId="0" xfId="0" applyFont="1" applyAlignment="1" applyProtection="1">
      <alignment horizontal="left" vertical="center" shrinkToFit="1"/>
      <protection locked="0"/>
    </xf>
    <xf numFmtId="41" fontId="18" fillId="0" borderId="0" xfId="1" applyFont="1" applyAlignment="1" applyProtection="1">
      <alignment horizontal="center" vertical="center" shrinkToFit="1"/>
      <protection locked="0"/>
    </xf>
    <xf numFmtId="41" fontId="18" fillId="0" borderId="0" xfId="1" applyFont="1" applyAlignment="1" applyProtection="1">
      <alignment horizontal="left" vertical="center" shrinkToFit="1"/>
      <protection locked="0"/>
    </xf>
    <xf numFmtId="181" fontId="18" fillId="0" borderId="0" xfId="1" applyNumberFormat="1" applyFont="1" applyAlignment="1" applyProtection="1">
      <alignment horizontal="center" vertical="center" shrinkToFit="1"/>
      <protection locked="0"/>
    </xf>
    <xf numFmtId="0" fontId="21" fillId="0" borderId="0" xfId="0" applyFont="1" applyAlignment="1" applyProtection="1">
      <alignment vertical="center" shrinkToFit="1"/>
      <protection hidden="1"/>
    </xf>
    <xf numFmtId="0" fontId="22" fillId="0" borderId="0" xfId="0" applyFont="1" applyAlignment="1" applyProtection="1">
      <alignment vertical="center" shrinkToFit="1"/>
      <protection hidden="1"/>
    </xf>
    <xf numFmtId="49" fontId="23" fillId="0" borderId="0" xfId="1" applyNumberFormat="1" applyFont="1" applyFill="1" applyAlignment="1" applyProtection="1">
      <alignment vertical="center" shrinkToFit="1"/>
      <protection hidden="1"/>
    </xf>
    <xf numFmtId="0" fontId="18" fillId="0" borderId="0" xfId="0" applyFont="1" applyFill="1" applyAlignment="1" applyProtection="1">
      <alignment vertical="center" shrinkToFit="1"/>
      <protection hidden="1"/>
    </xf>
    <xf numFmtId="0" fontId="24" fillId="0" borderId="15" xfId="0" applyFont="1" applyBorder="1" applyAlignment="1" applyProtection="1">
      <alignment horizontal="left" vertical="center" shrinkToFit="1"/>
      <protection locked="0"/>
    </xf>
    <xf numFmtId="0" fontId="24" fillId="8" borderId="17" xfId="0" applyFont="1" applyFill="1" applyBorder="1" applyAlignment="1" applyProtection="1">
      <alignment horizontal="center" vertical="center" shrinkToFit="1"/>
      <protection locked="0"/>
    </xf>
    <xf numFmtId="41" fontId="18" fillId="0" borderId="98" xfId="1" applyFont="1" applyBorder="1" applyAlignment="1" applyProtection="1">
      <alignment horizontal="center" vertical="center" shrinkToFit="1"/>
      <protection locked="0"/>
    </xf>
    <xf numFmtId="177" fontId="18" fillId="0" borderId="28" xfId="2" applyNumberFormat="1" applyFont="1" applyBorder="1" applyAlignment="1" applyProtection="1">
      <alignment horizontal="center" vertical="center" shrinkToFit="1"/>
      <protection locked="0"/>
    </xf>
    <xf numFmtId="41" fontId="18" fillId="0" borderId="98" xfId="1" applyFont="1" applyBorder="1" applyAlignment="1" applyProtection="1">
      <alignment horizontal="left" vertical="center" shrinkToFit="1"/>
      <protection locked="0"/>
    </xf>
    <xf numFmtId="41" fontId="18" fillId="0" borderId="109" xfId="1" applyFont="1" applyBorder="1" applyAlignment="1" applyProtection="1">
      <alignment horizontal="center" vertical="center" shrinkToFit="1"/>
      <protection locked="0"/>
    </xf>
    <xf numFmtId="41" fontId="18" fillId="0" borderId="28" xfId="1" applyFont="1" applyBorder="1" applyAlignment="1" applyProtection="1">
      <alignment horizontal="center" vertical="center" shrinkToFit="1"/>
      <protection locked="0"/>
    </xf>
    <xf numFmtId="41" fontId="18" fillId="0" borderId="0" xfId="1" applyFont="1" applyBorder="1" applyAlignment="1" applyProtection="1">
      <alignment horizontal="center" vertical="center" shrinkToFit="1"/>
      <protection locked="0"/>
    </xf>
    <xf numFmtId="41" fontId="18" fillId="3" borderId="112" xfId="1" applyFont="1" applyFill="1" applyBorder="1" applyAlignment="1" applyProtection="1">
      <alignment horizontal="center" vertical="center" shrinkToFit="1"/>
      <protection locked="0"/>
    </xf>
    <xf numFmtId="0" fontId="18" fillId="0" borderId="113" xfId="0" applyFont="1" applyBorder="1" applyAlignment="1" applyProtection="1">
      <alignment horizontal="center" vertical="center" shrinkToFit="1"/>
      <protection locked="0"/>
    </xf>
    <xf numFmtId="0" fontId="18" fillId="0" borderId="1" xfId="0" applyFont="1" applyBorder="1" applyAlignment="1" applyProtection="1">
      <alignment horizontal="center" vertical="center" shrinkToFit="1"/>
      <protection locked="0"/>
    </xf>
    <xf numFmtId="179" fontId="18" fillId="0" borderId="111" xfId="1" applyNumberFormat="1" applyFont="1" applyBorder="1" applyAlignment="1" applyProtection="1">
      <alignment horizontal="center" vertical="center" shrinkToFit="1"/>
      <protection locked="0"/>
    </xf>
    <xf numFmtId="181" fontId="18" fillId="0" borderId="113" xfId="1" applyNumberFormat="1" applyFont="1" applyBorder="1" applyAlignment="1" applyProtection="1">
      <alignment horizontal="center" vertical="center" shrinkToFit="1"/>
      <protection locked="0"/>
    </xf>
    <xf numFmtId="0" fontId="24" fillId="0" borderId="17" xfId="0" applyFont="1" applyBorder="1" applyAlignment="1" applyProtection="1">
      <alignment horizontal="center" vertical="center" shrinkToFit="1"/>
      <protection locked="0"/>
    </xf>
    <xf numFmtId="41" fontId="18" fillId="0" borderId="107" xfId="1" applyFont="1" applyBorder="1" applyAlignment="1" applyProtection="1">
      <alignment horizontal="center" vertical="center" shrinkToFit="1"/>
      <protection locked="0"/>
    </xf>
    <xf numFmtId="41" fontId="18" fillId="0" borderId="103" xfId="1" applyFont="1" applyBorder="1" applyAlignment="1" applyProtection="1">
      <alignment horizontal="center" vertical="center" shrinkToFit="1"/>
      <protection locked="0"/>
    </xf>
    <xf numFmtId="41" fontId="18" fillId="0" borderId="37" xfId="1" applyFont="1" applyBorder="1" applyAlignment="1" applyProtection="1">
      <alignment horizontal="left" vertical="center" shrinkToFit="1"/>
      <protection locked="0"/>
    </xf>
    <xf numFmtId="10" fontId="18" fillId="0" borderId="110" xfId="2" applyNumberFormat="1" applyFont="1" applyBorder="1" applyAlignment="1" applyProtection="1">
      <alignment horizontal="center" vertical="center" shrinkToFit="1"/>
      <protection locked="0"/>
    </xf>
    <xf numFmtId="10" fontId="18" fillId="0" borderId="29" xfId="1" applyNumberFormat="1" applyFont="1" applyBorder="1" applyAlignment="1" applyProtection="1">
      <alignment horizontal="center" vertical="center" shrinkToFit="1"/>
      <protection locked="0"/>
    </xf>
    <xf numFmtId="10" fontId="18" fillId="0" borderId="0" xfId="1" applyNumberFormat="1" applyFont="1" applyBorder="1" applyAlignment="1" applyProtection="1">
      <alignment horizontal="center" vertical="center" shrinkToFit="1"/>
      <protection locked="0"/>
    </xf>
    <xf numFmtId="10" fontId="18" fillId="0" borderId="37" xfId="1" applyNumberFormat="1" applyFont="1" applyBorder="1" applyAlignment="1" applyProtection="1">
      <alignment horizontal="center" vertical="center" shrinkToFit="1"/>
      <protection locked="0"/>
    </xf>
    <xf numFmtId="0" fontId="18" fillId="0" borderId="114" xfId="0" applyFont="1" applyBorder="1" applyAlignment="1" applyProtection="1">
      <alignment horizontal="center" vertical="center" shrinkToFit="1"/>
      <protection locked="0"/>
    </xf>
    <xf numFmtId="41" fontId="24" fillId="8" borderId="17" xfId="1" applyFont="1" applyFill="1" applyBorder="1" applyAlignment="1" applyProtection="1">
      <alignment horizontal="center" vertical="center" shrinkToFit="1"/>
      <protection locked="0"/>
    </xf>
    <xf numFmtId="49" fontId="26" fillId="0" borderId="104" xfId="0" applyNumberFormat="1" applyFont="1" applyFill="1" applyBorder="1" applyAlignment="1" applyProtection="1">
      <alignment horizontal="center" vertical="center" shrinkToFit="1"/>
      <protection locked="0"/>
    </xf>
    <xf numFmtId="41" fontId="26" fillId="0" borderId="105" xfId="0" applyNumberFormat="1" applyFont="1" applyBorder="1" applyAlignment="1" applyProtection="1">
      <alignment horizontal="center" vertical="center" shrinkToFit="1"/>
      <protection locked="0"/>
    </xf>
    <xf numFmtId="41" fontId="26" fillId="4" borderId="105" xfId="3" applyFont="1" applyFill="1" applyBorder="1" applyAlignment="1" applyProtection="1">
      <alignment horizontal="right" vertical="center" shrinkToFit="1"/>
      <protection locked="0"/>
    </xf>
    <xf numFmtId="176" fontId="26" fillId="4" borderId="105" xfId="2" applyNumberFormat="1" applyFont="1" applyFill="1" applyBorder="1" applyAlignment="1" applyProtection="1">
      <alignment horizontal="right" vertical="center" shrinkToFit="1"/>
      <protection locked="0"/>
    </xf>
    <xf numFmtId="181" fontId="18" fillId="0" borderId="105" xfId="1" applyNumberFormat="1" applyFont="1" applyBorder="1" applyAlignment="1" applyProtection="1">
      <alignment horizontal="center" vertical="center" shrinkToFit="1"/>
      <protection locked="0"/>
    </xf>
    <xf numFmtId="0" fontId="18" fillId="0" borderId="105" xfId="0" applyFont="1" applyBorder="1" applyAlignment="1" applyProtection="1">
      <alignment horizontal="center" vertical="center" shrinkToFit="1"/>
      <protection locked="0"/>
    </xf>
    <xf numFmtId="181" fontId="18" fillId="0" borderId="106" xfId="1" applyNumberFormat="1" applyFont="1" applyBorder="1" applyAlignment="1" applyProtection="1">
      <alignment vertical="center" shrinkToFit="1"/>
      <protection locked="0"/>
    </xf>
    <xf numFmtId="0" fontId="22" fillId="0" borderId="0" xfId="0" applyFont="1" applyBorder="1" applyAlignment="1" applyProtection="1">
      <alignment vertical="center" shrinkToFit="1"/>
      <protection hidden="1"/>
    </xf>
    <xf numFmtId="0" fontId="18" fillId="0" borderId="98" xfId="0" applyFont="1" applyBorder="1" applyAlignment="1" applyProtection="1">
      <alignment horizontal="left" vertical="center" shrinkToFit="1"/>
      <protection locked="0"/>
    </xf>
    <xf numFmtId="0" fontId="18" fillId="0" borderId="28" xfId="0" applyFont="1" applyBorder="1" applyAlignment="1" applyProtection="1">
      <alignment horizontal="center" vertical="center" shrinkToFit="1"/>
      <protection locked="0"/>
    </xf>
    <xf numFmtId="49" fontId="26" fillId="0" borderId="99" xfId="0" applyNumberFormat="1" applyFont="1" applyFill="1" applyBorder="1" applyAlignment="1" applyProtection="1">
      <alignment horizontal="center" vertical="center" shrinkToFit="1"/>
      <protection locked="0"/>
    </xf>
    <xf numFmtId="10" fontId="26" fillId="0" borderId="100" xfId="0" applyNumberFormat="1" applyFont="1" applyBorder="1" applyAlignment="1" applyProtection="1">
      <alignment horizontal="center" vertical="center" shrinkToFit="1"/>
      <protection locked="0"/>
    </xf>
    <xf numFmtId="41" fontId="26" fillId="4" borderId="100" xfId="3" applyFont="1" applyFill="1" applyBorder="1" applyAlignment="1" applyProtection="1">
      <alignment horizontal="right" vertical="center" shrinkToFit="1"/>
      <protection locked="0"/>
    </xf>
    <xf numFmtId="176" fontId="26" fillId="4" borderId="100" xfId="0" applyNumberFormat="1" applyFont="1" applyFill="1" applyBorder="1" applyAlignment="1" applyProtection="1">
      <alignment horizontal="right" vertical="center" shrinkToFit="1"/>
      <protection locked="0"/>
    </xf>
    <xf numFmtId="181" fontId="18" fillId="0" borderId="100" xfId="1" applyNumberFormat="1" applyFont="1" applyBorder="1" applyAlignment="1" applyProtection="1">
      <alignment horizontal="center" vertical="center" shrinkToFit="1"/>
      <protection locked="0"/>
    </xf>
    <xf numFmtId="0" fontId="18" fillId="0" borderId="100" xfId="0" applyFont="1" applyBorder="1" applyAlignment="1" applyProtection="1">
      <alignment horizontal="center" vertical="center" shrinkToFit="1"/>
      <protection locked="0"/>
    </xf>
    <xf numFmtId="181" fontId="18" fillId="0" borderId="101" xfId="1" applyNumberFormat="1" applyFont="1" applyBorder="1" applyAlignment="1" applyProtection="1">
      <alignment vertical="center" shrinkToFit="1"/>
      <protection locked="0"/>
    </xf>
    <xf numFmtId="0" fontId="27" fillId="0" borderId="0" xfId="0" applyFont="1" applyBorder="1" applyAlignment="1" applyProtection="1">
      <alignment vertical="top" shrinkToFit="1"/>
      <protection hidden="1"/>
    </xf>
    <xf numFmtId="0" fontId="24" fillId="0" borderId="16" xfId="0" applyFont="1" applyBorder="1" applyAlignment="1" applyProtection="1">
      <alignment horizontal="center" vertical="center" shrinkToFit="1"/>
      <protection locked="0"/>
    </xf>
    <xf numFmtId="41" fontId="18" fillId="0" borderId="17" xfId="0" applyNumberFormat="1" applyFont="1" applyBorder="1" applyAlignment="1" applyProtection="1">
      <alignment horizontal="center" vertical="center" shrinkToFit="1"/>
      <protection locked="0"/>
    </xf>
    <xf numFmtId="41" fontId="18" fillId="0" borderId="0" xfId="0" applyNumberFormat="1" applyFont="1" applyBorder="1" applyAlignment="1" applyProtection="1">
      <alignment horizontal="center" vertical="center" shrinkToFit="1"/>
      <protection locked="0"/>
    </xf>
    <xf numFmtId="41" fontId="18" fillId="0" borderId="107" xfId="1" applyFont="1" applyBorder="1" applyAlignment="1" applyProtection="1">
      <alignment horizontal="left" vertical="center" shrinkToFit="1"/>
      <protection locked="0"/>
    </xf>
    <xf numFmtId="41" fontId="26" fillId="4" borderId="100" xfId="3" applyFont="1" applyFill="1" applyBorder="1" applyAlignment="1" applyProtection="1">
      <alignment horizontal="center" vertical="center" shrinkToFit="1"/>
      <protection locked="0"/>
    </xf>
    <xf numFmtId="0" fontId="18" fillId="0" borderId="15" xfId="0" applyFont="1" applyBorder="1" applyAlignment="1" applyProtection="1">
      <alignment horizontal="left" vertical="center" shrinkToFit="1"/>
      <protection locked="0"/>
    </xf>
    <xf numFmtId="41" fontId="18" fillId="0" borderId="17" xfId="1" applyFont="1" applyBorder="1" applyAlignment="1" applyProtection="1">
      <alignment horizontal="center" vertical="center" shrinkToFit="1"/>
      <protection locked="0"/>
    </xf>
    <xf numFmtId="0" fontId="18" fillId="0" borderId="15" xfId="0" applyFont="1" applyBorder="1" applyAlignment="1" applyProtection="1">
      <alignment horizontal="center" vertical="center" shrinkToFit="1"/>
      <protection locked="0"/>
    </xf>
    <xf numFmtId="0" fontId="18" fillId="0" borderId="17" xfId="0" applyFont="1" applyBorder="1" applyAlignment="1" applyProtection="1">
      <alignment horizontal="center" vertical="center" shrinkToFit="1"/>
      <protection locked="0"/>
    </xf>
    <xf numFmtId="0" fontId="26" fillId="0" borderId="99" xfId="0" applyFont="1" applyBorder="1" applyAlignment="1" applyProtection="1">
      <alignment horizontal="center" vertical="center" shrinkToFit="1"/>
      <protection locked="0"/>
    </xf>
    <xf numFmtId="41" fontId="18" fillId="4" borderId="100" xfId="1" applyFont="1" applyFill="1" applyBorder="1" applyAlignment="1" applyProtection="1">
      <alignment horizontal="right" vertical="center" shrinkToFit="1"/>
      <protection locked="0"/>
    </xf>
    <xf numFmtId="0" fontId="18" fillId="0" borderId="17" xfId="1" applyNumberFormat="1" applyFont="1" applyBorder="1" applyAlignment="1" applyProtection="1">
      <alignment horizontal="center" vertical="center" shrinkToFit="1"/>
      <protection locked="0"/>
    </xf>
    <xf numFmtId="176" fontId="18" fillId="0" borderId="28" xfId="2" applyNumberFormat="1" applyFont="1" applyBorder="1" applyAlignment="1" applyProtection="1">
      <alignment horizontal="center" vertical="center" shrinkToFit="1"/>
      <protection locked="0"/>
    </xf>
    <xf numFmtId="0" fontId="18" fillId="0" borderId="107" xfId="0" applyFont="1" applyBorder="1" applyAlignment="1" applyProtection="1">
      <alignment horizontal="left" vertical="center" shrinkToFit="1"/>
      <protection locked="0"/>
    </xf>
    <xf numFmtId="0" fontId="26" fillId="0" borderId="89" xfId="0" applyFont="1" applyBorder="1" applyAlignment="1" applyProtection="1">
      <alignment horizontal="center" vertical="center" shrinkToFit="1"/>
      <protection locked="0"/>
    </xf>
    <xf numFmtId="10" fontId="26" fillId="0" borderId="102" xfId="0" applyNumberFormat="1" applyFont="1" applyBorder="1" applyAlignment="1" applyProtection="1">
      <alignment horizontal="center" vertical="center" shrinkToFit="1"/>
      <protection locked="0"/>
    </xf>
    <xf numFmtId="41" fontId="26" fillId="4" borderId="102" xfId="3" applyFont="1" applyFill="1" applyBorder="1" applyAlignment="1" applyProtection="1">
      <alignment horizontal="right" vertical="center" shrinkToFit="1"/>
      <protection locked="0"/>
    </xf>
    <xf numFmtId="181" fontId="18" fillId="0" borderId="102" xfId="1" applyNumberFormat="1" applyFont="1" applyBorder="1" applyAlignment="1" applyProtection="1">
      <alignment horizontal="center" vertical="center" shrinkToFit="1"/>
      <protection locked="0"/>
    </xf>
    <xf numFmtId="0" fontId="18" fillId="0" borderId="102" xfId="0" applyFont="1" applyBorder="1" applyAlignment="1" applyProtection="1">
      <alignment horizontal="center" vertical="center" shrinkToFit="1"/>
      <protection locked="0"/>
    </xf>
    <xf numFmtId="181" fontId="18" fillId="0" borderId="90" xfId="1" applyNumberFormat="1" applyFont="1" applyBorder="1" applyAlignment="1" applyProtection="1">
      <alignment vertical="center" shrinkToFit="1"/>
      <protection locked="0"/>
    </xf>
    <xf numFmtId="41" fontId="18" fillId="0" borderId="110" xfId="1" applyFont="1" applyBorder="1" applyAlignment="1" applyProtection="1">
      <alignment horizontal="center" vertical="center" shrinkToFit="1"/>
      <protection locked="0"/>
    </xf>
    <xf numFmtId="41" fontId="18" fillId="0" borderId="29" xfId="1" applyFont="1" applyBorder="1" applyAlignment="1" applyProtection="1">
      <alignment horizontal="center" vertical="center" shrinkToFit="1"/>
      <protection locked="0"/>
    </xf>
    <xf numFmtId="41" fontId="18" fillId="0" borderId="37" xfId="1" applyFont="1" applyBorder="1" applyAlignment="1" applyProtection="1">
      <alignment horizontal="center" vertical="center" shrinkToFit="1"/>
      <protection locked="0"/>
    </xf>
    <xf numFmtId="41" fontId="18" fillId="0" borderId="103" xfId="0" applyNumberFormat="1" applyFont="1" applyBorder="1" applyAlignment="1" applyProtection="1">
      <alignment horizontal="center" vertical="center" shrinkToFit="1"/>
      <protection locked="0"/>
    </xf>
    <xf numFmtId="41" fontId="18" fillId="9" borderId="28" xfId="1" applyFont="1" applyFill="1" applyBorder="1" applyAlignment="1" applyProtection="1">
      <alignment horizontal="center" vertical="center" shrinkToFit="1"/>
      <protection locked="0"/>
    </xf>
    <xf numFmtId="41" fontId="18" fillId="3" borderId="0" xfId="1" applyFont="1" applyFill="1" applyBorder="1" applyAlignment="1" applyProtection="1">
      <alignment horizontal="center" vertical="center" shrinkToFit="1"/>
      <protection locked="0"/>
    </xf>
    <xf numFmtId="0" fontId="30" fillId="0" borderId="0" xfId="0" applyFont="1" applyBorder="1" applyAlignment="1" applyProtection="1">
      <alignment shrinkToFit="1"/>
      <protection hidden="1"/>
    </xf>
    <xf numFmtId="0" fontId="24" fillId="0" borderId="37" xfId="0" applyFont="1" applyBorder="1" applyAlignment="1" applyProtection="1">
      <alignment horizontal="left" vertical="center" shrinkToFit="1"/>
      <protection locked="0"/>
    </xf>
    <xf numFmtId="41" fontId="24" fillId="8" borderId="29" xfId="1" applyFont="1" applyFill="1" applyBorder="1" applyAlignment="1" applyProtection="1">
      <alignment horizontal="center" vertical="center" shrinkToFit="1"/>
      <protection locked="0"/>
    </xf>
    <xf numFmtId="41" fontId="18" fillId="9" borderId="107" xfId="1" applyFont="1" applyFill="1" applyBorder="1" applyAlignment="1" applyProtection="1">
      <alignment horizontal="center" vertical="center" shrinkToFit="1"/>
      <protection locked="0"/>
    </xf>
    <xf numFmtId="41" fontId="31" fillId="0" borderId="0" xfId="1" applyFont="1" applyBorder="1" applyAlignment="1" applyProtection="1">
      <alignment shrinkToFit="1"/>
      <protection hidden="1"/>
    </xf>
    <xf numFmtId="0" fontId="22" fillId="0" borderId="0" xfId="0" applyFont="1" applyBorder="1" applyAlignment="1" applyProtection="1">
      <alignment shrinkToFit="1"/>
      <protection hidden="1"/>
    </xf>
    <xf numFmtId="0" fontId="24" fillId="3" borderId="15" xfId="0" applyFont="1" applyFill="1" applyBorder="1" applyAlignment="1" applyProtection="1">
      <alignment horizontal="left" vertical="center" shrinkToFit="1"/>
      <protection locked="0"/>
    </xf>
    <xf numFmtId="41" fontId="24" fillId="8" borderId="17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16" xfId="0" applyFont="1" applyBorder="1" applyAlignment="1" applyProtection="1">
      <alignment horizontal="center" vertical="center" shrinkToFit="1"/>
      <protection locked="0"/>
    </xf>
    <xf numFmtId="178" fontId="24" fillId="8" borderId="17" xfId="0" applyNumberFormat="1" applyFont="1" applyFill="1" applyBorder="1" applyAlignment="1" applyProtection="1">
      <alignment horizontal="center" vertical="center" shrinkToFit="1"/>
      <protection locked="0"/>
    </xf>
    <xf numFmtId="0" fontId="23" fillId="0" borderId="0" xfId="1" applyNumberFormat="1" applyFont="1" applyBorder="1" applyAlignment="1" applyProtection="1">
      <alignment vertical="center" shrinkToFit="1"/>
      <protection hidden="1"/>
    </xf>
    <xf numFmtId="10" fontId="24" fillId="8" borderId="17" xfId="2" applyNumberFormat="1" applyFont="1" applyFill="1" applyBorder="1" applyAlignment="1" applyProtection="1">
      <alignment horizontal="center" vertical="center" shrinkToFit="1"/>
      <protection locked="0"/>
    </xf>
    <xf numFmtId="41" fontId="18" fillId="0" borderId="15" xfId="1" applyFont="1" applyBorder="1" applyAlignment="1" applyProtection="1">
      <alignment horizontal="left" vertical="center" shrinkToFit="1"/>
      <protection locked="0"/>
    </xf>
    <xf numFmtId="41" fontId="18" fillId="0" borderId="16" xfId="1" applyFont="1" applyBorder="1" applyAlignment="1" applyProtection="1">
      <alignment horizontal="center" vertical="center" shrinkToFit="1"/>
      <protection locked="0"/>
    </xf>
    <xf numFmtId="41" fontId="18" fillId="0" borderId="15" xfId="1" applyFont="1" applyBorder="1" applyAlignment="1" applyProtection="1">
      <alignment horizontal="center" vertical="center" shrinkToFit="1"/>
      <protection locked="0"/>
    </xf>
    <xf numFmtId="41" fontId="18" fillId="0" borderId="0" xfId="1" applyFont="1" applyBorder="1" applyAlignment="1" applyProtection="1">
      <alignment horizontal="left" vertical="center" shrinkToFit="1"/>
      <protection locked="0"/>
    </xf>
    <xf numFmtId="0" fontId="24" fillId="3" borderId="98" xfId="0" applyFont="1" applyFill="1" applyBorder="1" applyAlignment="1" applyProtection="1">
      <alignment horizontal="left" vertical="center" shrinkToFit="1"/>
      <protection locked="0"/>
    </xf>
    <xf numFmtId="41" fontId="18" fillId="3" borderId="98" xfId="1" applyFont="1" applyFill="1" applyBorder="1" applyAlignment="1" applyProtection="1">
      <alignment horizontal="left" vertical="center" shrinkToFit="1"/>
      <protection locked="0"/>
    </xf>
    <xf numFmtId="41" fontId="18" fillId="3" borderId="109" xfId="1" applyFont="1" applyFill="1" applyBorder="1" applyAlignment="1" applyProtection="1">
      <alignment horizontal="center" vertical="center" shrinkToFit="1"/>
      <protection locked="0"/>
    </xf>
    <xf numFmtId="6" fontId="18" fillId="3" borderId="28" xfId="1" applyNumberFormat="1" applyFont="1" applyFill="1" applyBorder="1" applyAlignment="1" applyProtection="1">
      <alignment horizontal="center" vertical="center" shrinkToFit="1"/>
      <protection locked="0"/>
    </xf>
    <xf numFmtId="6" fontId="18" fillId="0" borderId="98" xfId="1" applyNumberFormat="1" applyFont="1" applyBorder="1" applyAlignment="1" applyProtection="1">
      <alignment horizontal="center" vertical="center" shrinkToFit="1"/>
      <protection locked="0"/>
    </xf>
    <xf numFmtId="6" fontId="18" fillId="0" borderId="109" xfId="1" applyNumberFormat="1" applyFont="1" applyBorder="1" applyAlignment="1" applyProtection="1">
      <alignment horizontal="center" vertical="center" shrinkToFit="1"/>
      <protection locked="0"/>
    </xf>
    <xf numFmtId="41" fontId="26" fillId="0" borderId="100" xfId="0" applyNumberFormat="1" applyFont="1" applyBorder="1" applyAlignment="1" applyProtection="1">
      <alignment horizontal="center" vertical="center" shrinkToFit="1"/>
      <protection locked="0"/>
    </xf>
    <xf numFmtId="176" fontId="26" fillId="4" borderId="100" xfId="2" applyNumberFormat="1" applyFont="1" applyFill="1" applyBorder="1" applyAlignment="1" applyProtection="1">
      <alignment horizontal="right" vertical="center" shrinkToFit="1"/>
      <protection locked="0"/>
    </xf>
    <xf numFmtId="0" fontId="24" fillId="3" borderId="37" xfId="0" applyFont="1" applyFill="1" applyBorder="1" applyAlignment="1" applyProtection="1">
      <alignment horizontal="left" vertical="center" shrinkToFit="1"/>
      <protection locked="0"/>
    </xf>
    <xf numFmtId="41" fontId="18" fillId="3" borderId="107" xfId="1" applyFont="1" applyFill="1" applyBorder="1" applyAlignment="1" applyProtection="1">
      <alignment horizontal="left" vertical="center" shrinkToFit="1"/>
      <protection locked="0"/>
    </xf>
    <xf numFmtId="183" fontId="18" fillId="3" borderId="103" xfId="2" applyNumberFormat="1" applyFont="1" applyFill="1" applyBorder="1" applyAlignment="1" applyProtection="1">
      <alignment horizontal="center" vertical="center" shrinkToFit="1"/>
      <protection locked="0"/>
    </xf>
    <xf numFmtId="183" fontId="18" fillId="3" borderId="0" xfId="2" applyNumberFormat="1" applyFont="1" applyFill="1" applyBorder="1" applyAlignment="1" applyProtection="1">
      <alignment horizontal="center" vertical="center" shrinkToFit="1"/>
      <protection locked="0"/>
    </xf>
    <xf numFmtId="183" fontId="18" fillId="0" borderId="107" xfId="2" applyNumberFormat="1" applyFont="1" applyBorder="1" applyAlignment="1" applyProtection="1">
      <alignment horizontal="center" vertical="center" shrinkToFit="1"/>
      <protection locked="0"/>
    </xf>
    <xf numFmtId="183" fontId="18" fillId="0" borderId="0" xfId="2" applyNumberFormat="1" applyFont="1" applyBorder="1" applyAlignment="1" applyProtection="1">
      <alignment horizontal="center" vertical="center" shrinkToFit="1"/>
      <protection locked="0"/>
    </xf>
    <xf numFmtId="183" fontId="18" fillId="0" borderId="103" xfId="2" applyNumberFormat="1" applyFont="1" applyBorder="1" applyAlignment="1" applyProtection="1">
      <alignment horizontal="center" vertical="center" shrinkToFit="1"/>
      <protection locked="0"/>
    </xf>
    <xf numFmtId="183" fontId="18" fillId="3" borderId="107" xfId="2" applyNumberFormat="1" applyFont="1" applyFill="1" applyBorder="1" applyAlignment="1" applyProtection="1">
      <alignment horizontal="center" vertical="center" shrinkToFit="1"/>
      <protection locked="0"/>
    </xf>
    <xf numFmtId="0" fontId="18" fillId="0" borderId="98" xfId="0" applyFont="1" applyBorder="1" applyAlignment="1" applyProtection="1">
      <alignment horizontal="center" vertical="center" shrinkToFit="1"/>
      <protection locked="0"/>
    </xf>
    <xf numFmtId="10" fontId="18" fillId="0" borderId="28" xfId="2" applyNumberFormat="1" applyFont="1" applyBorder="1" applyAlignment="1" applyProtection="1">
      <alignment horizontal="center" vertical="center" shrinkToFit="1"/>
      <protection locked="0"/>
    </xf>
    <xf numFmtId="6" fontId="18" fillId="3" borderId="103" xfId="1" applyNumberFormat="1" applyFont="1" applyFill="1" applyBorder="1" applyAlignment="1" applyProtection="1">
      <alignment horizontal="center" vertical="center" shrinkToFit="1"/>
      <protection locked="0"/>
    </xf>
    <xf numFmtId="6" fontId="18" fillId="3" borderId="0" xfId="1" applyNumberFormat="1" applyFont="1" applyFill="1" applyBorder="1" applyAlignment="1" applyProtection="1">
      <alignment horizontal="center" vertical="center" shrinkToFit="1"/>
      <protection locked="0"/>
    </xf>
    <xf numFmtId="6" fontId="18" fillId="3" borderId="107" xfId="1" applyNumberFormat="1" applyFont="1" applyFill="1" applyBorder="1" applyAlignment="1" applyProtection="1">
      <alignment horizontal="center" vertical="center" shrinkToFit="1"/>
      <protection locked="0"/>
    </xf>
    <xf numFmtId="0" fontId="18" fillId="0" borderId="37" xfId="0" applyFont="1" applyBorder="1" applyAlignment="1" applyProtection="1">
      <alignment horizontal="center" vertical="center" shrinkToFit="1"/>
      <protection locked="0"/>
    </xf>
    <xf numFmtId="10" fontId="18" fillId="0" borderId="29" xfId="2" applyNumberFormat="1" applyFont="1" applyBorder="1" applyAlignment="1" applyProtection="1">
      <alignment horizontal="center" vertical="center" shrinkToFit="1"/>
      <protection locked="0"/>
    </xf>
    <xf numFmtId="41" fontId="18" fillId="3" borderId="103" xfId="1" applyFont="1" applyFill="1" applyBorder="1" applyAlignment="1" applyProtection="1">
      <alignment horizontal="center" vertical="center" shrinkToFit="1"/>
      <protection locked="0"/>
    </xf>
    <xf numFmtId="41" fontId="18" fillId="3" borderId="107" xfId="1" applyFont="1" applyFill="1" applyBorder="1" applyAlignment="1" applyProtection="1">
      <alignment horizontal="center" vertical="center" shrinkToFit="1"/>
      <protection locked="0"/>
    </xf>
    <xf numFmtId="0" fontId="23" fillId="0" borderId="140" xfId="0" applyFont="1" applyBorder="1" applyAlignment="1" applyProtection="1">
      <alignment vertical="center" shrinkToFit="1"/>
      <protection hidden="1"/>
    </xf>
    <xf numFmtId="10" fontId="18" fillId="0" borderId="103" xfId="2" applyNumberFormat="1" applyFont="1" applyBorder="1" applyAlignment="1" applyProtection="1">
      <alignment horizontal="center" vertical="center" shrinkToFit="1"/>
      <protection locked="0"/>
    </xf>
    <xf numFmtId="41" fontId="18" fillId="8" borderId="107" xfId="1" applyFont="1" applyFill="1" applyBorder="1" applyAlignment="1" applyProtection="1">
      <alignment horizontal="left" vertical="center" shrinkToFit="1"/>
      <protection locked="0"/>
    </xf>
    <xf numFmtId="41" fontId="18" fillId="8" borderId="0" xfId="1" applyFont="1" applyFill="1" applyBorder="1" applyAlignment="1" applyProtection="1">
      <alignment horizontal="center" vertical="center" shrinkToFit="1"/>
      <protection locked="0"/>
    </xf>
    <xf numFmtId="6" fontId="18" fillId="8" borderId="103" xfId="1" applyNumberFormat="1" applyFont="1" applyFill="1" applyBorder="1" applyAlignment="1" applyProtection="1">
      <alignment horizontal="center" vertical="center" shrinkToFit="1"/>
      <protection locked="0"/>
    </xf>
    <xf numFmtId="41" fontId="18" fillId="3" borderId="103" xfId="2" applyNumberFormat="1" applyFont="1" applyFill="1" applyBorder="1" applyAlignment="1" applyProtection="1">
      <alignment horizontal="center" vertical="center" shrinkToFit="1"/>
      <protection locked="0"/>
    </xf>
    <xf numFmtId="41" fontId="18" fillId="3" borderId="0" xfId="2" applyNumberFormat="1" applyFont="1" applyFill="1" applyBorder="1" applyAlignment="1" applyProtection="1">
      <alignment horizontal="center" vertical="center" shrinkToFit="1"/>
      <protection locked="0"/>
    </xf>
    <xf numFmtId="41" fontId="18" fillId="3" borderId="107" xfId="2" applyNumberFormat="1" applyFont="1" applyFill="1" applyBorder="1" applyAlignment="1" applyProtection="1">
      <alignment horizontal="center" vertical="center" shrinkToFit="1"/>
      <protection locked="0"/>
    </xf>
    <xf numFmtId="41" fontId="18" fillId="0" borderId="103" xfId="1" applyFont="1" applyBorder="1" applyAlignment="1" applyProtection="1">
      <alignment horizontal="left" vertical="center" shrinkToFit="1"/>
      <protection locked="0"/>
    </xf>
    <xf numFmtId="41" fontId="18" fillId="8" borderId="37" xfId="1" applyFont="1" applyFill="1" applyBorder="1" applyAlignment="1" applyProtection="1">
      <alignment horizontal="left" vertical="center" shrinkToFit="1"/>
      <protection locked="0"/>
    </xf>
    <xf numFmtId="41" fontId="18" fillId="8" borderId="110" xfId="1" applyFont="1" applyFill="1" applyBorder="1" applyAlignment="1" applyProtection="1">
      <alignment horizontal="center" vertical="center" shrinkToFit="1"/>
      <protection locked="0"/>
    </xf>
    <xf numFmtId="183" fontId="18" fillId="8" borderId="29" xfId="2" applyNumberFormat="1" applyFont="1" applyFill="1" applyBorder="1" applyAlignment="1" applyProtection="1">
      <alignment horizontal="center" vertical="center" shrinkToFit="1"/>
      <protection locked="0"/>
    </xf>
    <xf numFmtId="0" fontId="18" fillId="0" borderId="107" xfId="0" applyFont="1" applyBorder="1" applyAlignment="1" applyProtection="1">
      <alignment horizontal="center" vertical="center" shrinkToFit="1"/>
      <protection locked="0"/>
    </xf>
    <xf numFmtId="0" fontId="18" fillId="0" borderId="103" xfId="0" applyFont="1" applyBorder="1" applyAlignment="1" applyProtection="1">
      <alignment horizontal="center" vertical="center" shrinkToFit="1"/>
      <protection locked="0"/>
    </xf>
    <xf numFmtId="6" fontId="18" fillId="8" borderId="107" xfId="1" applyNumberFormat="1" applyFont="1" applyFill="1" applyBorder="1" applyAlignment="1" applyProtection="1">
      <alignment horizontal="center" vertical="center" shrinkToFit="1"/>
      <protection locked="0"/>
    </xf>
    <xf numFmtId="6" fontId="18" fillId="8" borderId="0" xfId="1" applyNumberFormat="1" applyFont="1" applyFill="1" applyBorder="1" applyAlignment="1" applyProtection="1">
      <alignment horizontal="center" vertical="center" shrinkToFit="1"/>
      <protection locked="0"/>
    </xf>
    <xf numFmtId="41" fontId="18" fillId="0" borderId="103" xfId="1" applyFont="1" applyBorder="1" applyAlignment="1" applyProtection="1">
      <alignment vertical="center" shrinkToFit="1"/>
      <protection locked="0"/>
    </xf>
    <xf numFmtId="183" fontId="18" fillId="8" borderId="37" xfId="2" applyNumberFormat="1" applyFont="1" applyFill="1" applyBorder="1" applyAlignment="1" applyProtection="1">
      <alignment horizontal="center" vertical="center" shrinkToFit="1"/>
      <protection locked="0"/>
    </xf>
    <xf numFmtId="183" fontId="18" fillId="8" borderId="110" xfId="2" applyNumberFormat="1" applyFont="1" applyFill="1" applyBorder="1" applyAlignment="1" applyProtection="1">
      <alignment horizontal="center" vertical="center" shrinkToFit="1"/>
      <protection locked="0"/>
    </xf>
    <xf numFmtId="41" fontId="18" fillId="0" borderId="29" xfId="1" applyFont="1" applyBorder="1" applyAlignment="1" applyProtection="1">
      <alignment vertical="center" shrinkToFit="1"/>
      <protection locked="0"/>
    </xf>
    <xf numFmtId="181" fontId="18" fillId="0" borderId="28" xfId="1" applyNumberFormat="1" applyFont="1" applyBorder="1" applyAlignment="1" applyProtection="1">
      <alignment horizontal="center" vertical="center" shrinkToFit="1"/>
      <protection locked="0"/>
    </xf>
    <xf numFmtId="0" fontId="18" fillId="3" borderId="0" xfId="0" applyFont="1" applyFill="1" applyBorder="1" applyAlignment="1" applyProtection="1">
      <alignment vertical="center" shrinkToFit="1"/>
      <protection hidden="1"/>
    </xf>
    <xf numFmtId="41" fontId="24" fillId="0" borderId="98" xfId="1" applyFont="1" applyBorder="1" applyAlignment="1" applyProtection="1">
      <alignment horizontal="left" vertical="center" shrinkToFit="1"/>
      <protection locked="0"/>
    </xf>
    <xf numFmtId="181" fontId="18" fillId="0" borderId="103" xfId="1" applyNumberFormat="1" applyFont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 applyProtection="1">
      <alignment vertical="center" shrinkToFit="1"/>
      <protection hidden="1"/>
    </xf>
    <xf numFmtId="49" fontId="23" fillId="0" borderId="0" xfId="1" applyNumberFormat="1" applyFont="1" applyAlignment="1" applyProtection="1">
      <alignment vertical="center" shrinkToFit="1"/>
      <protection hidden="1"/>
    </xf>
    <xf numFmtId="0" fontId="18" fillId="0" borderId="29" xfId="0" applyFont="1" applyBorder="1" applyAlignment="1" applyProtection="1">
      <alignment horizontal="center" vertical="center" shrinkToFit="1"/>
      <protection locked="0"/>
    </xf>
    <xf numFmtId="41" fontId="18" fillId="4" borderId="107" xfId="1" applyFont="1" applyFill="1" applyBorder="1" applyAlignment="1" applyProtection="1">
      <alignment horizontal="left" vertical="center" shrinkToFit="1"/>
      <protection locked="0"/>
    </xf>
    <xf numFmtId="41" fontId="18" fillId="4" borderId="103" xfId="1" applyFont="1" applyFill="1" applyBorder="1" applyAlignment="1" applyProtection="1">
      <alignment horizontal="center" vertical="center" shrinkToFit="1"/>
      <protection locked="0"/>
    </xf>
    <xf numFmtId="0" fontId="18" fillId="6" borderId="0" xfId="0" applyFont="1" applyFill="1" applyAlignment="1" applyProtection="1">
      <alignment vertical="center" shrinkToFit="1"/>
      <protection hidden="1"/>
    </xf>
    <xf numFmtId="0" fontId="22" fillId="6" borderId="0" xfId="0" applyFont="1" applyFill="1" applyAlignment="1" applyProtection="1">
      <alignment vertical="center" shrinkToFit="1"/>
      <protection hidden="1"/>
    </xf>
    <xf numFmtId="49" fontId="23" fillId="6" borderId="0" xfId="1" applyNumberFormat="1" applyFont="1" applyFill="1" applyAlignment="1" applyProtection="1">
      <alignment vertical="center" shrinkToFit="1"/>
      <protection hidden="1"/>
    </xf>
    <xf numFmtId="41" fontId="18" fillId="0" borderId="28" xfId="2" applyNumberFormat="1" applyFont="1" applyBorder="1" applyAlignment="1" applyProtection="1">
      <alignment horizontal="center" vertical="center" shrinkToFit="1"/>
      <protection locked="0"/>
    </xf>
    <xf numFmtId="10" fontId="18" fillId="0" borderId="107" xfId="1" applyNumberFormat="1" applyFont="1" applyBorder="1" applyAlignment="1" applyProtection="1">
      <alignment horizontal="left" vertical="center" shrinkToFit="1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10" fontId="18" fillId="4" borderId="107" xfId="2" applyNumberFormat="1" applyFont="1" applyFill="1" applyBorder="1" applyAlignment="1" applyProtection="1">
      <alignment horizontal="center" vertical="center" shrinkToFit="1"/>
      <protection locked="0"/>
    </xf>
    <xf numFmtId="10" fontId="18" fillId="4" borderId="103" xfId="2" applyNumberFormat="1" applyFont="1" applyFill="1" applyBorder="1" applyAlignment="1" applyProtection="1">
      <alignment horizontal="center" vertical="center" shrinkToFit="1"/>
      <protection locked="0"/>
    </xf>
    <xf numFmtId="176" fontId="26" fillId="4" borderId="102" xfId="2" applyNumberFormat="1" applyFont="1" applyFill="1" applyBorder="1" applyAlignment="1" applyProtection="1">
      <alignment horizontal="right" vertical="center" shrinkToFit="1"/>
      <protection locked="0"/>
    </xf>
    <xf numFmtId="181" fontId="18" fillId="0" borderId="29" xfId="1" applyNumberFormat="1" applyFont="1" applyBorder="1" applyAlignment="1" applyProtection="1">
      <alignment horizontal="center" vertical="center" shrinkToFit="1"/>
      <protection locked="0"/>
    </xf>
    <xf numFmtId="10" fontId="18" fillId="0" borderId="107" xfId="2" applyNumberFormat="1" applyFont="1" applyBorder="1" applyAlignment="1" applyProtection="1">
      <alignment horizontal="left" vertical="center" shrinkToFit="1"/>
      <protection locked="0"/>
    </xf>
    <xf numFmtId="0" fontId="24" fillId="0" borderId="98" xfId="0" applyFont="1" applyBorder="1" applyAlignment="1" applyProtection="1">
      <alignment horizontal="left" vertical="center" shrinkToFit="1"/>
      <protection locked="0"/>
    </xf>
    <xf numFmtId="41" fontId="24" fillId="8" borderId="28" xfId="1" applyFont="1" applyFill="1" applyBorder="1" applyAlignment="1" applyProtection="1">
      <alignment horizontal="center" vertical="center" shrinkToFit="1"/>
      <protection locked="0"/>
    </xf>
    <xf numFmtId="0" fontId="18" fillId="0" borderId="37" xfId="0" applyFont="1" applyBorder="1" applyAlignment="1" applyProtection="1">
      <alignment horizontal="left" vertical="center" shrinkToFit="1"/>
      <protection locked="0"/>
    </xf>
    <xf numFmtId="177" fontId="18" fillId="0" borderId="29" xfId="2" applyNumberFormat="1" applyFont="1" applyBorder="1" applyAlignment="1" applyProtection="1">
      <alignment horizontal="center" vertical="center" shrinkToFit="1"/>
      <protection locked="0"/>
    </xf>
    <xf numFmtId="41" fontId="24" fillId="4" borderId="17" xfId="1" applyFont="1" applyFill="1" applyBorder="1" applyAlignment="1" applyProtection="1">
      <alignment horizontal="center" vertical="center" shrinkToFit="1"/>
      <protection locked="0"/>
    </xf>
    <xf numFmtId="0" fontId="24" fillId="0" borderId="107" xfId="0" applyFont="1" applyBorder="1" applyAlignment="1" applyProtection="1">
      <alignment horizontal="left" vertical="center" shrinkToFit="1"/>
      <protection locked="0"/>
    </xf>
    <xf numFmtId="0" fontId="18" fillId="0" borderId="0" xfId="0" applyFont="1" applyBorder="1" applyAlignment="1" applyProtection="1">
      <alignment horizontal="left" vertical="center" shrinkToFit="1"/>
      <protection locked="0"/>
    </xf>
    <xf numFmtId="177" fontId="18" fillId="0" borderId="0" xfId="2" applyNumberFormat="1" applyFont="1" applyBorder="1" applyAlignment="1" applyProtection="1">
      <alignment horizontal="center" vertical="center" shrinkToFit="1"/>
      <protection locked="0"/>
    </xf>
    <xf numFmtId="181" fontId="18" fillId="0" borderId="109" xfId="1" applyNumberFormat="1" applyFont="1" applyBorder="1" applyAlignment="1" applyProtection="1">
      <alignment horizontal="center" vertical="center" shrinkToFit="1"/>
      <protection locked="0"/>
    </xf>
    <xf numFmtId="181" fontId="18" fillId="0" borderId="0" xfId="1" applyNumberFormat="1" applyFont="1" applyBorder="1" applyAlignment="1" applyProtection="1">
      <alignment horizontal="center" vertical="center" shrinkToFit="1"/>
      <protection locked="0"/>
    </xf>
    <xf numFmtId="181" fontId="18" fillId="0" borderId="110" xfId="1" applyNumberFormat="1" applyFont="1" applyBorder="1" applyAlignment="1" applyProtection="1">
      <alignment horizontal="center" vertical="center" shrinkToFit="1"/>
      <protection locked="0"/>
    </xf>
    <xf numFmtId="0" fontId="18" fillId="6" borderId="0" xfId="0" applyFont="1" applyFill="1" applyAlignment="1" applyProtection="1">
      <alignment horizontal="center" vertical="center" shrinkToFit="1"/>
      <protection locked="0"/>
    </xf>
    <xf numFmtId="0" fontId="18" fillId="6" borderId="0" xfId="0" applyFont="1" applyFill="1" applyAlignment="1" applyProtection="1">
      <alignment horizontal="left" vertical="center" shrinkToFit="1"/>
      <protection locked="0"/>
    </xf>
    <xf numFmtId="41" fontId="18" fillId="6" borderId="0" xfId="1" applyFont="1" applyFill="1" applyAlignment="1" applyProtection="1">
      <alignment horizontal="center" vertical="center" shrinkToFit="1"/>
      <protection locked="0"/>
    </xf>
    <xf numFmtId="41" fontId="18" fillId="6" borderId="0" xfId="1" applyFont="1" applyFill="1" applyAlignment="1" applyProtection="1">
      <alignment horizontal="left" vertical="center" shrinkToFit="1"/>
      <protection locked="0"/>
    </xf>
    <xf numFmtId="181" fontId="18" fillId="6" borderId="0" xfId="1" applyNumberFormat="1" applyFont="1" applyFill="1" applyAlignment="1" applyProtection="1">
      <alignment horizontal="center" vertical="center" shrinkToFit="1"/>
      <protection locked="0"/>
    </xf>
    <xf numFmtId="41" fontId="18" fillId="7" borderId="0" xfId="1" applyFont="1" applyFill="1" applyAlignment="1" applyProtection="1">
      <alignment horizontal="center" vertical="center" shrinkToFit="1"/>
      <protection locked="0"/>
    </xf>
    <xf numFmtId="41" fontId="18" fillId="7" borderId="98" xfId="1" applyFont="1" applyFill="1" applyBorder="1" applyAlignment="1" applyProtection="1">
      <alignment horizontal="center" vertical="center" shrinkToFit="1"/>
      <protection locked="0"/>
    </xf>
    <xf numFmtId="41" fontId="18" fillId="7" borderId="28" xfId="1" applyFont="1" applyFill="1" applyBorder="1" applyAlignment="1" applyProtection="1">
      <alignment horizontal="center" vertical="center" shrinkToFit="1"/>
      <protection locked="0"/>
    </xf>
    <xf numFmtId="41" fontId="18" fillId="7" borderId="0" xfId="1" applyFont="1" applyFill="1" applyBorder="1" applyAlignment="1" applyProtection="1">
      <alignment horizontal="center" vertical="center" shrinkToFit="1"/>
      <protection locked="0"/>
    </xf>
    <xf numFmtId="10" fontId="18" fillId="7" borderId="37" xfId="1" applyNumberFormat="1" applyFont="1" applyFill="1" applyBorder="1" applyAlignment="1" applyProtection="1">
      <alignment horizontal="center" vertical="center" shrinkToFit="1"/>
      <protection locked="0"/>
    </xf>
    <xf numFmtId="10" fontId="18" fillId="7" borderId="29" xfId="1" applyNumberFormat="1" applyFont="1" applyFill="1" applyBorder="1" applyAlignment="1" applyProtection="1">
      <alignment horizontal="center" vertical="center" shrinkToFit="1"/>
      <protection locked="0"/>
    </xf>
    <xf numFmtId="10" fontId="18" fillId="7" borderId="0" xfId="1" applyNumberFormat="1" applyFont="1" applyFill="1" applyBorder="1" applyAlignment="1" applyProtection="1">
      <alignment horizontal="center" vertical="center" shrinkToFit="1"/>
      <protection locked="0"/>
    </xf>
    <xf numFmtId="41" fontId="18" fillId="7" borderId="107" xfId="1" applyFont="1" applyFill="1" applyBorder="1" applyAlignment="1" applyProtection="1">
      <alignment horizontal="center" vertical="center" shrinkToFit="1"/>
      <protection locked="0"/>
    </xf>
    <xf numFmtId="41" fontId="18" fillId="7" borderId="103" xfId="1" applyFont="1" applyFill="1" applyBorder="1" applyAlignment="1" applyProtection="1">
      <alignment horizontal="center" vertical="center" shrinkToFit="1"/>
      <protection locked="0"/>
    </xf>
    <xf numFmtId="41" fontId="18" fillId="7" borderId="107" xfId="1" applyFont="1" applyFill="1" applyBorder="1" applyAlignment="1" applyProtection="1">
      <alignment horizontal="left" vertical="center" shrinkToFit="1"/>
      <protection locked="0"/>
    </xf>
    <xf numFmtId="41" fontId="18" fillId="7" borderId="37" xfId="1" applyFont="1" applyFill="1" applyBorder="1" applyAlignment="1" applyProtection="1">
      <alignment horizontal="center" vertical="center" shrinkToFit="1"/>
      <protection locked="0"/>
    </xf>
    <xf numFmtId="41" fontId="18" fillId="7" borderId="29" xfId="1" applyFont="1" applyFill="1" applyBorder="1" applyAlignment="1" applyProtection="1">
      <alignment horizontal="center" vertical="center" shrinkToFit="1"/>
      <protection locked="0"/>
    </xf>
    <xf numFmtId="0" fontId="18" fillId="0" borderId="0" xfId="0" applyFont="1" applyBorder="1" applyAlignment="1" applyProtection="1">
      <alignment horizontal="center" vertical="center" shrinkToFit="1"/>
      <protection hidden="1"/>
    </xf>
    <xf numFmtId="41" fontId="18" fillId="7" borderId="98" xfId="1" applyFont="1" applyFill="1" applyBorder="1" applyAlignment="1" applyProtection="1">
      <alignment horizontal="left" vertical="center" shrinkToFit="1"/>
      <protection locked="0"/>
    </xf>
    <xf numFmtId="41" fontId="18" fillId="7" borderId="109" xfId="1" applyFont="1" applyFill="1" applyBorder="1" applyAlignment="1" applyProtection="1">
      <alignment horizontal="center" vertical="center" shrinkToFit="1"/>
      <protection locked="0"/>
    </xf>
    <xf numFmtId="0" fontId="39" fillId="0" borderId="0" xfId="0" applyFont="1" applyBorder="1" applyAlignment="1" applyProtection="1">
      <alignment shrinkToFit="1"/>
      <protection hidden="1"/>
    </xf>
    <xf numFmtId="0" fontId="31" fillId="0" borderId="0" xfId="0" applyFont="1" applyBorder="1" applyAlignment="1" applyProtection="1">
      <alignment shrinkToFit="1"/>
      <protection hidden="1"/>
    </xf>
    <xf numFmtId="41" fontId="33" fillId="0" borderId="0" xfId="1" applyFont="1" applyBorder="1" applyAlignment="1" applyProtection="1">
      <alignment shrinkToFit="1"/>
      <protection hidden="1"/>
    </xf>
    <xf numFmtId="0" fontId="18" fillId="0" borderId="0" xfId="0" applyFont="1" applyBorder="1" applyAlignment="1" applyProtection="1">
      <alignment horizontal="center" vertical="center" shrinkToFit="1"/>
      <protection locked="0"/>
    </xf>
    <xf numFmtId="41" fontId="18" fillId="7" borderId="15" xfId="1" applyFont="1" applyFill="1" applyBorder="1" applyAlignment="1" applyProtection="1">
      <alignment horizontal="center" vertical="center" shrinkToFit="1"/>
      <protection locked="0"/>
    </xf>
    <xf numFmtId="41" fontId="18" fillId="7" borderId="17" xfId="1" applyFont="1" applyFill="1" applyBorder="1" applyAlignment="1" applyProtection="1">
      <alignment horizontal="center" vertical="center" shrinkToFit="1"/>
      <protection locked="0"/>
    </xf>
    <xf numFmtId="0" fontId="18" fillId="0" borderId="110" xfId="0" applyFont="1" applyBorder="1" applyAlignment="1" applyProtection="1">
      <alignment horizontal="center" vertical="center" shrinkToFit="1"/>
      <protection locked="0"/>
    </xf>
    <xf numFmtId="0" fontId="24" fillId="7" borderId="15" xfId="0" applyFont="1" applyFill="1" applyBorder="1" applyAlignment="1" applyProtection="1">
      <alignment horizontal="left" vertical="center" shrinkToFit="1"/>
      <protection locked="0"/>
    </xf>
    <xf numFmtId="41" fontId="24" fillId="7" borderId="17" xfId="1" applyFont="1" applyFill="1" applyBorder="1" applyAlignment="1" applyProtection="1">
      <alignment horizontal="center" vertical="center" shrinkToFit="1"/>
      <protection locked="0"/>
    </xf>
    <xf numFmtId="0" fontId="24" fillId="7" borderId="98" xfId="0" applyFont="1" applyFill="1" applyBorder="1" applyAlignment="1" applyProtection="1">
      <alignment horizontal="left" vertical="center" shrinkToFit="1"/>
      <protection locked="0"/>
    </xf>
    <xf numFmtId="6" fontId="18" fillId="0" borderId="28" xfId="1" applyNumberFormat="1" applyFont="1" applyBorder="1" applyAlignment="1" applyProtection="1">
      <alignment horizontal="center" vertical="center" shrinkToFit="1"/>
      <protection locked="0"/>
    </xf>
    <xf numFmtId="6" fontId="18" fillId="7" borderId="98" xfId="1" applyNumberFormat="1" applyFont="1" applyFill="1" applyBorder="1" applyAlignment="1" applyProtection="1">
      <alignment horizontal="center" vertical="center" shrinkToFit="1"/>
      <protection locked="0"/>
    </xf>
    <xf numFmtId="6" fontId="18" fillId="7" borderId="109" xfId="1" applyNumberFormat="1" applyFont="1" applyFill="1" applyBorder="1" applyAlignment="1" applyProtection="1">
      <alignment horizontal="center" vertical="center" shrinkToFit="1"/>
      <protection locked="0"/>
    </xf>
    <xf numFmtId="0" fontId="24" fillId="7" borderId="37" xfId="0" applyFont="1" applyFill="1" applyBorder="1" applyAlignment="1" applyProtection="1">
      <alignment horizontal="left" vertical="center" shrinkToFit="1"/>
      <protection locked="0"/>
    </xf>
    <xf numFmtId="41" fontId="24" fillId="7" borderId="29" xfId="1" applyFont="1" applyFill="1" applyBorder="1" applyAlignment="1" applyProtection="1">
      <alignment horizontal="center" vertical="center" shrinkToFit="1"/>
      <protection locked="0"/>
    </xf>
    <xf numFmtId="183" fontId="18" fillId="7" borderId="107" xfId="2" applyNumberFormat="1" applyFont="1" applyFill="1" applyBorder="1" applyAlignment="1" applyProtection="1">
      <alignment horizontal="center" vertical="center" shrinkToFit="1"/>
      <protection locked="0"/>
    </xf>
    <xf numFmtId="183" fontId="18" fillId="7" borderId="0" xfId="2" applyNumberFormat="1" applyFont="1" applyFill="1" applyBorder="1" applyAlignment="1" applyProtection="1">
      <alignment horizontal="center" vertical="center" shrinkToFit="1"/>
      <protection locked="0"/>
    </xf>
    <xf numFmtId="183" fontId="18" fillId="7" borderId="103" xfId="2" applyNumberFormat="1" applyFont="1" applyFill="1" applyBorder="1" applyAlignment="1" applyProtection="1">
      <alignment horizontal="center" vertical="center" shrinkToFit="1"/>
      <protection locked="0"/>
    </xf>
    <xf numFmtId="6" fontId="18" fillId="7" borderId="107" xfId="1" applyNumberFormat="1" applyFont="1" applyFill="1" applyBorder="1" applyAlignment="1" applyProtection="1">
      <alignment horizontal="center" vertical="center" shrinkToFit="1"/>
      <protection locked="0"/>
    </xf>
    <xf numFmtId="6" fontId="18" fillId="7" borderId="0" xfId="1" applyNumberFormat="1" applyFont="1" applyFill="1" applyBorder="1" applyAlignment="1" applyProtection="1">
      <alignment horizontal="center" vertical="center" shrinkToFit="1"/>
      <protection locked="0"/>
    </xf>
    <xf numFmtId="0" fontId="18" fillId="7" borderId="98" xfId="0" applyFont="1" applyFill="1" applyBorder="1" applyAlignment="1" applyProtection="1">
      <alignment horizontal="center" vertical="center" shrinkToFit="1"/>
      <protection locked="0"/>
    </xf>
    <xf numFmtId="10" fontId="18" fillId="7" borderId="28" xfId="2" applyNumberFormat="1" applyFont="1" applyFill="1" applyBorder="1" applyAlignment="1" applyProtection="1">
      <alignment horizontal="center" vertical="center" shrinkToFit="1"/>
      <protection locked="0"/>
    </xf>
    <xf numFmtId="183" fontId="18" fillId="8" borderId="103" xfId="2" applyNumberFormat="1" applyFont="1" applyFill="1" applyBorder="1" applyAlignment="1" applyProtection="1">
      <alignment horizontal="center" vertical="center" shrinkToFit="1"/>
      <protection locked="0"/>
    </xf>
    <xf numFmtId="0" fontId="18" fillId="7" borderId="37" xfId="0" applyFont="1" applyFill="1" applyBorder="1" applyAlignment="1" applyProtection="1">
      <alignment horizontal="center" vertical="center" shrinkToFit="1"/>
      <protection locked="0"/>
    </xf>
    <xf numFmtId="10" fontId="18" fillId="7" borderId="29" xfId="2" applyNumberFormat="1" applyFont="1" applyFill="1" applyBorder="1" applyAlignment="1" applyProtection="1">
      <alignment horizontal="center" vertical="center" shrinkToFit="1"/>
      <protection locked="0"/>
    </xf>
    <xf numFmtId="6" fontId="18" fillId="0" borderId="103" xfId="1" applyNumberFormat="1" applyFont="1" applyBorder="1" applyAlignment="1" applyProtection="1">
      <alignment horizontal="center" vertical="center" shrinkToFit="1"/>
      <protection locked="0"/>
    </xf>
    <xf numFmtId="0" fontId="18" fillId="3" borderId="0" xfId="0" applyFont="1" applyFill="1" applyAlignment="1" applyProtection="1">
      <alignment vertical="center" shrinkToFit="1"/>
      <protection hidden="1"/>
    </xf>
    <xf numFmtId="10" fontId="18" fillId="7" borderId="103" xfId="2" applyNumberFormat="1" applyFont="1" applyFill="1" applyBorder="1" applyAlignment="1" applyProtection="1">
      <alignment horizontal="center" vertical="center" shrinkToFit="1"/>
      <protection locked="0"/>
    </xf>
    <xf numFmtId="10" fontId="18" fillId="0" borderId="0" xfId="2" applyNumberFormat="1" applyFont="1" applyAlignment="1" applyProtection="1">
      <alignment horizontal="center" vertical="center" shrinkToFit="1"/>
      <protection locked="0"/>
    </xf>
    <xf numFmtId="10" fontId="18" fillId="7" borderId="107" xfId="2" applyNumberFormat="1" applyFont="1" applyFill="1" applyBorder="1" applyAlignment="1" applyProtection="1">
      <alignment horizontal="center" vertical="center" shrinkToFit="1"/>
      <protection locked="0"/>
    </xf>
    <xf numFmtId="10" fontId="18" fillId="7" borderId="0" xfId="2" applyNumberFormat="1" applyFont="1" applyFill="1" applyBorder="1" applyAlignment="1" applyProtection="1">
      <alignment horizontal="center" vertical="center" shrinkToFit="1"/>
      <protection locked="0"/>
    </xf>
    <xf numFmtId="41" fontId="18" fillId="7" borderId="103" xfId="1" applyFont="1" applyFill="1" applyBorder="1" applyAlignment="1" applyProtection="1">
      <alignment horizontal="left" vertical="center" shrinkToFit="1"/>
      <protection locked="0"/>
    </xf>
    <xf numFmtId="49" fontId="23" fillId="3" borderId="0" xfId="1" applyNumberFormat="1" applyFont="1" applyFill="1" applyAlignment="1" applyProtection="1">
      <alignment vertical="center" shrinkToFit="1"/>
      <protection hidden="1"/>
    </xf>
    <xf numFmtId="41" fontId="18" fillId="0" borderId="29" xfId="2" applyNumberFormat="1" applyFont="1" applyBorder="1" applyAlignment="1" applyProtection="1">
      <alignment horizontal="center" vertical="center" shrinkToFit="1"/>
      <protection locked="0"/>
    </xf>
    <xf numFmtId="41" fontId="18" fillId="7" borderId="37" xfId="1" applyFont="1" applyFill="1" applyBorder="1" applyAlignment="1" applyProtection="1">
      <alignment horizontal="left" vertical="center" shrinkToFit="1"/>
      <protection locked="0"/>
    </xf>
    <xf numFmtId="41" fontId="18" fillId="7" borderId="110" xfId="1" applyFont="1" applyFill="1" applyBorder="1" applyAlignment="1" applyProtection="1">
      <alignment horizontal="center" vertical="center" shrinkToFit="1"/>
      <protection locked="0"/>
    </xf>
    <xf numFmtId="10" fontId="18" fillId="7" borderId="37" xfId="2" applyNumberFormat="1" applyFont="1" applyFill="1" applyBorder="1" applyAlignment="1" applyProtection="1">
      <alignment horizontal="center" vertical="center" shrinkToFit="1"/>
      <protection locked="0"/>
    </xf>
    <xf numFmtId="10" fontId="18" fillId="7" borderId="110" xfId="2" applyNumberFormat="1" applyFont="1" applyFill="1" applyBorder="1" applyAlignment="1" applyProtection="1">
      <alignment horizontal="center" vertical="center" shrinkToFit="1"/>
      <protection locked="0"/>
    </xf>
    <xf numFmtId="41" fontId="18" fillId="7" borderId="29" xfId="1" applyFont="1" applyFill="1" applyBorder="1" applyAlignment="1" applyProtection="1">
      <alignment horizontal="left" vertical="center" shrinkToFit="1"/>
      <protection locked="0"/>
    </xf>
    <xf numFmtId="0" fontId="18" fillId="7" borderId="15" xfId="0" applyFont="1" applyFill="1" applyBorder="1" applyAlignment="1" applyProtection="1">
      <alignment horizontal="center" vertical="center" shrinkToFit="1"/>
      <protection locked="0"/>
    </xf>
    <xf numFmtId="0" fontId="18" fillId="7" borderId="17" xfId="0" applyFont="1" applyFill="1" applyBorder="1" applyAlignment="1" applyProtection="1">
      <alignment horizontal="center" vertical="center" shrinkToFit="1"/>
      <protection locked="0"/>
    </xf>
    <xf numFmtId="0" fontId="18" fillId="7" borderId="98" xfId="0" applyFont="1" applyFill="1" applyBorder="1" applyAlignment="1" applyProtection="1">
      <alignment horizontal="left" vertical="center" shrinkToFit="1"/>
      <protection locked="0"/>
    </xf>
    <xf numFmtId="41" fontId="18" fillId="7" borderId="28" xfId="2" applyNumberFormat="1" applyFont="1" applyFill="1" applyBorder="1" applyAlignment="1" applyProtection="1">
      <alignment horizontal="center" vertical="center" shrinkToFit="1"/>
      <protection locked="0"/>
    </xf>
    <xf numFmtId="0" fontId="18" fillId="7" borderId="107" xfId="0" applyFont="1" applyFill="1" applyBorder="1" applyAlignment="1" applyProtection="1">
      <alignment horizontal="left" vertical="center" shrinkToFit="1"/>
      <protection locked="0"/>
    </xf>
    <xf numFmtId="10" fontId="18" fillId="7" borderId="107" xfId="2" applyNumberFormat="1" applyFont="1" applyFill="1" applyBorder="1" applyAlignment="1" applyProtection="1">
      <alignment horizontal="left" vertical="center" shrinkToFit="1"/>
      <protection locked="0"/>
    </xf>
    <xf numFmtId="185" fontId="18" fillId="0" borderId="103" xfId="2" applyNumberFormat="1" applyFont="1" applyBorder="1" applyAlignment="1" applyProtection="1">
      <alignment horizontal="center" vertical="center" shrinkToFit="1"/>
      <protection locked="0"/>
    </xf>
    <xf numFmtId="185" fontId="24" fillId="0" borderId="29" xfId="2" applyNumberFormat="1" applyFont="1" applyBorder="1" applyAlignment="1" applyProtection="1">
      <alignment horizontal="center" vertical="center" shrinkToFit="1"/>
      <protection locked="0"/>
    </xf>
    <xf numFmtId="0" fontId="29" fillId="0" borderId="0" xfId="0" applyFont="1" applyBorder="1" applyAlignment="1" applyProtection="1">
      <alignment shrinkToFit="1"/>
      <protection hidden="1"/>
    </xf>
    <xf numFmtId="0" fontId="18" fillId="0" borderId="0" xfId="0" applyFont="1" applyBorder="1" applyAlignment="1" applyProtection="1">
      <alignment horizontal="center" vertical="top" shrinkToFit="1"/>
      <protection hidden="1"/>
    </xf>
    <xf numFmtId="6" fontId="18" fillId="7" borderId="103" xfId="1" applyNumberFormat="1" applyFont="1" applyFill="1" applyBorder="1" applyAlignment="1" applyProtection="1">
      <alignment horizontal="center" vertical="center" shrinkToFit="1"/>
      <protection locked="0"/>
    </xf>
    <xf numFmtId="41" fontId="24" fillId="7" borderId="98" xfId="1" applyFont="1" applyFill="1" applyBorder="1" applyAlignment="1" applyProtection="1">
      <alignment horizontal="left" vertical="center" shrinkToFit="1"/>
      <protection locked="0"/>
    </xf>
    <xf numFmtId="10" fontId="18" fillId="7" borderId="107" xfId="1" applyNumberFormat="1" applyFont="1" applyFill="1" applyBorder="1" applyAlignment="1" applyProtection="1">
      <alignment horizontal="left" vertical="center" shrinkToFit="1"/>
      <protection locked="0"/>
    </xf>
    <xf numFmtId="9" fontId="18" fillId="0" borderId="98" xfId="1" applyNumberFormat="1" applyFont="1" applyBorder="1" applyAlignment="1" applyProtection="1">
      <alignment horizontal="center" vertical="center" shrinkToFit="1"/>
      <protection locked="0"/>
    </xf>
    <xf numFmtId="9" fontId="18" fillId="0" borderId="107" xfId="1" applyNumberFormat="1" applyFont="1" applyBorder="1" applyAlignment="1" applyProtection="1">
      <alignment horizontal="center" vertical="center" shrinkToFit="1"/>
      <protection locked="0"/>
    </xf>
    <xf numFmtId="0" fontId="18" fillId="7" borderId="37" xfId="0" applyFont="1" applyFill="1" applyBorder="1" applyAlignment="1" applyProtection="1">
      <alignment horizontal="left" vertical="center" shrinkToFit="1"/>
      <protection locked="0"/>
    </xf>
    <xf numFmtId="41" fontId="40" fillId="0" borderId="0" xfId="1" applyFont="1" applyAlignment="1" applyProtection="1">
      <alignment horizontal="center" vertical="center" shrinkToFit="1"/>
      <protection locked="0"/>
    </xf>
    <xf numFmtId="41" fontId="41" fillId="0" borderId="0" xfId="1" applyFont="1" applyAlignment="1" applyProtection="1">
      <alignment horizontal="center" vertical="center" shrinkToFit="1"/>
      <protection locked="0"/>
    </xf>
    <xf numFmtId="41" fontId="40" fillId="0" borderId="98" xfId="1" applyFont="1" applyBorder="1" applyAlignment="1" applyProtection="1">
      <alignment horizontal="center" vertical="center" shrinkToFit="1"/>
      <protection locked="0"/>
    </xf>
    <xf numFmtId="41" fontId="40" fillId="0" borderId="109" xfId="1" applyFont="1" applyBorder="1" applyAlignment="1" applyProtection="1">
      <alignment horizontal="center" vertical="center" shrinkToFit="1"/>
      <protection locked="0"/>
    </xf>
    <xf numFmtId="41" fontId="40" fillId="0" borderId="28" xfId="1" applyFont="1" applyBorder="1" applyAlignment="1" applyProtection="1">
      <alignment horizontal="center" vertical="center" shrinkToFit="1"/>
      <protection locked="0"/>
    </xf>
    <xf numFmtId="41" fontId="40" fillId="0" borderId="107" xfId="1" applyFont="1" applyBorder="1" applyAlignment="1" applyProtection="1">
      <alignment horizontal="center" vertical="center" shrinkToFit="1"/>
      <protection locked="0"/>
    </xf>
    <xf numFmtId="41" fontId="40" fillId="0" borderId="0" xfId="1" applyFont="1" applyBorder="1" applyAlignment="1" applyProtection="1">
      <alignment horizontal="center" vertical="center" shrinkToFit="1"/>
      <protection locked="0"/>
    </xf>
    <xf numFmtId="41" fontId="40" fillId="0" borderId="103" xfId="1" applyFont="1" applyBorder="1" applyAlignment="1" applyProtection="1">
      <alignment horizontal="center" vertical="center" shrinkToFit="1"/>
      <protection locked="0"/>
    </xf>
    <xf numFmtId="177" fontId="40" fillId="0" borderId="0" xfId="2" applyNumberFormat="1" applyFont="1" applyBorder="1" applyAlignment="1" applyProtection="1">
      <alignment horizontal="center" vertical="center" shrinkToFit="1"/>
      <protection locked="0"/>
    </xf>
    <xf numFmtId="41" fontId="40" fillId="0" borderId="37" xfId="1" applyFont="1" applyBorder="1" applyAlignment="1" applyProtection="1">
      <alignment horizontal="center" vertical="center" shrinkToFit="1"/>
      <protection locked="0"/>
    </xf>
    <xf numFmtId="41" fontId="40" fillId="0" borderId="29" xfId="1" applyFont="1" applyBorder="1" applyAlignment="1" applyProtection="1">
      <alignment horizontal="center" vertical="center" shrinkToFit="1"/>
      <protection locked="0"/>
    </xf>
    <xf numFmtId="0" fontId="40" fillId="0" borderId="0" xfId="0" applyFont="1" applyAlignment="1" applyProtection="1">
      <alignment vertical="center" shrinkToFit="1"/>
      <protection locked="0"/>
    </xf>
    <xf numFmtId="41" fontId="40" fillId="0" borderId="0" xfId="1" applyFont="1" applyAlignment="1" applyProtection="1">
      <alignment vertical="center" shrinkToFit="1"/>
      <protection locked="0"/>
    </xf>
    <xf numFmtId="41" fontId="40" fillId="0" borderId="0" xfId="1" applyFont="1" applyAlignment="1" applyProtection="1">
      <alignment horizontal="center" vertical="center" shrinkToFit="1"/>
    </xf>
    <xf numFmtId="177" fontId="24" fillId="8" borderId="17" xfId="2" applyNumberFormat="1" applyFont="1" applyFill="1" applyBorder="1" applyAlignment="1" applyProtection="1">
      <alignment horizontal="center" vertical="center" shrinkToFit="1"/>
      <protection locked="0"/>
    </xf>
    <xf numFmtId="185" fontId="40" fillId="0" borderId="109" xfId="2" applyNumberFormat="1" applyFont="1" applyFill="1" applyBorder="1" applyAlignment="1" applyProtection="1">
      <alignment horizontal="center" vertical="center" shrinkToFit="1"/>
      <protection locked="0"/>
    </xf>
    <xf numFmtId="41" fontId="40" fillId="0" borderId="110" xfId="1" applyFont="1" applyBorder="1" applyAlignment="1" applyProtection="1">
      <alignment horizontal="center" vertical="center" shrinkToFit="1"/>
      <protection locked="0"/>
    </xf>
    <xf numFmtId="0" fontId="9" fillId="0" borderId="37" xfId="0" applyFont="1" applyBorder="1" applyAlignment="1" applyProtection="1">
      <alignment horizontal="center" vertical="center" shrinkToFit="1"/>
      <protection locked="0"/>
    </xf>
    <xf numFmtId="0" fontId="9" fillId="0" borderId="29" xfId="0" applyFont="1" applyBorder="1" applyAlignment="1" applyProtection="1">
      <alignment vertical="center" shrinkToFit="1"/>
      <protection locked="0"/>
    </xf>
    <xf numFmtId="0" fontId="9" fillId="0" borderId="15" xfId="0" applyFont="1" applyBorder="1" applyAlignment="1" applyProtection="1">
      <alignment horizontal="center" vertical="center" shrinkToFit="1"/>
      <protection locked="0"/>
    </xf>
    <xf numFmtId="0" fontId="9" fillId="0" borderId="17" xfId="0" applyFont="1" applyBorder="1" applyAlignment="1" applyProtection="1">
      <alignment vertical="center" shrinkToFit="1"/>
      <protection locked="0"/>
    </xf>
    <xf numFmtId="0" fontId="24" fillId="9" borderId="1" xfId="0" applyFont="1" applyFill="1" applyBorder="1" applyAlignment="1" applyProtection="1">
      <alignment horizontal="center" vertical="center" shrinkToFit="1"/>
      <protection locked="0"/>
    </xf>
    <xf numFmtId="187" fontId="24" fillId="9" borderId="1" xfId="0" applyNumberFormat="1" applyFont="1" applyFill="1" applyBorder="1" applyAlignment="1" applyProtection="1">
      <alignment horizontal="center" vertical="center" shrinkToFit="1"/>
      <protection locked="0"/>
    </xf>
    <xf numFmtId="185" fontId="18" fillId="9" borderId="1" xfId="0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left" vertical="center" shrinkToFit="1"/>
      <protection locked="0"/>
    </xf>
    <xf numFmtId="41" fontId="3" fillId="0" borderId="0" xfId="1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Alignment="1" applyProtection="1">
      <alignment horizontal="center" vertical="center" shrinkToFit="1"/>
      <protection locked="0"/>
    </xf>
    <xf numFmtId="177" fontId="7" fillId="0" borderId="0" xfId="1" applyNumberFormat="1" applyFont="1" applyFill="1" applyBorder="1" applyAlignment="1" applyProtection="1">
      <alignment horizontal="center" vertical="center"/>
      <protection locked="0"/>
    </xf>
    <xf numFmtId="10" fontId="18" fillId="10" borderId="103" xfId="2" applyNumberFormat="1" applyFont="1" applyFill="1" applyBorder="1" applyAlignment="1" applyProtection="1">
      <alignment horizontal="center" vertical="center" shrinkToFit="1"/>
      <protection locked="0"/>
    </xf>
    <xf numFmtId="0" fontId="46" fillId="0" borderId="0" xfId="0" applyFont="1" applyFill="1" applyAlignment="1" applyProtection="1">
      <alignment horizontal="left" vertical="center" shrinkToFit="1"/>
      <protection locked="0"/>
    </xf>
    <xf numFmtId="0" fontId="3" fillId="0" borderId="0" xfId="0" applyFont="1" applyFill="1" applyAlignment="1" applyProtection="1">
      <alignment horizontal="center" vertical="center" wrapText="1" shrinkToFit="1"/>
      <protection locked="0"/>
    </xf>
    <xf numFmtId="49" fontId="37" fillId="4" borderId="78" xfId="1" applyNumberFormat="1" applyFont="1" applyFill="1" applyBorder="1" applyAlignment="1" applyProtection="1">
      <alignment vertical="center" shrinkToFit="1"/>
      <protection hidden="1"/>
    </xf>
    <xf numFmtId="0" fontId="18" fillId="0" borderId="15" xfId="0" applyFont="1" applyBorder="1" applyAlignment="1" applyProtection="1">
      <alignment horizontal="center" vertical="center" shrinkToFit="1"/>
      <protection locked="0"/>
    </xf>
    <xf numFmtId="0" fontId="18" fillId="0" borderId="17" xfId="0" applyFont="1" applyBorder="1" applyAlignment="1" applyProtection="1">
      <alignment horizontal="center" vertical="center" shrinkToFit="1"/>
      <protection locked="0"/>
    </xf>
    <xf numFmtId="0" fontId="24" fillId="11" borderId="15" xfId="0" applyFont="1" applyFill="1" applyBorder="1" applyAlignment="1" applyProtection="1">
      <alignment horizontal="left" vertical="center" shrinkToFit="1"/>
      <protection locked="0"/>
    </xf>
    <xf numFmtId="0" fontId="29" fillId="0" borderId="0" xfId="0" applyFont="1" applyBorder="1" applyAlignment="1" applyProtection="1">
      <alignment horizontal="left" vertical="center"/>
      <protection hidden="1"/>
    </xf>
    <xf numFmtId="0" fontId="49" fillId="0" borderId="0" xfId="0" applyFont="1" applyBorder="1" applyAlignment="1" applyProtection="1">
      <alignment horizontal="left" vertical="center"/>
      <protection hidden="1"/>
    </xf>
    <xf numFmtId="0" fontId="49" fillId="0" borderId="0" xfId="0" applyFont="1" applyBorder="1" applyAlignment="1" applyProtection="1">
      <alignment horizontal="center" vertical="center" shrinkToFit="1"/>
      <protection hidden="1"/>
    </xf>
    <xf numFmtId="49" fontId="37" fillId="4" borderId="78" xfId="1" applyNumberFormat="1" applyFont="1" applyFill="1" applyBorder="1" applyAlignment="1" applyProtection="1">
      <alignment vertical="center" shrinkToFit="1"/>
      <protection locked="0" hidden="1"/>
    </xf>
    <xf numFmtId="10" fontId="3" fillId="0" borderId="0" xfId="1" applyNumberFormat="1" applyFont="1" applyFill="1" applyAlignment="1" applyProtection="1">
      <alignment horizontal="center" vertical="center"/>
      <protection locked="0"/>
    </xf>
    <xf numFmtId="0" fontId="51" fillId="0" borderId="0" xfId="0" applyFont="1" applyAlignment="1" applyProtection="1">
      <alignment vertical="center"/>
      <protection hidden="1"/>
    </xf>
    <xf numFmtId="0" fontId="29" fillId="0" borderId="0" xfId="0" applyFont="1" applyBorder="1" applyAlignment="1" applyProtection="1">
      <alignment horizontal="left" shrinkToFit="1"/>
      <protection hidden="1"/>
    </xf>
    <xf numFmtId="0" fontId="26" fillId="0" borderId="0" xfId="0" applyFont="1" applyAlignment="1" applyProtection="1">
      <alignment vertical="center" shrinkToFit="1"/>
      <protection hidden="1"/>
    </xf>
    <xf numFmtId="0" fontId="54" fillId="0" borderId="0" xfId="0" applyFont="1" applyBorder="1" applyAlignment="1" applyProtection="1">
      <alignment vertical="center" shrinkToFit="1"/>
      <protection hidden="1"/>
    </xf>
    <xf numFmtId="0" fontId="48" fillId="0" borderId="0" xfId="0" applyFont="1" applyBorder="1" applyAlignment="1" applyProtection="1">
      <alignment vertical="center" shrinkToFit="1"/>
      <protection hidden="1"/>
    </xf>
    <xf numFmtId="0" fontId="26" fillId="0" borderId="0" xfId="0" applyFont="1" applyBorder="1" applyAlignment="1" applyProtection="1">
      <alignment vertical="center"/>
      <protection hidden="1"/>
    </xf>
    <xf numFmtId="0" fontId="55" fillId="0" borderId="0" xfId="0" applyFont="1" applyBorder="1" applyAlignment="1" applyProtection="1">
      <alignment vertical="center" shrinkToFit="1"/>
      <protection hidden="1"/>
    </xf>
    <xf numFmtId="188" fontId="56" fillId="13" borderId="0" xfId="0" applyNumberFormat="1" applyFont="1" applyFill="1" applyBorder="1" applyAlignment="1" applyProtection="1">
      <alignment vertical="center"/>
      <protection hidden="1"/>
    </xf>
    <xf numFmtId="188" fontId="57" fillId="13" borderId="0" xfId="0" applyNumberFormat="1" applyFont="1" applyFill="1" applyBorder="1" applyAlignment="1" applyProtection="1">
      <alignment vertical="center"/>
      <protection hidden="1"/>
    </xf>
    <xf numFmtId="188" fontId="58" fillId="13" borderId="0" xfId="0" applyNumberFormat="1" applyFont="1" applyFill="1" applyBorder="1" applyAlignment="1" applyProtection="1">
      <alignment vertical="center"/>
      <protection hidden="1"/>
    </xf>
    <xf numFmtId="0" fontId="23" fillId="0" borderId="0" xfId="0" applyFont="1" applyBorder="1" applyAlignment="1" applyProtection="1">
      <alignment vertical="center" shrinkToFit="1"/>
      <protection hidden="1"/>
    </xf>
    <xf numFmtId="0" fontId="48" fillId="13" borderId="0" xfId="0" applyFont="1" applyFill="1" applyBorder="1" applyProtection="1">
      <alignment vertical="center"/>
      <protection hidden="1"/>
    </xf>
    <xf numFmtId="0" fontId="48" fillId="13" borderId="0" xfId="0" applyFont="1" applyFill="1" applyBorder="1" applyAlignment="1" applyProtection="1">
      <alignment horizontal="center" vertical="center"/>
      <protection hidden="1"/>
    </xf>
    <xf numFmtId="189" fontId="48" fillId="13" borderId="0" xfId="0" applyNumberFormat="1" applyFont="1" applyFill="1" applyBorder="1" applyAlignment="1" applyProtection="1">
      <alignment vertical="center"/>
      <protection hidden="1"/>
    </xf>
    <xf numFmtId="0" fontId="48" fillId="13" borderId="109" xfId="0" applyFont="1" applyFill="1" applyBorder="1" applyProtection="1">
      <alignment vertical="center"/>
      <protection hidden="1"/>
    </xf>
    <xf numFmtId="0" fontId="48" fillId="13" borderId="109" xfId="0" applyFont="1" applyFill="1" applyBorder="1" applyAlignment="1" applyProtection="1">
      <alignment horizontal="center" vertical="center"/>
      <protection hidden="1"/>
    </xf>
    <xf numFmtId="0" fontId="23" fillId="0" borderId="109" xfId="0" applyFont="1" applyBorder="1" applyAlignment="1" applyProtection="1">
      <alignment vertical="center" shrinkToFit="1"/>
      <protection hidden="1"/>
    </xf>
    <xf numFmtId="0" fontId="48" fillId="13" borderId="162" xfId="0" applyFont="1" applyFill="1" applyBorder="1" applyProtection="1">
      <alignment vertical="center"/>
      <protection hidden="1"/>
    </xf>
    <xf numFmtId="0" fontId="48" fillId="13" borderId="162" xfId="0" applyFont="1" applyFill="1" applyBorder="1" applyAlignment="1" applyProtection="1">
      <alignment horizontal="center" vertical="center"/>
      <protection hidden="1"/>
    </xf>
    <xf numFmtId="0" fontId="23" fillId="0" borderId="162" xfId="0" applyFont="1" applyBorder="1" applyAlignment="1" applyProtection="1">
      <alignment vertical="center" shrinkToFit="1"/>
      <protection hidden="1"/>
    </xf>
    <xf numFmtId="190" fontId="23" fillId="0" borderId="0" xfId="0" applyNumberFormat="1" applyFont="1" applyBorder="1" applyAlignment="1" applyProtection="1">
      <alignment horizontal="left" vertical="center"/>
      <protection hidden="1"/>
    </xf>
    <xf numFmtId="49" fontId="59" fillId="3" borderId="0" xfId="3" applyNumberFormat="1" applyFont="1" applyFill="1" applyBorder="1" applyAlignment="1" applyProtection="1">
      <protection hidden="1"/>
    </xf>
    <xf numFmtId="41" fontId="52" fillId="14" borderId="131" xfId="1" applyFont="1" applyFill="1" applyBorder="1" applyAlignment="1" applyProtection="1">
      <alignment horizontal="left" vertical="center" shrinkToFit="1"/>
      <protection hidden="1"/>
    </xf>
    <xf numFmtId="41" fontId="18" fillId="14" borderId="130" xfId="1" applyFont="1" applyFill="1" applyBorder="1" applyAlignment="1" applyProtection="1">
      <alignment horizontal="left" vertical="center" shrinkToFit="1"/>
      <protection hidden="1"/>
    </xf>
    <xf numFmtId="41" fontId="18" fillId="14" borderId="133" xfId="1" applyFont="1" applyFill="1" applyBorder="1" applyAlignment="1" applyProtection="1">
      <alignment horizontal="left" vertical="center" shrinkToFit="1"/>
      <protection hidden="1"/>
    </xf>
    <xf numFmtId="41" fontId="18" fillId="14" borderId="131" xfId="1" applyFont="1" applyFill="1" applyBorder="1" applyAlignment="1" applyProtection="1">
      <alignment horizontal="left" vertical="center" shrinkToFit="1"/>
      <protection hidden="1"/>
    </xf>
    <xf numFmtId="41" fontId="18" fillId="14" borderId="135" xfId="1" applyFont="1" applyFill="1" applyBorder="1" applyAlignment="1" applyProtection="1">
      <alignment horizontal="left" vertical="center" shrinkToFit="1"/>
      <protection hidden="1"/>
    </xf>
    <xf numFmtId="0" fontId="23" fillId="0" borderId="143" xfId="1" applyNumberFormat="1" applyFont="1" applyBorder="1" applyAlignment="1" applyProtection="1">
      <alignment vertical="center" shrinkToFit="1"/>
      <protection hidden="1"/>
    </xf>
    <xf numFmtId="0" fontId="22" fillId="0" borderId="143" xfId="0" applyFont="1" applyBorder="1" applyAlignment="1" applyProtection="1">
      <alignment vertical="center" shrinkToFit="1"/>
      <protection hidden="1"/>
    </xf>
    <xf numFmtId="0" fontId="48" fillId="13" borderId="0" xfId="0" applyFont="1" applyFill="1" applyBorder="1" applyAlignment="1" applyProtection="1">
      <alignment vertical="center"/>
      <protection hidden="1"/>
    </xf>
    <xf numFmtId="0" fontId="48" fillId="13" borderId="162" xfId="0" applyFont="1" applyFill="1" applyBorder="1" applyAlignment="1" applyProtection="1">
      <alignment horizontal="center" vertical="center"/>
      <protection hidden="1"/>
    </xf>
    <xf numFmtId="0" fontId="18" fillId="6" borderId="0" xfId="0" applyFont="1" applyFill="1" applyAlignment="1" applyProtection="1">
      <alignment horizontal="center" vertical="center" shrinkToFit="1"/>
      <protection hidden="1"/>
    </xf>
    <xf numFmtId="41" fontId="18" fillId="14" borderId="135" xfId="1" applyFont="1" applyFill="1" applyBorder="1" applyAlignment="1" applyProtection="1">
      <alignment horizontal="left" vertical="center" shrinkToFit="1"/>
      <protection hidden="1"/>
    </xf>
    <xf numFmtId="41" fontId="18" fillId="14" borderId="133" xfId="1" applyFont="1" applyFill="1" applyBorder="1" applyAlignment="1" applyProtection="1">
      <alignment horizontal="left" vertical="center" shrinkToFit="1"/>
      <protection hidden="1"/>
    </xf>
    <xf numFmtId="0" fontId="29" fillId="0" borderId="0" xfId="0" applyFont="1" applyBorder="1" applyAlignment="1" applyProtection="1">
      <alignment horizontal="left" shrinkToFit="1"/>
      <protection hidden="1"/>
    </xf>
    <xf numFmtId="41" fontId="52" fillId="14" borderId="130" xfId="1" applyFont="1" applyFill="1" applyBorder="1" applyAlignment="1" applyProtection="1">
      <alignment horizontal="left" vertical="center" shrinkToFit="1"/>
      <protection hidden="1"/>
    </xf>
    <xf numFmtId="41" fontId="5" fillId="2" borderId="17" xfId="1" applyFont="1" applyFill="1" applyBorder="1" applyAlignment="1" applyProtection="1">
      <alignment horizontal="center" vertical="center" shrinkToFit="1"/>
      <protection hidden="1"/>
    </xf>
    <xf numFmtId="41" fontId="5" fillId="0" borderId="24" xfId="1" applyFont="1" applyBorder="1" applyAlignment="1" applyProtection="1">
      <alignment horizontal="center" vertical="center" shrinkToFit="1"/>
      <protection locked="0"/>
    </xf>
    <xf numFmtId="41" fontId="5" fillId="0" borderId="25" xfId="1" applyFont="1" applyBorder="1" applyAlignment="1" applyProtection="1">
      <alignment horizontal="center" vertical="center" shrinkToFit="1"/>
      <protection locked="0"/>
    </xf>
    <xf numFmtId="41" fontId="5" fillId="0" borderId="30" xfId="1" applyFont="1" applyBorder="1" applyAlignment="1" applyProtection="1">
      <alignment horizontal="center" vertical="center" shrinkToFit="1"/>
      <protection locked="0"/>
    </xf>
    <xf numFmtId="41" fontId="5" fillId="2" borderId="1" xfId="1" applyFont="1" applyFill="1" applyBorder="1" applyAlignment="1" applyProtection="1">
      <alignment horizontal="center" vertical="center" shrinkToFit="1"/>
      <protection hidden="1"/>
    </xf>
    <xf numFmtId="41" fontId="5" fillId="0" borderId="1" xfId="1" applyFont="1" applyBorder="1" applyAlignment="1" applyProtection="1">
      <alignment horizontal="center" vertical="center" shrinkToFit="1"/>
      <protection hidden="1"/>
    </xf>
    <xf numFmtId="41" fontId="5" fillId="5" borderId="1" xfId="1" applyFont="1" applyFill="1" applyBorder="1" applyAlignment="1" applyProtection="1">
      <alignment horizontal="center" vertical="center" shrinkToFit="1"/>
      <protection locked="0"/>
    </xf>
    <xf numFmtId="10" fontId="5" fillId="0" borderId="1" xfId="2" applyNumberFormat="1" applyFont="1" applyBorder="1" applyAlignment="1" applyProtection="1">
      <alignment horizontal="center" vertical="center" shrinkToFit="1"/>
      <protection locked="0"/>
    </xf>
    <xf numFmtId="0" fontId="18" fillId="0" borderId="1" xfId="0" applyFont="1" applyBorder="1" applyAlignment="1" applyProtection="1">
      <alignment horizontal="left" vertical="center" shrinkToFit="1"/>
      <protection locked="0"/>
    </xf>
    <xf numFmtId="0" fontId="23" fillId="0" borderId="187" xfId="0" applyFont="1" applyBorder="1" applyAlignment="1" applyProtection="1">
      <alignment vertical="center" shrinkToFit="1"/>
      <protection hidden="1"/>
    </xf>
    <xf numFmtId="0" fontId="23" fillId="0" borderId="188" xfId="0" applyFont="1" applyBorder="1" applyAlignment="1" applyProtection="1">
      <alignment vertical="center" shrinkToFit="1"/>
      <protection hidden="1"/>
    </xf>
    <xf numFmtId="0" fontId="29" fillId="0" borderId="188" xfId="0" applyFont="1" applyBorder="1" applyAlignment="1" applyProtection="1">
      <alignment vertical="center" shrinkToFit="1"/>
      <protection hidden="1"/>
    </xf>
    <xf numFmtId="9" fontId="48" fillId="13" borderId="143" xfId="2" applyFont="1" applyFill="1" applyBorder="1" applyAlignment="1" applyProtection="1">
      <alignment vertical="center"/>
      <protection hidden="1"/>
    </xf>
    <xf numFmtId="0" fontId="52" fillId="3" borderId="0" xfId="0" applyFont="1" applyFill="1" applyBorder="1" applyAlignment="1" applyProtection="1">
      <alignment vertical="center" shrinkToFit="1"/>
      <protection hidden="1"/>
    </xf>
    <xf numFmtId="0" fontId="52" fillId="0" borderId="0" xfId="0" applyFont="1" applyAlignment="1" applyProtection="1">
      <alignment vertical="center" shrinkToFit="1"/>
      <protection hidden="1"/>
    </xf>
    <xf numFmtId="0" fontId="43" fillId="0" borderId="0" xfId="0" applyFont="1" applyBorder="1" applyAlignment="1" applyProtection="1">
      <alignment vertical="center" shrinkToFit="1"/>
      <protection hidden="1"/>
    </xf>
    <xf numFmtId="0" fontId="26" fillId="0" borderId="0" xfId="0" applyFont="1" applyBorder="1" applyAlignment="1" applyProtection="1">
      <alignment vertical="center" shrinkToFit="1"/>
      <protection hidden="1"/>
    </xf>
    <xf numFmtId="0" fontId="35" fillId="0" borderId="0" xfId="0" applyFont="1" applyBorder="1" applyAlignment="1" applyProtection="1">
      <alignment vertical="center" shrinkToFit="1"/>
      <protection hidden="1"/>
    </xf>
    <xf numFmtId="0" fontId="29" fillId="0" borderId="115" xfId="0" applyFont="1" applyBorder="1" applyAlignment="1" applyProtection="1">
      <alignment shrinkToFit="1"/>
      <protection hidden="1"/>
    </xf>
    <xf numFmtId="0" fontId="49" fillId="0" borderId="0" xfId="0" applyFont="1" applyBorder="1" applyAlignment="1" applyProtection="1">
      <alignment vertical="center"/>
      <protection hidden="1"/>
    </xf>
    <xf numFmtId="0" fontId="31" fillId="0" borderId="0" xfId="0" applyFont="1" applyBorder="1" applyAlignment="1" applyProtection="1">
      <alignment vertical="center"/>
      <protection hidden="1"/>
    </xf>
    <xf numFmtId="0" fontId="62" fillId="0" borderId="0" xfId="0" applyFont="1" applyBorder="1" applyAlignment="1" applyProtection="1">
      <alignment vertical="center"/>
      <protection hidden="1"/>
    </xf>
    <xf numFmtId="0" fontId="18" fillId="0" borderId="0" xfId="0" applyFont="1" applyBorder="1" applyAlignment="1" applyProtection="1">
      <alignment vertical="center"/>
      <protection hidden="1"/>
    </xf>
    <xf numFmtId="41" fontId="3" fillId="0" borderId="0" xfId="1" applyFont="1" applyFill="1" applyAlignment="1" applyProtection="1">
      <alignment horizontal="center" vertical="center"/>
      <protection locked="0"/>
    </xf>
    <xf numFmtId="41" fontId="6" fillId="0" borderId="0" xfId="1" applyFont="1" applyFill="1" applyAlignment="1" applyProtection="1">
      <alignment horizontal="center" vertical="center"/>
      <protection locked="0"/>
    </xf>
    <xf numFmtId="41" fontId="3" fillId="0" borderId="0" xfId="1" applyFont="1" applyFill="1" applyBorder="1" applyAlignment="1" applyProtection="1">
      <alignment horizontal="center" vertical="center"/>
      <protection locked="0"/>
    </xf>
    <xf numFmtId="41" fontId="5" fillId="0" borderId="1" xfId="1" applyFont="1" applyFill="1" applyBorder="1" applyAlignment="1" applyProtection="1">
      <alignment horizontal="center" vertical="center"/>
      <protection locked="0"/>
    </xf>
    <xf numFmtId="41" fontId="15" fillId="0" borderId="0" xfId="1" applyFont="1" applyFill="1" applyBorder="1" applyAlignment="1" applyProtection="1">
      <alignment vertical="center"/>
      <protection locked="0"/>
    </xf>
    <xf numFmtId="41" fontId="4" fillId="0" borderId="0" xfId="1" applyFont="1" applyFill="1" applyBorder="1" applyAlignment="1" applyProtection="1">
      <alignment horizontal="center" vertical="center"/>
      <protection locked="0"/>
    </xf>
    <xf numFmtId="0" fontId="3" fillId="0" borderId="22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6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6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36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3" xfId="1" applyNumberFormat="1" applyFont="1" applyFill="1" applyBorder="1" applyAlignment="1" applyProtection="1">
      <alignment horizontal="center" vertical="center" wrapText="1"/>
      <protection locked="0"/>
    </xf>
    <xf numFmtId="41" fontId="7" fillId="0" borderId="3" xfId="1" applyFont="1" applyFill="1" applyBorder="1" applyAlignment="1" applyProtection="1">
      <alignment horizontal="center" vertical="center"/>
      <protection locked="0"/>
    </xf>
    <xf numFmtId="41" fontId="3" fillId="0" borderId="52" xfId="1" applyFont="1" applyFill="1" applyBorder="1" applyProtection="1">
      <alignment vertical="center"/>
      <protection locked="0"/>
    </xf>
    <xf numFmtId="10" fontId="3" fillId="0" borderId="31" xfId="2" applyNumberFormat="1" applyFont="1" applyFill="1" applyBorder="1" applyAlignment="1" applyProtection="1">
      <alignment horizontal="center" vertical="center"/>
      <protection locked="0"/>
    </xf>
    <xf numFmtId="10" fontId="3" fillId="0" borderId="53" xfId="2" applyNumberFormat="1" applyFont="1" applyFill="1" applyBorder="1" applyAlignment="1" applyProtection="1">
      <alignment horizontal="center" vertical="center"/>
      <protection locked="0"/>
    </xf>
    <xf numFmtId="0" fontId="3" fillId="0" borderId="53" xfId="2" applyNumberFormat="1" applyFont="1" applyFill="1" applyBorder="1" applyAlignment="1" applyProtection="1">
      <alignment horizontal="center" vertical="center"/>
      <protection locked="0"/>
    </xf>
    <xf numFmtId="10" fontId="7" fillId="0" borderId="7" xfId="2" applyNumberFormat="1" applyFont="1" applyFill="1" applyBorder="1" applyAlignment="1" applyProtection="1">
      <alignment horizontal="center" vertical="center"/>
      <protection locked="0"/>
    </xf>
    <xf numFmtId="10" fontId="3" fillId="0" borderId="0" xfId="2" applyNumberFormat="1" applyFont="1" applyFill="1" applyBorder="1" applyAlignment="1" applyProtection="1">
      <alignment horizontal="center" vertical="center"/>
      <protection locked="0"/>
    </xf>
    <xf numFmtId="41" fontId="3" fillId="0" borderId="156" xfId="1" applyFont="1" applyFill="1" applyBorder="1" applyProtection="1">
      <alignment vertical="center"/>
      <protection locked="0"/>
    </xf>
    <xf numFmtId="10" fontId="3" fillId="0" borderId="32" xfId="2" applyNumberFormat="1" applyFont="1" applyFill="1" applyBorder="1" applyAlignment="1" applyProtection="1">
      <alignment horizontal="center" vertical="center"/>
      <protection locked="0"/>
    </xf>
    <xf numFmtId="10" fontId="3" fillId="0" borderId="8" xfId="2" applyNumberFormat="1" applyFont="1" applyFill="1" applyBorder="1" applyAlignment="1" applyProtection="1">
      <alignment horizontal="center" vertical="center"/>
      <protection locked="0"/>
    </xf>
    <xf numFmtId="10" fontId="3" fillId="0" borderId="55" xfId="2" applyNumberFormat="1" applyFont="1" applyFill="1" applyBorder="1" applyAlignment="1" applyProtection="1">
      <alignment horizontal="center" vertical="center"/>
      <protection locked="0"/>
    </xf>
    <xf numFmtId="41" fontId="3" fillId="0" borderId="54" xfId="1" applyFont="1" applyFill="1" applyBorder="1" applyProtection="1">
      <alignment vertical="center"/>
      <protection locked="0"/>
    </xf>
    <xf numFmtId="0" fontId="3" fillId="0" borderId="8" xfId="2" applyNumberFormat="1" applyFont="1" applyFill="1" applyBorder="1" applyAlignment="1" applyProtection="1">
      <alignment horizontal="center" vertical="center"/>
      <protection locked="0"/>
    </xf>
    <xf numFmtId="0" fontId="3" fillId="0" borderId="35" xfId="2" applyNumberFormat="1" applyFont="1" applyFill="1" applyBorder="1" applyAlignment="1" applyProtection="1">
      <alignment horizontal="center" vertical="center"/>
      <protection locked="0"/>
    </xf>
    <xf numFmtId="0" fontId="3" fillId="0" borderId="32" xfId="2" applyNumberFormat="1" applyFont="1" applyFill="1" applyBorder="1" applyAlignment="1" applyProtection="1">
      <alignment horizontal="center" vertical="center"/>
      <protection locked="0"/>
    </xf>
    <xf numFmtId="0" fontId="3" fillId="0" borderId="25" xfId="2" applyNumberFormat="1" applyFont="1" applyFill="1" applyBorder="1" applyAlignment="1" applyProtection="1">
      <alignment horizontal="center" vertical="center"/>
      <protection locked="0"/>
    </xf>
    <xf numFmtId="0" fontId="3" fillId="0" borderId="55" xfId="2" applyNumberFormat="1" applyFont="1" applyFill="1" applyBorder="1" applyAlignment="1" applyProtection="1">
      <alignment horizontal="center" vertical="center"/>
      <protection locked="0"/>
    </xf>
    <xf numFmtId="0" fontId="6" fillId="0" borderId="0" xfId="1" applyNumberFormat="1" applyFont="1" applyFill="1" applyAlignment="1" applyProtection="1">
      <alignment horizontal="left" vertical="center"/>
      <protection locked="0"/>
    </xf>
    <xf numFmtId="177" fontId="3" fillId="0" borderId="8" xfId="2" applyNumberFormat="1" applyFont="1" applyFill="1" applyBorder="1" applyAlignment="1" applyProtection="1">
      <alignment horizontal="center" vertical="center"/>
      <protection locked="0"/>
    </xf>
    <xf numFmtId="177" fontId="3" fillId="0" borderId="10" xfId="2" applyNumberFormat="1" applyFont="1" applyFill="1" applyBorder="1" applyAlignment="1" applyProtection="1">
      <alignment horizontal="center" vertical="center"/>
      <protection locked="0"/>
    </xf>
    <xf numFmtId="177" fontId="3" fillId="0" borderId="55" xfId="2" applyNumberFormat="1" applyFont="1" applyFill="1" applyBorder="1" applyAlignment="1" applyProtection="1">
      <alignment horizontal="center" vertical="center"/>
      <protection locked="0"/>
    </xf>
    <xf numFmtId="41" fontId="9" fillId="0" borderId="1" xfId="1" applyFont="1" applyFill="1" applyBorder="1" applyAlignment="1" applyProtection="1">
      <alignment horizontal="center" vertical="center"/>
      <protection locked="0"/>
    </xf>
    <xf numFmtId="41" fontId="3" fillId="0" borderId="56" xfId="1" applyFont="1" applyFill="1" applyBorder="1" applyProtection="1">
      <alignment vertical="center"/>
      <protection locked="0"/>
    </xf>
    <xf numFmtId="41" fontId="3" fillId="0" borderId="57" xfId="1" applyFont="1" applyFill="1" applyBorder="1" applyAlignment="1" applyProtection="1">
      <alignment horizontal="center" vertical="center"/>
      <protection locked="0"/>
    </xf>
    <xf numFmtId="41" fontId="3" fillId="0" borderId="58" xfId="1" applyFont="1" applyFill="1" applyBorder="1" applyAlignment="1" applyProtection="1">
      <alignment horizontal="center" vertical="center"/>
      <protection locked="0"/>
    </xf>
    <xf numFmtId="41" fontId="3" fillId="0" borderId="59" xfId="1" applyFont="1" applyFill="1" applyBorder="1" applyAlignment="1" applyProtection="1">
      <alignment horizontal="center" vertical="center"/>
      <protection locked="0"/>
    </xf>
    <xf numFmtId="41" fontId="3" fillId="0" borderId="60" xfId="1" applyFont="1" applyFill="1" applyBorder="1" applyAlignment="1" applyProtection="1">
      <alignment horizontal="center" vertical="center"/>
      <protection locked="0"/>
    </xf>
    <xf numFmtId="41" fontId="3" fillId="0" borderId="61" xfId="1" applyFont="1" applyFill="1" applyBorder="1" applyAlignment="1" applyProtection="1">
      <alignment horizontal="center" vertical="center"/>
      <protection locked="0"/>
    </xf>
    <xf numFmtId="41" fontId="6" fillId="0" borderId="0" xfId="1" applyFont="1" applyFill="1" applyBorder="1" applyProtection="1">
      <alignment vertical="center"/>
      <protection locked="0"/>
    </xf>
    <xf numFmtId="177" fontId="6" fillId="0" borderId="0" xfId="2" applyNumberFormat="1" applyFont="1" applyFill="1" applyBorder="1" applyAlignment="1" applyProtection="1">
      <alignment horizontal="center" vertical="center"/>
      <protection locked="0"/>
    </xf>
    <xf numFmtId="41" fontId="3" fillId="0" borderId="0" xfId="1" applyFont="1" applyFill="1" applyBorder="1" applyProtection="1">
      <alignment vertical="center"/>
      <protection locked="0"/>
    </xf>
    <xf numFmtId="41" fontId="6" fillId="0" borderId="0" xfId="1" applyFont="1" applyFill="1" applyBorder="1" applyAlignment="1" applyProtection="1">
      <alignment horizontal="center" vertical="center"/>
      <protection locked="0"/>
    </xf>
    <xf numFmtId="41" fontId="3" fillId="0" borderId="3" xfId="1" applyFont="1" applyFill="1" applyBorder="1" applyProtection="1">
      <alignment vertical="center"/>
      <protection locked="0"/>
    </xf>
    <xf numFmtId="0" fontId="3" fillId="0" borderId="24" xfId="2" applyNumberFormat="1" applyFont="1" applyFill="1" applyBorder="1" applyAlignment="1" applyProtection="1">
      <alignment horizontal="center" vertical="center"/>
      <protection locked="0"/>
    </xf>
    <xf numFmtId="10" fontId="7" fillId="0" borderId="11" xfId="2" applyNumberFormat="1" applyFont="1" applyFill="1" applyBorder="1" applyAlignment="1" applyProtection="1">
      <alignment horizontal="center" vertical="center"/>
      <protection locked="0"/>
    </xf>
    <xf numFmtId="41" fontId="3" fillId="0" borderId="7" xfId="1" applyFont="1" applyFill="1" applyBorder="1" applyProtection="1">
      <alignment vertical="center"/>
      <protection locked="0"/>
    </xf>
    <xf numFmtId="177" fontId="3" fillId="0" borderId="27" xfId="2" applyNumberFormat="1" applyFont="1" applyFill="1" applyBorder="1" applyAlignment="1" applyProtection="1">
      <alignment horizontal="center" vertical="center"/>
      <protection locked="0"/>
    </xf>
    <xf numFmtId="177" fontId="3" fillId="0" borderId="32" xfId="2" applyNumberFormat="1" applyFont="1" applyFill="1" applyBorder="1" applyAlignment="1" applyProtection="1">
      <alignment horizontal="center" vertical="center"/>
      <protection locked="0"/>
    </xf>
    <xf numFmtId="177" fontId="3" fillId="0" borderId="25" xfId="2" applyNumberFormat="1" applyFont="1" applyFill="1" applyBorder="1" applyAlignment="1" applyProtection="1">
      <alignment horizontal="center" vertical="center"/>
      <protection locked="0"/>
    </xf>
    <xf numFmtId="41" fontId="3" fillId="0" borderId="11" xfId="1" applyFont="1" applyFill="1" applyBorder="1" applyProtection="1">
      <alignment vertical="center"/>
      <protection locked="0"/>
    </xf>
    <xf numFmtId="41" fontId="3" fillId="0" borderId="12" xfId="1" applyFont="1" applyFill="1" applyBorder="1" applyAlignment="1" applyProtection="1">
      <alignment horizontal="center" vertical="center"/>
      <protection locked="0"/>
    </xf>
    <xf numFmtId="41" fontId="3" fillId="0" borderId="18" xfId="1" applyFont="1" applyFill="1" applyBorder="1" applyAlignment="1" applyProtection="1">
      <alignment horizontal="center" vertical="center"/>
      <protection locked="0"/>
    </xf>
    <xf numFmtId="41" fontId="3" fillId="0" borderId="33" xfId="1" applyFont="1" applyFill="1" applyBorder="1" applyAlignment="1" applyProtection="1">
      <alignment horizontal="center" vertical="center"/>
      <protection locked="0"/>
    </xf>
    <xf numFmtId="41" fontId="3" fillId="0" borderId="14" xfId="1" applyFont="1" applyFill="1" applyBorder="1" applyAlignment="1" applyProtection="1">
      <alignment horizontal="center" vertical="center"/>
      <protection locked="0"/>
    </xf>
    <xf numFmtId="41" fontId="3" fillId="0" borderId="30" xfId="1" applyFont="1" applyFill="1" applyBorder="1" applyAlignment="1" applyProtection="1">
      <alignment horizontal="center" vertical="center"/>
      <protection locked="0"/>
    </xf>
    <xf numFmtId="41" fontId="7" fillId="0" borderId="128" xfId="1" applyFont="1" applyFill="1" applyBorder="1" applyAlignment="1" applyProtection="1">
      <alignment horizontal="left" vertical="center"/>
      <protection locked="0"/>
    </xf>
    <xf numFmtId="176" fontId="7" fillId="0" borderId="129" xfId="2" applyNumberFormat="1" applyFont="1" applyFill="1" applyBorder="1" applyAlignment="1" applyProtection="1">
      <alignment horizontal="center" vertical="center"/>
      <protection locked="0"/>
    </xf>
    <xf numFmtId="41" fontId="7" fillId="0" borderId="95" xfId="1" applyFont="1" applyFill="1" applyBorder="1" applyAlignment="1" applyProtection="1">
      <alignment horizontal="left" vertical="center"/>
      <protection locked="0"/>
    </xf>
    <xf numFmtId="176" fontId="7" fillId="0" borderId="96" xfId="2" applyNumberFormat="1" applyFont="1" applyFill="1" applyBorder="1" applyAlignment="1" applyProtection="1">
      <alignment horizontal="center" vertical="center"/>
      <protection locked="0"/>
    </xf>
    <xf numFmtId="41" fontId="7" fillId="0" borderId="0" xfId="1" applyFont="1" applyFill="1" applyAlignment="1" applyProtection="1">
      <alignment horizontal="center" vertical="center"/>
      <protection locked="0"/>
    </xf>
    <xf numFmtId="41" fontId="7" fillId="0" borderId="72" xfId="1" applyFont="1" applyFill="1" applyBorder="1" applyAlignment="1" applyProtection="1">
      <alignment horizontal="left" vertical="center"/>
      <protection locked="0"/>
    </xf>
    <xf numFmtId="176" fontId="7" fillId="0" borderId="73" xfId="2" applyNumberFormat="1" applyFont="1" applyFill="1" applyBorder="1" applyAlignment="1" applyProtection="1">
      <alignment horizontal="center" vertical="center"/>
      <protection locked="0"/>
    </xf>
    <xf numFmtId="0" fontId="7" fillId="0" borderId="64" xfId="1" applyNumberFormat="1" applyFont="1" applyFill="1" applyBorder="1" applyAlignment="1" applyProtection="1">
      <alignment horizontal="center" vertical="center"/>
      <protection locked="0"/>
    </xf>
    <xf numFmtId="0" fontId="7" fillId="0" borderId="65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20" xfId="1" applyNumberFormat="1" applyFont="1" applyFill="1" applyBorder="1" applyAlignment="1" applyProtection="1">
      <alignment horizontal="center" vertical="center"/>
      <protection locked="0"/>
    </xf>
    <xf numFmtId="0" fontId="7" fillId="0" borderId="41" xfId="1" applyNumberFormat="1" applyFont="1" applyFill="1" applyBorder="1" applyAlignment="1" applyProtection="1">
      <alignment vertical="center" shrinkToFit="1"/>
      <protection locked="0"/>
    </xf>
    <xf numFmtId="41" fontId="7" fillId="0" borderId="42" xfId="1" applyFont="1" applyFill="1" applyBorder="1" applyAlignment="1" applyProtection="1">
      <alignment vertical="center"/>
      <protection locked="0"/>
    </xf>
    <xf numFmtId="41" fontId="5" fillId="0" borderId="0" xfId="1" applyFont="1" applyFill="1" applyBorder="1" applyAlignment="1" applyProtection="1">
      <alignment horizontal="center" vertical="center"/>
      <protection locked="0"/>
    </xf>
    <xf numFmtId="41" fontId="7" fillId="0" borderId="42" xfId="1" applyFont="1" applyFill="1" applyBorder="1" applyAlignment="1" applyProtection="1">
      <alignment horizontal="center" vertical="center"/>
      <protection locked="0"/>
    </xf>
    <xf numFmtId="41" fontId="7" fillId="0" borderId="89" xfId="1" applyFont="1" applyFill="1" applyBorder="1" applyAlignment="1" applyProtection="1">
      <alignment horizontal="center" vertical="center"/>
      <protection locked="0"/>
    </xf>
    <xf numFmtId="176" fontId="7" fillId="0" borderId="90" xfId="2" applyNumberFormat="1" applyFont="1" applyFill="1" applyBorder="1" applyAlignment="1" applyProtection="1">
      <alignment horizontal="center" vertical="center"/>
      <protection locked="0"/>
    </xf>
    <xf numFmtId="176" fontId="7" fillId="0" borderId="0" xfId="2" applyNumberFormat="1" applyFont="1" applyFill="1" applyBorder="1" applyAlignment="1" applyProtection="1">
      <alignment horizontal="center" vertical="center"/>
      <protection locked="0"/>
    </xf>
    <xf numFmtId="10" fontId="3" fillId="0" borderId="10" xfId="2" applyNumberFormat="1" applyFont="1" applyFill="1" applyBorder="1" applyAlignment="1" applyProtection="1">
      <alignment horizontal="center" vertical="center"/>
      <protection locked="0"/>
    </xf>
    <xf numFmtId="0" fontId="16" fillId="0" borderId="6" xfId="1" applyNumberFormat="1" applyFont="1" applyFill="1" applyBorder="1" applyAlignment="1" applyProtection="1">
      <alignment horizontal="center" vertical="center"/>
      <protection locked="0"/>
    </xf>
    <xf numFmtId="41" fontId="9" fillId="0" borderId="0" xfId="1" applyFont="1" applyFill="1" applyBorder="1" applyAlignment="1" applyProtection="1">
      <alignment horizontal="left" vertical="center"/>
      <protection locked="0"/>
    </xf>
    <xf numFmtId="0" fontId="7" fillId="0" borderId="14" xfId="1" applyNumberFormat="1" applyFont="1" applyFill="1" applyBorder="1" applyAlignment="1" applyProtection="1">
      <alignment horizontal="center" vertical="center"/>
      <protection locked="0"/>
    </xf>
    <xf numFmtId="10" fontId="3" fillId="0" borderId="27" xfId="2" applyNumberFormat="1" applyFont="1" applyFill="1" applyBorder="1" applyAlignment="1" applyProtection="1">
      <alignment horizontal="center" vertical="center"/>
      <protection locked="0"/>
    </xf>
    <xf numFmtId="0" fontId="7" fillId="0" borderId="68" xfId="1" applyNumberFormat="1" applyFont="1" applyFill="1" applyBorder="1" applyAlignment="1" applyProtection="1">
      <alignment horizontal="center" vertical="center"/>
      <protection locked="0"/>
    </xf>
    <xf numFmtId="0" fontId="7" fillId="0" borderId="69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 shrinkToFit="1"/>
      <protection locked="0"/>
    </xf>
    <xf numFmtId="41" fontId="9" fillId="0" borderId="0" xfId="1" applyFont="1" applyFill="1" applyBorder="1" applyAlignment="1" applyProtection="1">
      <alignment horizontal="center" vertical="center" shrinkToFit="1"/>
      <protection locked="0"/>
    </xf>
    <xf numFmtId="176" fontId="7" fillId="0" borderId="10" xfId="2" applyNumberFormat="1" applyFont="1" applyFill="1" applyBorder="1" applyAlignment="1" applyProtection="1">
      <alignment horizontal="center" vertical="center"/>
      <protection locked="0"/>
    </xf>
    <xf numFmtId="41" fontId="9" fillId="0" borderId="0" xfId="1" applyFont="1" applyFill="1" applyBorder="1" applyAlignment="1" applyProtection="1">
      <alignment horizontal="center" vertical="center"/>
      <protection locked="0"/>
    </xf>
    <xf numFmtId="41" fontId="7" fillId="0" borderId="74" xfId="1" applyFont="1" applyFill="1" applyBorder="1" applyAlignment="1" applyProtection="1">
      <alignment horizontal="left" vertical="center"/>
      <protection locked="0"/>
    </xf>
    <xf numFmtId="41" fontId="7" fillId="0" borderId="75" xfId="1" applyFont="1" applyFill="1" applyBorder="1" applyAlignment="1" applyProtection="1">
      <alignment horizontal="center" vertical="center"/>
      <protection locked="0"/>
    </xf>
    <xf numFmtId="10" fontId="3" fillId="0" borderId="57" xfId="2" applyNumberFormat="1" applyFont="1" applyFill="1" applyBorder="1" applyAlignment="1" applyProtection="1">
      <alignment horizontal="center" vertical="center"/>
      <protection locked="0"/>
    </xf>
    <xf numFmtId="10" fontId="3" fillId="0" borderId="58" xfId="2" applyNumberFormat="1" applyFont="1" applyFill="1" applyBorder="1" applyAlignment="1" applyProtection="1">
      <alignment horizontal="center" vertical="center"/>
      <protection locked="0"/>
    </xf>
    <xf numFmtId="10" fontId="3" fillId="0" borderId="59" xfId="2" applyNumberFormat="1" applyFont="1" applyFill="1" applyBorder="1" applyAlignment="1" applyProtection="1">
      <alignment horizontal="center" vertical="center"/>
      <protection locked="0"/>
    </xf>
    <xf numFmtId="10" fontId="3" fillId="0" borderId="60" xfId="2" applyNumberFormat="1" applyFont="1" applyFill="1" applyBorder="1" applyAlignment="1" applyProtection="1">
      <alignment horizontal="center" vertical="center"/>
      <protection locked="0"/>
    </xf>
    <xf numFmtId="10" fontId="3" fillId="0" borderId="61" xfId="2" applyNumberFormat="1" applyFont="1" applyFill="1" applyBorder="1" applyAlignment="1" applyProtection="1">
      <alignment horizontal="center" vertical="center"/>
      <protection locked="0"/>
    </xf>
    <xf numFmtId="41" fontId="7" fillId="0" borderId="96" xfId="1" applyFont="1" applyFill="1" applyBorder="1" applyAlignment="1" applyProtection="1">
      <alignment horizontal="center" vertical="center"/>
      <protection locked="0"/>
    </xf>
    <xf numFmtId="179" fontId="9" fillId="0" borderId="0" xfId="1" applyNumberFormat="1" applyFont="1" applyFill="1" applyAlignment="1" applyProtection="1">
      <alignment horizontal="center" vertical="center"/>
      <protection locked="0"/>
    </xf>
    <xf numFmtId="0" fontId="7" fillId="0" borderId="22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48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1" applyNumberFormat="1" applyFont="1" applyFill="1" applyBorder="1" applyAlignment="1" applyProtection="1">
      <alignment horizontal="center" vertical="center" wrapText="1"/>
      <protection locked="0"/>
    </xf>
    <xf numFmtId="176" fontId="7" fillId="0" borderId="14" xfId="2" applyNumberFormat="1" applyFont="1" applyFill="1" applyBorder="1" applyAlignment="1" applyProtection="1">
      <alignment horizontal="center" vertical="center" wrapText="1"/>
      <protection locked="0"/>
    </xf>
    <xf numFmtId="41" fontId="7" fillId="0" borderId="52" xfId="1" applyFont="1" applyFill="1" applyBorder="1" applyProtection="1">
      <alignment vertical="center"/>
      <protection locked="0"/>
    </xf>
    <xf numFmtId="10" fontId="7" fillId="0" borderId="4" xfId="2" applyNumberFormat="1" applyFont="1" applyFill="1" applyBorder="1" applyAlignment="1" applyProtection="1">
      <alignment horizontal="center" vertical="center"/>
      <protection locked="0"/>
    </xf>
    <xf numFmtId="10" fontId="7" fillId="0" borderId="53" xfId="2" applyNumberFormat="1" applyFont="1" applyFill="1" applyBorder="1" applyAlignment="1" applyProtection="1">
      <alignment horizontal="center" vertical="center"/>
      <protection locked="0"/>
    </xf>
    <xf numFmtId="41" fontId="7" fillId="0" borderId="62" xfId="1" applyFont="1" applyFill="1" applyBorder="1" applyProtection="1">
      <alignment vertical="center"/>
      <protection locked="0"/>
    </xf>
    <xf numFmtId="10" fontId="7" fillId="0" borderId="157" xfId="2" applyNumberFormat="1" applyFont="1" applyFill="1" applyBorder="1" applyAlignment="1" applyProtection="1">
      <alignment horizontal="center" vertical="center"/>
      <protection locked="0"/>
    </xf>
    <xf numFmtId="10" fontId="7" fillId="0" borderId="158" xfId="2" applyNumberFormat="1" applyFont="1" applyFill="1" applyBorder="1" applyAlignment="1" applyProtection="1">
      <alignment horizontal="center" vertical="center"/>
      <protection locked="0"/>
    </xf>
    <xf numFmtId="0" fontId="6" fillId="0" borderId="0" xfId="1" applyNumberFormat="1" applyFont="1" applyFill="1" applyBorder="1" applyAlignment="1" applyProtection="1">
      <alignment horizontal="left" vertical="center"/>
      <protection locked="0"/>
    </xf>
    <xf numFmtId="41" fontId="9" fillId="0" borderId="88" xfId="1" applyFont="1" applyFill="1" applyBorder="1" applyAlignment="1" applyProtection="1">
      <alignment horizontal="center" vertical="center" shrinkToFit="1"/>
      <protection locked="0"/>
    </xf>
    <xf numFmtId="0" fontId="3" fillId="0" borderId="0" xfId="1" applyNumberFormat="1" applyFont="1" applyFill="1" applyBorder="1" applyAlignment="1" applyProtection="1">
      <alignment horizontal="center" vertical="center" shrinkToFit="1"/>
      <protection locked="0"/>
    </xf>
    <xf numFmtId="41" fontId="9" fillId="0" borderId="0" xfId="1" applyFont="1" applyFill="1" applyBorder="1" applyAlignment="1" applyProtection="1">
      <alignment vertical="center" shrinkToFit="1"/>
      <protection locked="0"/>
    </xf>
    <xf numFmtId="41" fontId="9" fillId="0" borderId="0" xfId="1" applyFont="1" applyFill="1" applyBorder="1" applyProtection="1">
      <alignment vertical="center"/>
      <protection locked="0"/>
    </xf>
    <xf numFmtId="0" fontId="5" fillId="0" borderId="111" xfId="1" applyNumberFormat="1" applyFont="1" applyFill="1" applyBorder="1" applyAlignment="1" applyProtection="1">
      <alignment horizontal="center" vertical="center"/>
      <protection locked="0"/>
    </xf>
    <xf numFmtId="0" fontId="3" fillId="0" borderId="112" xfId="1" applyNumberFormat="1" applyFont="1" applyFill="1" applyBorder="1" applyAlignment="1" applyProtection="1">
      <alignment horizontal="center" vertical="center"/>
      <protection locked="0"/>
    </xf>
    <xf numFmtId="41" fontId="9" fillId="0" borderId="21" xfId="1" applyFont="1" applyFill="1" applyBorder="1" applyAlignment="1" applyProtection="1">
      <alignment horizontal="center" vertical="center" shrinkToFit="1"/>
      <protection locked="0"/>
    </xf>
    <xf numFmtId="41" fontId="3" fillId="0" borderId="0" xfId="1" applyFont="1" applyFill="1" applyBorder="1" applyAlignment="1" applyProtection="1">
      <alignment vertical="center" shrinkToFit="1"/>
      <protection locked="0"/>
    </xf>
    <xf numFmtId="9" fontId="3" fillId="0" borderId="0" xfId="1" applyNumberFormat="1" applyFont="1" applyFill="1" applyAlignment="1" applyProtection="1">
      <alignment horizontal="center" vertical="center"/>
      <protection locked="0"/>
    </xf>
    <xf numFmtId="41" fontId="3" fillId="0" borderId="0" xfId="1" applyFont="1" applyFill="1" applyAlignment="1" applyProtection="1">
      <alignment horizontal="left" vertical="center" shrinkToFit="1"/>
      <protection locked="0"/>
    </xf>
    <xf numFmtId="9" fontId="3" fillId="0" borderId="0" xfId="1" applyNumberFormat="1" applyFont="1" applyFill="1" applyAlignment="1" applyProtection="1">
      <alignment horizontal="left" vertical="center"/>
      <protection locked="0"/>
    </xf>
    <xf numFmtId="10" fontId="3" fillId="0" borderId="0" xfId="1" applyNumberFormat="1" applyFont="1" applyFill="1" applyAlignment="1" applyProtection="1">
      <alignment horizontal="left" vertical="center"/>
      <protection locked="0"/>
    </xf>
    <xf numFmtId="41" fontId="3" fillId="0" borderId="0" xfId="1" applyFont="1" applyFill="1" applyAlignment="1" applyProtection="1">
      <alignment vertical="center" shrinkToFit="1"/>
      <protection locked="0"/>
    </xf>
    <xf numFmtId="0" fontId="17" fillId="0" borderId="0" xfId="0" applyFont="1" applyFill="1" applyAlignment="1" applyProtection="1">
      <alignment horizontal="left" vertical="center"/>
      <protection locked="0"/>
    </xf>
    <xf numFmtId="176" fontId="3" fillId="0" borderId="0" xfId="2" applyNumberFormat="1" applyFont="1" applyFill="1" applyAlignment="1" applyProtection="1">
      <alignment horizontal="center" vertical="center" shrinkToFit="1"/>
      <protection locked="0"/>
    </xf>
    <xf numFmtId="0" fontId="3" fillId="0" borderId="0" xfId="0" applyNumberFormat="1" applyFont="1" applyFill="1" applyAlignment="1" applyProtection="1">
      <alignment horizontal="center" vertical="center" shrinkToFit="1"/>
      <protection locked="0"/>
    </xf>
    <xf numFmtId="0" fontId="3" fillId="0" borderId="0" xfId="1" applyNumberFormat="1" applyFont="1" applyFill="1" applyAlignment="1" applyProtection="1">
      <alignment horizontal="center" vertical="center" shrinkToFit="1"/>
      <protection locked="0"/>
    </xf>
    <xf numFmtId="0" fontId="3" fillId="0" borderId="0" xfId="2" applyNumberFormat="1" applyFont="1" applyFill="1" applyAlignment="1" applyProtection="1">
      <alignment horizontal="center" vertical="center" shrinkToFit="1"/>
      <protection locked="0"/>
    </xf>
    <xf numFmtId="49" fontId="11" fillId="0" borderId="0" xfId="2" applyNumberFormat="1" applyFont="1" applyFill="1" applyAlignment="1" applyProtection="1">
      <alignment horizontal="center" vertical="center" shrinkToFit="1"/>
      <protection locked="0"/>
    </xf>
    <xf numFmtId="0" fontId="46" fillId="0" borderId="0" xfId="0" applyNumberFormat="1" applyFont="1" applyFill="1" applyAlignment="1" applyProtection="1">
      <alignment horizontal="center" vertical="center" shrinkToFit="1"/>
      <protection locked="0"/>
    </xf>
    <xf numFmtId="41" fontId="40" fillId="0" borderId="192" xfId="1" applyFont="1" applyBorder="1" applyAlignment="1" applyProtection="1">
      <alignment horizontal="center" vertical="center" shrinkToFit="1"/>
    </xf>
    <xf numFmtId="0" fontId="3" fillId="11" borderId="0" xfId="0" applyFont="1" applyFill="1" applyAlignment="1" applyProtection="1">
      <alignment horizontal="center" vertical="center" shrinkToFit="1"/>
      <protection locked="0"/>
    </xf>
    <xf numFmtId="0" fontId="63" fillId="11" borderId="0" xfId="0" applyFont="1" applyFill="1" applyAlignment="1" applyProtection="1">
      <alignment horizontal="center" vertical="center" shrinkToFit="1"/>
      <protection locked="0"/>
    </xf>
    <xf numFmtId="41" fontId="70" fillId="11" borderId="0" xfId="1" applyFont="1" applyFill="1" applyAlignment="1" applyProtection="1">
      <alignment horizontal="center" vertical="center" shrinkToFit="1"/>
      <protection locked="0"/>
    </xf>
    <xf numFmtId="0" fontId="70" fillId="11" borderId="0" xfId="0" applyFont="1" applyFill="1" applyAlignment="1" applyProtection="1">
      <alignment horizontal="center" vertical="center" shrinkToFit="1"/>
      <protection locked="0"/>
    </xf>
    <xf numFmtId="0" fontId="46" fillId="11" borderId="0" xfId="0" applyFont="1" applyFill="1" applyAlignment="1" applyProtection="1">
      <alignment horizontal="center" vertical="center" shrinkToFit="1"/>
      <protection locked="0"/>
    </xf>
    <xf numFmtId="178" fontId="70" fillId="11" borderId="0" xfId="2" applyNumberFormat="1" applyFont="1" applyFill="1" applyAlignment="1" applyProtection="1">
      <alignment horizontal="center" vertical="center" shrinkToFit="1"/>
      <protection locked="0"/>
    </xf>
    <xf numFmtId="9" fontId="3" fillId="0" borderId="0" xfId="2" applyFont="1" applyFill="1" applyAlignment="1" applyProtection="1">
      <alignment horizontal="center" vertical="center" shrinkToFit="1"/>
      <protection locked="0"/>
    </xf>
    <xf numFmtId="41" fontId="60" fillId="14" borderId="76" xfId="1" applyFont="1" applyFill="1" applyBorder="1" applyAlignment="1" applyProtection="1">
      <alignment vertical="center" shrinkToFit="1"/>
      <protection hidden="1"/>
    </xf>
    <xf numFmtId="0" fontId="52" fillId="14" borderId="0" xfId="0" applyFont="1" applyFill="1" applyAlignment="1" applyProtection="1">
      <alignment vertical="center" shrinkToFit="1"/>
      <protection hidden="1"/>
    </xf>
    <xf numFmtId="41" fontId="25" fillId="14" borderId="195" xfId="1" applyFont="1" applyFill="1" applyBorder="1" applyAlignment="1" applyProtection="1">
      <alignment vertical="center" shrinkToFit="1"/>
      <protection hidden="1"/>
    </xf>
    <xf numFmtId="41" fontId="25" fillId="14" borderId="198" xfId="1" applyFont="1" applyFill="1" applyBorder="1" applyAlignment="1" applyProtection="1">
      <alignment vertical="center" shrinkToFit="1"/>
      <protection hidden="1"/>
    </xf>
    <xf numFmtId="182" fontId="36" fillId="0" borderId="0" xfId="1" applyNumberFormat="1" applyFont="1" applyFill="1" applyAlignment="1" applyProtection="1">
      <alignment horizontal="left" vertical="center" shrinkToFit="1"/>
      <protection hidden="1"/>
    </xf>
    <xf numFmtId="177" fontId="50" fillId="0" borderId="0" xfId="2" applyNumberFormat="1" applyFont="1" applyFill="1" applyAlignment="1" applyProtection="1">
      <alignment horizontal="left" vertical="center" shrinkToFit="1"/>
      <protection hidden="1"/>
    </xf>
    <xf numFmtId="177" fontId="18" fillId="0" borderId="0" xfId="2" applyNumberFormat="1" applyFont="1" applyFill="1" applyAlignment="1" applyProtection="1">
      <alignment horizontal="left" vertical="center" shrinkToFit="1"/>
      <protection hidden="1"/>
    </xf>
    <xf numFmtId="41" fontId="5" fillId="0" borderId="63" xfId="1" applyFont="1" applyBorder="1" applyAlignment="1" applyProtection="1">
      <alignment vertical="center" shrinkToFit="1"/>
      <protection hidden="1"/>
    </xf>
    <xf numFmtId="41" fontId="5" fillId="0" borderId="216" xfId="1" applyFont="1" applyBorder="1" applyAlignment="1" applyProtection="1">
      <alignment vertical="center" shrinkToFit="1"/>
      <protection hidden="1"/>
    </xf>
    <xf numFmtId="41" fontId="9" fillId="0" borderId="216" xfId="1" applyFont="1" applyBorder="1" applyAlignment="1" applyProtection="1">
      <alignment horizontal="center" vertical="center" shrinkToFit="1"/>
      <protection hidden="1"/>
    </xf>
    <xf numFmtId="41" fontId="9" fillId="0" borderId="49" xfId="1" applyFont="1" applyBorder="1" applyAlignment="1" applyProtection="1">
      <alignment horizontal="center" vertical="center" shrinkToFit="1"/>
      <protection hidden="1"/>
    </xf>
    <xf numFmtId="41" fontId="5" fillId="0" borderId="217" xfId="1" applyFont="1" applyBorder="1" applyAlignment="1" applyProtection="1">
      <alignment vertical="center" shrinkToFit="1"/>
      <protection hidden="1"/>
    </xf>
    <xf numFmtId="41" fontId="9" fillId="0" borderId="0" xfId="1" applyFont="1" applyBorder="1" applyAlignment="1" applyProtection="1">
      <alignment horizontal="center" vertical="center" shrinkToFit="1"/>
      <protection hidden="1"/>
    </xf>
    <xf numFmtId="41" fontId="9" fillId="0" borderId="218" xfId="1" applyFont="1" applyBorder="1" applyAlignment="1" applyProtection="1">
      <alignment horizontal="center" vertical="center" shrinkToFit="1"/>
      <protection hidden="1"/>
    </xf>
    <xf numFmtId="41" fontId="5" fillId="0" borderId="0" xfId="1" applyFont="1" applyBorder="1" applyAlignment="1" applyProtection="1">
      <alignment vertical="center" shrinkToFit="1"/>
      <protection hidden="1"/>
    </xf>
    <xf numFmtId="41" fontId="9" fillId="0" borderId="0" xfId="1" applyFont="1" applyBorder="1" applyAlignment="1" applyProtection="1">
      <alignment horizontal="left" vertical="center"/>
      <protection hidden="1"/>
    </xf>
    <xf numFmtId="41" fontId="5" fillId="0" borderId="219" xfId="1" applyFont="1" applyBorder="1" applyAlignment="1" applyProtection="1">
      <alignment vertical="center" shrinkToFit="1"/>
      <protection hidden="1"/>
    </xf>
    <xf numFmtId="41" fontId="9" fillId="0" borderId="220" xfId="1" applyFont="1" applyBorder="1" applyAlignment="1" applyProtection="1">
      <alignment horizontal="center" vertical="center" shrinkToFit="1"/>
      <protection hidden="1"/>
    </xf>
    <xf numFmtId="41" fontId="9" fillId="0" borderId="221" xfId="1" applyFont="1" applyBorder="1" applyAlignment="1" applyProtection="1">
      <alignment horizontal="center" vertical="center" shrinkToFit="1"/>
      <protection hidden="1"/>
    </xf>
    <xf numFmtId="9" fontId="18" fillId="0" borderId="0" xfId="1" applyNumberFormat="1" applyFont="1" applyAlignment="1" applyProtection="1">
      <alignment horizontal="center" vertical="center" shrinkToFit="1"/>
      <protection locked="0"/>
    </xf>
    <xf numFmtId="0" fontId="26" fillId="0" borderId="0" xfId="0" applyFont="1" applyBorder="1" applyAlignment="1" applyProtection="1">
      <alignment horizontal="left" vertical="center" shrinkToFit="1"/>
      <protection hidden="1"/>
    </xf>
    <xf numFmtId="49" fontId="23" fillId="0" borderId="0" xfId="1" applyNumberFormat="1" applyFont="1" applyFill="1" applyAlignment="1" applyProtection="1">
      <alignment vertical="center" shrinkToFit="1"/>
      <protection hidden="1"/>
    </xf>
    <xf numFmtId="49" fontId="48" fillId="0" borderId="0" xfId="1" applyNumberFormat="1" applyFont="1" applyFill="1" applyAlignment="1" applyProtection="1">
      <alignment vertical="center" shrinkToFit="1"/>
      <protection hidden="1"/>
    </xf>
    <xf numFmtId="3" fontId="3" fillId="0" borderId="0" xfId="0" applyNumberFormat="1" applyFont="1" applyFill="1" applyAlignment="1" applyProtection="1">
      <alignment horizontal="center" vertical="center" shrinkToFit="1"/>
      <protection locked="0"/>
    </xf>
    <xf numFmtId="3" fontId="3" fillId="0" borderId="0" xfId="2" applyNumberFormat="1" applyFont="1" applyFill="1" applyAlignment="1" applyProtection="1">
      <alignment horizontal="center" vertical="center" shrinkToFit="1"/>
      <protection locked="0"/>
    </xf>
    <xf numFmtId="10" fontId="3" fillId="0" borderId="0" xfId="2" applyNumberFormat="1" applyFont="1" applyFill="1" applyAlignment="1" applyProtection="1">
      <alignment horizontal="center" vertical="center" shrinkToFit="1"/>
      <protection locked="0"/>
    </xf>
    <xf numFmtId="10" fontId="3" fillId="11" borderId="0" xfId="2" applyNumberFormat="1" applyFont="1" applyFill="1" applyAlignment="1" applyProtection="1">
      <alignment horizontal="center" vertical="center" shrinkToFit="1"/>
      <protection locked="0"/>
    </xf>
    <xf numFmtId="41" fontId="18" fillId="0" borderId="1" xfId="1" applyFont="1" applyBorder="1" applyAlignment="1" applyProtection="1">
      <alignment horizontal="center" vertical="center" shrinkToFit="1"/>
      <protection locked="0"/>
    </xf>
    <xf numFmtId="41" fontId="18" fillId="11" borderId="1" xfId="1" applyFont="1" applyFill="1" applyBorder="1" applyAlignment="1" applyProtection="1">
      <alignment horizontal="center" vertical="center" shrinkToFit="1"/>
      <protection locked="0"/>
    </xf>
    <xf numFmtId="10" fontId="18" fillId="3" borderId="98" xfId="2" applyNumberFormat="1" applyFont="1" applyFill="1" applyBorder="1" applyAlignment="1" applyProtection="1">
      <alignment horizontal="center" vertical="center" shrinkToFit="1"/>
      <protection locked="0"/>
    </xf>
    <xf numFmtId="10" fontId="18" fillId="3" borderId="107" xfId="2" applyNumberFormat="1" applyFont="1" applyFill="1" applyBorder="1" applyAlignment="1" applyProtection="1">
      <alignment horizontal="center" vertical="center" shrinkToFit="1"/>
      <protection locked="0"/>
    </xf>
    <xf numFmtId="10" fontId="18" fillId="3" borderId="37" xfId="2" applyNumberFormat="1" applyFont="1" applyFill="1" applyBorder="1" applyAlignment="1" applyProtection="1">
      <alignment horizontal="center" vertical="center" shrinkToFit="1"/>
      <protection locked="0"/>
    </xf>
    <xf numFmtId="10" fontId="18" fillId="4" borderId="2" xfId="2" applyNumberFormat="1" applyFont="1" applyFill="1" applyBorder="1" applyAlignment="1" applyProtection="1">
      <alignment horizontal="center" vertical="center" shrinkToFit="1"/>
      <protection locked="0"/>
    </xf>
    <xf numFmtId="10" fontId="18" fillId="4" borderId="88" xfId="2" applyNumberFormat="1" applyFont="1" applyFill="1" applyBorder="1" applyAlignment="1" applyProtection="1">
      <alignment horizontal="center" vertical="center" shrinkToFit="1"/>
      <protection locked="0"/>
    </xf>
    <xf numFmtId="10" fontId="18" fillId="4" borderId="21" xfId="2" applyNumberFormat="1" applyFont="1" applyFill="1" applyBorder="1" applyAlignment="1" applyProtection="1">
      <alignment horizontal="center" vertical="center" shrinkToFit="1"/>
      <protection locked="0"/>
    </xf>
    <xf numFmtId="10" fontId="18" fillId="0" borderId="98" xfId="2" applyNumberFormat="1" applyFont="1" applyBorder="1" applyAlignment="1" applyProtection="1">
      <alignment horizontal="center" vertical="center" shrinkToFit="1"/>
      <protection locked="0"/>
    </xf>
    <xf numFmtId="10" fontId="18" fillId="0" borderId="107" xfId="2" applyNumberFormat="1" applyFont="1" applyBorder="1" applyAlignment="1" applyProtection="1">
      <alignment horizontal="center" vertical="center" shrinkToFit="1"/>
      <protection locked="0"/>
    </xf>
    <xf numFmtId="10" fontId="18" fillId="0" borderId="37" xfId="2" applyNumberFormat="1" applyFont="1" applyBorder="1" applyAlignment="1" applyProtection="1">
      <alignment horizontal="center" vertical="center" shrinkToFit="1"/>
      <protection locked="0"/>
    </xf>
    <xf numFmtId="41" fontId="18" fillId="0" borderId="2" xfId="1" applyFont="1" applyBorder="1" applyAlignment="1" applyProtection="1">
      <alignment horizontal="center" vertical="center" shrinkToFit="1"/>
      <protection locked="0"/>
    </xf>
    <xf numFmtId="41" fontId="18" fillId="0" borderId="88" xfId="1" applyFont="1" applyBorder="1" applyAlignment="1" applyProtection="1">
      <alignment horizontal="center" vertical="center" shrinkToFit="1"/>
      <protection locked="0"/>
    </xf>
    <xf numFmtId="41" fontId="18" fillId="0" borderId="21" xfId="1" applyFont="1" applyBorder="1" applyAlignment="1" applyProtection="1">
      <alignment horizontal="center" vertical="center" shrinkToFit="1"/>
      <protection locked="0"/>
    </xf>
    <xf numFmtId="41" fontId="18" fillId="15" borderId="1" xfId="1" applyFont="1" applyFill="1" applyBorder="1" applyAlignment="1" applyProtection="1">
      <alignment horizontal="center" vertical="center" shrinkToFit="1"/>
      <protection locked="0"/>
    </xf>
    <xf numFmtId="10" fontId="18" fillId="15" borderId="17" xfId="1" applyNumberFormat="1" applyFont="1" applyFill="1" applyBorder="1" applyAlignment="1" applyProtection="1">
      <alignment horizontal="center" vertical="center" shrinkToFit="1"/>
      <protection locked="0"/>
    </xf>
    <xf numFmtId="41" fontId="72" fillId="0" borderId="0" xfId="1" applyFont="1" applyFill="1" applyProtection="1">
      <alignment vertical="center"/>
      <protection locked="0"/>
    </xf>
    <xf numFmtId="41" fontId="73" fillId="0" borderId="0" xfId="1" applyFont="1" applyFill="1" applyProtection="1">
      <alignment vertical="center"/>
      <protection locked="0"/>
    </xf>
    <xf numFmtId="3" fontId="18" fillId="0" borderId="1" xfId="0" applyNumberFormat="1" applyFont="1" applyBorder="1" applyAlignment="1" applyProtection="1">
      <alignment horizontal="center" vertical="center" shrinkToFit="1"/>
      <protection locked="0"/>
    </xf>
    <xf numFmtId="0" fontId="3" fillId="15" borderId="0" xfId="0" applyFont="1" applyFill="1" applyAlignment="1" applyProtection="1">
      <alignment horizontal="center" vertical="center" shrinkToFit="1"/>
      <protection locked="0"/>
    </xf>
    <xf numFmtId="0" fontId="18" fillId="15" borderId="15" xfId="0" applyFont="1" applyFill="1" applyBorder="1" applyAlignment="1" applyProtection="1">
      <alignment horizontal="center" vertical="center" shrinkToFit="1"/>
      <protection locked="0"/>
    </xf>
    <xf numFmtId="41" fontId="18" fillId="15" borderId="17" xfId="1" applyFont="1" applyFill="1" applyBorder="1" applyAlignment="1" applyProtection="1">
      <alignment horizontal="center" vertical="center" shrinkToFit="1"/>
      <protection locked="0"/>
    </xf>
    <xf numFmtId="41" fontId="3" fillId="5" borderId="0" xfId="1" applyFont="1" applyFill="1" applyAlignment="1" applyProtection="1">
      <alignment horizontal="left" vertical="center" shrinkToFit="1"/>
      <protection locked="0"/>
    </xf>
    <xf numFmtId="10" fontId="3" fillId="5" borderId="0" xfId="1" applyNumberFormat="1" applyFont="1" applyFill="1" applyAlignment="1" applyProtection="1">
      <alignment horizontal="center" vertical="center"/>
      <protection locked="0"/>
    </xf>
    <xf numFmtId="9" fontId="70" fillId="11" borderId="0" xfId="2" applyFont="1" applyFill="1" applyAlignment="1" applyProtection="1">
      <alignment horizontal="center" vertical="center" shrinkToFit="1"/>
      <protection locked="0"/>
    </xf>
    <xf numFmtId="9" fontId="3" fillId="11" borderId="0" xfId="2" applyFont="1" applyFill="1" applyAlignment="1" applyProtection="1">
      <alignment horizontal="center" vertical="center" shrinkToFit="1"/>
      <protection locked="0"/>
    </xf>
    <xf numFmtId="0" fontId="3" fillId="0" borderId="0" xfId="0" applyFont="1" applyFill="1" applyBorder="1" applyAlignment="1" applyProtection="1">
      <alignment horizontal="left" vertical="center" shrinkToFit="1"/>
      <protection locked="0"/>
    </xf>
    <xf numFmtId="10" fontId="18" fillId="11" borderId="16" xfId="2" applyNumberFormat="1" applyFont="1" applyFill="1" applyBorder="1" applyAlignment="1" applyProtection="1">
      <alignment horizontal="center" vertical="center" shrinkToFit="1"/>
      <protection locked="0"/>
    </xf>
    <xf numFmtId="41" fontId="52" fillId="0" borderId="0" xfId="1" applyFont="1" applyAlignment="1" applyProtection="1">
      <alignment horizontal="center" vertical="center" shrinkToFit="1"/>
      <protection locked="0"/>
    </xf>
    <xf numFmtId="49" fontId="37" fillId="4" borderId="226" xfId="1" applyNumberFormat="1" applyFont="1" applyFill="1" applyBorder="1" applyAlignment="1" applyProtection="1">
      <alignment vertical="center" shrinkToFit="1"/>
      <protection hidden="1"/>
    </xf>
    <xf numFmtId="49" fontId="37" fillId="4" borderId="226" xfId="1" applyNumberFormat="1" applyFont="1" applyFill="1" applyBorder="1" applyAlignment="1" applyProtection="1">
      <alignment vertical="center" shrinkToFit="1"/>
      <protection locked="0" hidden="1"/>
    </xf>
    <xf numFmtId="0" fontId="45" fillId="0" borderId="0" xfId="1" applyNumberFormat="1" applyFont="1" applyFill="1" applyAlignment="1" applyProtection="1">
      <alignment vertical="center" shrinkToFit="1"/>
      <protection hidden="1"/>
    </xf>
    <xf numFmtId="3" fontId="48" fillId="2" borderId="1" xfId="1" applyNumberFormat="1" applyFont="1" applyFill="1" applyBorder="1" applyAlignment="1" applyProtection="1">
      <alignment horizontal="center" vertical="center" shrinkToFit="1"/>
      <protection hidden="1"/>
    </xf>
    <xf numFmtId="0" fontId="48" fillId="2" borderId="1" xfId="1" applyNumberFormat="1" applyFont="1" applyFill="1" applyBorder="1" applyAlignment="1" applyProtection="1">
      <alignment horizontal="left" vertical="center" shrinkToFit="1"/>
      <protection hidden="1"/>
    </xf>
    <xf numFmtId="41" fontId="48" fillId="2" borderId="1" xfId="1" applyNumberFormat="1" applyFont="1" applyFill="1" applyBorder="1" applyAlignment="1" applyProtection="1">
      <alignment horizontal="center" vertical="center" shrinkToFit="1"/>
      <protection hidden="1"/>
    </xf>
    <xf numFmtId="0" fontId="71" fillId="11" borderId="1" xfId="1" applyNumberFormat="1" applyFont="1" applyFill="1" applyBorder="1" applyAlignment="1" applyProtection="1">
      <alignment horizontal="left" vertical="center" shrinkToFit="1"/>
      <protection hidden="1"/>
    </xf>
    <xf numFmtId="3" fontId="78" fillId="11" borderId="1" xfId="1" applyNumberFormat="1" applyFont="1" applyFill="1" applyBorder="1" applyAlignment="1" applyProtection="1">
      <alignment horizontal="center" vertical="center" shrinkToFit="1"/>
      <protection hidden="1"/>
    </xf>
    <xf numFmtId="49" fontId="23" fillId="0" borderId="0" xfId="1" applyNumberFormat="1" applyFont="1" applyFill="1" applyAlignment="1" applyProtection="1">
      <alignment vertical="center"/>
      <protection hidden="1"/>
    </xf>
    <xf numFmtId="49" fontId="23" fillId="0" borderId="0" xfId="1" applyNumberFormat="1" applyFont="1" applyFill="1" applyBorder="1" applyAlignment="1" applyProtection="1">
      <alignment vertical="center"/>
      <protection hidden="1"/>
    </xf>
    <xf numFmtId="183" fontId="78" fillId="11" borderId="1" xfId="2" applyNumberFormat="1" applyFont="1" applyFill="1" applyBorder="1" applyAlignment="1" applyProtection="1">
      <alignment horizontal="center" vertical="center" shrinkToFit="1"/>
      <protection hidden="1"/>
    </xf>
    <xf numFmtId="0" fontId="48" fillId="2" borderId="2" xfId="1" applyNumberFormat="1" applyFont="1" applyFill="1" applyBorder="1" applyAlignment="1" applyProtection="1">
      <alignment vertical="center" shrinkToFit="1"/>
      <protection hidden="1"/>
    </xf>
    <xf numFmtId="9" fontId="48" fillId="2" borderId="1" xfId="1" applyNumberFormat="1" applyFont="1" applyFill="1" applyBorder="1" applyAlignment="1" applyProtection="1">
      <alignment horizontal="center" vertical="center" shrinkToFit="1"/>
      <protection hidden="1"/>
    </xf>
    <xf numFmtId="0" fontId="48" fillId="2" borderId="21" xfId="1" applyNumberFormat="1" applyFont="1" applyFill="1" applyBorder="1" applyAlignment="1" applyProtection="1">
      <alignment vertical="center" shrinkToFit="1"/>
      <protection hidden="1"/>
    </xf>
    <xf numFmtId="49" fontId="23" fillId="3" borderId="0" xfId="1" applyNumberFormat="1" applyFont="1" applyFill="1" applyAlignment="1" applyProtection="1">
      <alignment vertical="center"/>
      <protection hidden="1"/>
    </xf>
    <xf numFmtId="49" fontId="23" fillId="3" borderId="0" xfId="1" applyNumberFormat="1" applyFont="1" applyFill="1" applyBorder="1" applyAlignment="1" applyProtection="1">
      <alignment vertical="center"/>
      <protection hidden="1"/>
    </xf>
    <xf numFmtId="0" fontId="3" fillId="11" borderId="0" xfId="0" applyFont="1" applyFill="1" applyAlignment="1" applyProtection="1">
      <alignment horizontal="left" vertical="center" shrinkToFit="1"/>
      <protection locked="0"/>
    </xf>
    <xf numFmtId="9" fontId="3" fillId="15" borderId="0" xfId="0" applyNumberFormat="1" applyFont="1" applyFill="1" applyAlignment="1" applyProtection="1">
      <alignment horizontal="center" vertical="center" shrinkToFit="1"/>
      <protection locked="0"/>
    </xf>
    <xf numFmtId="9" fontId="3" fillId="9" borderId="0" xfId="0" applyNumberFormat="1" applyFont="1" applyFill="1" applyAlignment="1" applyProtection="1">
      <alignment horizontal="center" vertical="center" shrinkToFit="1"/>
      <protection locked="0"/>
    </xf>
    <xf numFmtId="0" fontId="3" fillId="9" borderId="0" xfId="0" applyFont="1" applyFill="1" applyAlignment="1" applyProtection="1">
      <alignment horizontal="center" vertical="center" shrinkToFit="1"/>
      <protection locked="0"/>
    </xf>
    <xf numFmtId="193" fontId="18" fillId="0" borderId="0" xfId="0" applyNumberFormat="1" applyFont="1" applyAlignment="1" applyProtection="1">
      <alignment horizontal="center" vertical="center" shrinkToFit="1"/>
      <protection locked="0"/>
    </xf>
    <xf numFmtId="49" fontId="23" fillId="0" borderId="0" xfId="1" applyNumberFormat="1" applyFont="1" applyFill="1" applyAlignment="1" applyProtection="1">
      <alignment vertical="center" shrinkToFit="1"/>
      <protection hidden="1"/>
    </xf>
    <xf numFmtId="0" fontId="35" fillId="0" borderId="0" xfId="0" applyFont="1" applyBorder="1" applyAlignment="1" applyProtection="1">
      <alignment horizontal="left" vertical="center"/>
      <protection hidden="1"/>
    </xf>
    <xf numFmtId="0" fontId="22" fillId="0" borderId="0" xfId="0" applyFont="1" applyFill="1" applyAlignment="1" applyProtection="1">
      <alignment vertical="center" shrinkToFit="1"/>
      <protection hidden="1"/>
    </xf>
    <xf numFmtId="0" fontId="29" fillId="0" borderId="0" xfId="0" applyFont="1" applyBorder="1" applyAlignment="1" applyProtection="1">
      <alignment vertical="center" shrinkToFit="1"/>
      <protection hidden="1"/>
    </xf>
    <xf numFmtId="0" fontId="66" fillId="0" borderId="187" xfId="0" applyFont="1" applyFill="1" applyBorder="1" applyAlignment="1" applyProtection="1">
      <alignment horizontal="center" vertical="center" shrinkToFit="1"/>
      <protection hidden="1"/>
    </xf>
    <xf numFmtId="0" fontId="45" fillId="13" borderId="143" xfId="0" applyFont="1" applyFill="1" applyBorder="1" applyAlignment="1" applyProtection="1">
      <alignment vertical="center"/>
      <protection hidden="1"/>
    </xf>
    <xf numFmtId="0" fontId="45" fillId="13" borderId="0" xfId="0" applyFont="1" applyFill="1" applyBorder="1" applyAlignment="1" applyProtection="1">
      <alignment vertical="center"/>
      <protection hidden="1"/>
    </xf>
    <xf numFmtId="0" fontId="23" fillId="0" borderId="127" xfId="1" applyNumberFormat="1" applyFont="1" applyBorder="1" applyAlignment="1" applyProtection="1">
      <alignment vertical="center" shrinkToFit="1"/>
      <protection hidden="1"/>
    </xf>
    <xf numFmtId="188" fontId="75" fillId="13" borderId="110" xfId="0" applyNumberFormat="1" applyFont="1" applyFill="1" applyBorder="1" applyAlignment="1" applyProtection="1">
      <alignment horizontal="center" vertical="center"/>
      <protection hidden="1"/>
    </xf>
    <xf numFmtId="188" fontId="74" fillId="13" borderId="110" xfId="0" applyNumberFormat="1" applyFont="1" applyFill="1" applyBorder="1" applyAlignment="1" applyProtection="1">
      <alignment horizontal="center" vertical="center"/>
      <protection hidden="1"/>
    </xf>
    <xf numFmtId="0" fontId="66" fillId="0" borderId="0" xfId="1" applyNumberFormat="1" applyFont="1" applyFill="1" applyBorder="1" applyAlignment="1" applyProtection="1">
      <alignment vertical="center" shrinkToFit="1"/>
      <protection hidden="1"/>
    </xf>
    <xf numFmtId="49" fontId="61" fillId="0" borderId="0" xfId="1" applyNumberFormat="1" applyFont="1" applyFill="1" applyBorder="1" applyAlignment="1" applyProtection="1">
      <alignment vertical="center" shrinkToFit="1"/>
      <protection hidden="1"/>
    </xf>
    <xf numFmtId="0" fontId="52" fillId="0" borderId="0" xfId="0" applyFont="1" applyFill="1" applyBorder="1" applyAlignment="1" applyProtection="1">
      <alignment vertical="center" shrinkToFit="1"/>
      <protection hidden="1"/>
    </xf>
    <xf numFmtId="0" fontId="52" fillId="0" borderId="0" xfId="0" applyFont="1" applyFill="1" applyBorder="1" applyAlignment="1" applyProtection="1">
      <alignment horizontal="center" vertical="center" shrinkToFit="1"/>
      <protection hidden="1"/>
    </xf>
    <xf numFmtId="0" fontId="71" fillId="2" borderId="1" xfId="1" applyNumberFormat="1" applyFont="1" applyFill="1" applyBorder="1" applyAlignment="1" applyProtection="1">
      <alignment vertical="center" shrinkToFit="1"/>
      <protection hidden="1"/>
    </xf>
    <xf numFmtId="41" fontId="71" fillId="2" borderId="1" xfId="1" applyNumberFormat="1" applyFont="1" applyFill="1" applyBorder="1" applyAlignment="1" applyProtection="1">
      <alignment horizontal="center" vertical="center" shrinkToFit="1"/>
      <protection hidden="1"/>
    </xf>
    <xf numFmtId="10" fontId="71" fillId="2" borderId="1" xfId="1" applyNumberFormat="1" applyFont="1" applyFill="1" applyBorder="1" applyAlignment="1" applyProtection="1">
      <alignment horizontal="center" vertical="center" shrinkToFit="1"/>
      <protection hidden="1"/>
    </xf>
    <xf numFmtId="10" fontId="79" fillId="2" borderId="1" xfId="2" applyNumberFormat="1" applyFont="1" applyFill="1" applyBorder="1" applyAlignment="1" applyProtection="1">
      <alignment horizontal="center" vertical="center" shrinkToFit="1"/>
      <protection hidden="1"/>
    </xf>
    <xf numFmtId="49" fontId="61" fillId="0" borderId="0" xfId="1" applyNumberFormat="1" applyFont="1" applyAlignment="1" applyProtection="1">
      <alignment vertical="center" shrinkToFit="1"/>
      <protection hidden="1"/>
    </xf>
    <xf numFmtId="10" fontId="78" fillId="11" borderId="1" xfId="2" applyNumberFormat="1" applyFont="1" applyFill="1" applyBorder="1" applyAlignment="1" applyProtection="1">
      <alignment horizontal="center" vertical="center" shrinkToFit="1"/>
      <protection hidden="1"/>
    </xf>
    <xf numFmtId="0" fontId="69" fillId="0" borderId="0" xfId="0" applyFont="1">
      <alignment vertical="center"/>
    </xf>
    <xf numFmtId="0" fontId="69" fillId="0" borderId="0" xfId="0" applyFont="1" applyAlignment="1">
      <alignment horizontal="right" vertical="center"/>
    </xf>
    <xf numFmtId="0" fontId="81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47" fillId="16" borderId="0" xfId="0" applyFont="1" applyFill="1" applyAlignment="1" applyProtection="1">
      <alignment horizontal="left" vertical="center" shrinkToFit="1"/>
      <protection locked="0"/>
    </xf>
    <xf numFmtId="0" fontId="46" fillId="16" borderId="0" xfId="0" applyFont="1" applyFill="1" applyAlignment="1" applyProtection="1">
      <alignment horizontal="left" vertical="center" shrinkToFit="1"/>
      <protection locked="0"/>
    </xf>
    <xf numFmtId="0" fontId="47" fillId="16" borderId="0" xfId="0" applyFont="1" applyFill="1" applyBorder="1" applyAlignment="1" applyProtection="1">
      <alignment horizontal="left" vertical="center" shrinkToFit="1"/>
      <protection locked="0"/>
    </xf>
    <xf numFmtId="0" fontId="46" fillId="16" borderId="0" xfId="0" applyFont="1" applyFill="1" applyBorder="1" applyAlignment="1" applyProtection="1">
      <alignment horizontal="left" vertical="center" shrinkToFit="1"/>
      <protection locked="0"/>
    </xf>
    <xf numFmtId="0" fontId="47" fillId="16" borderId="0" xfId="0" applyFont="1" applyFill="1" applyAlignment="1" applyProtection="1">
      <alignment vertical="center" shrinkToFit="1"/>
      <protection locked="0"/>
    </xf>
    <xf numFmtId="0" fontId="7" fillId="12" borderId="1" xfId="0" applyFont="1" applyFill="1" applyBorder="1" applyAlignment="1">
      <alignment horizontal="center" vertical="center"/>
    </xf>
    <xf numFmtId="0" fontId="82" fillId="12" borderId="1" xfId="1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82" fillId="10" borderId="1" xfId="10" applyFont="1" applyFill="1" applyBorder="1" applyAlignment="1">
      <alignment horizontal="center" vertical="center" shrinkToFit="1"/>
    </xf>
    <xf numFmtId="176" fontId="7" fillId="10" borderId="1" xfId="0" applyNumberFormat="1" applyFont="1" applyFill="1" applyBorder="1" applyAlignment="1">
      <alignment horizontal="center" vertical="center"/>
    </xf>
    <xf numFmtId="0" fontId="84" fillId="0" borderId="0" xfId="0" applyFont="1">
      <alignment vertical="center"/>
    </xf>
    <xf numFmtId="0" fontId="85" fillId="0" borderId="0" xfId="0" applyFont="1">
      <alignment vertical="center"/>
    </xf>
    <xf numFmtId="0" fontId="85" fillId="0" borderId="0" xfId="0" applyFont="1" applyBorder="1">
      <alignment vertical="center"/>
    </xf>
    <xf numFmtId="0" fontId="0" fillId="0" borderId="0" xfId="0" applyBorder="1">
      <alignment vertical="center"/>
    </xf>
    <xf numFmtId="0" fontId="85" fillId="0" borderId="227" xfId="0" applyFont="1" applyBorder="1">
      <alignment vertical="center"/>
    </xf>
    <xf numFmtId="0" fontId="84" fillId="0" borderId="227" xfId="0" applyFont="1" applyBorder="1">
      <alignment vertical="center"/>
    </xf>
    <xf numFmtId="0" fontId="84" fillId="0" borderId="228" xfId="0" applyFont="1" applyBorder="1">
      <alignment vertical="center"/>
    </xf>
    <xf numFmtId="0" fontId="85" fillId="0" borderId="228" xfId="0" applyFont="1" applyBorder="1">
      <alignment vertical="center"/>
    </xf>
    <xf numFmtId="176" fontId="18" fillId="0" borderId="0" xfId="2" applyNumberFormat="1" applyFont="1" applyAlignment="1" applyProtection="1">
      <alignment horizontal="center" vertical="center" shrinkToFit="1"/>
      <protection locked="0"/>
    </xf>
    <xf numFmtId="0" fontId="18" fillId="0" borderId="98" xfId="0" applyFont="1" applyFill="1" applyBorder="1" applyAlignment="1" applyProtection="1">
      <alignment horizontal="left" vertical="center" shrinkToFit="1"/>
      <protection locked="0"/>
    </xf>
    <xf numFmtId="41" fontId="18" fillId="0" borderId="28" xfId="1" applyFont="1" applyFill="1" applyBorder="1" applyAlignment="1" applyProtection="1">
      <alignment horizontal="center" vertical="center" shrinkToFit="1"/>
      <protection locked="0"/>
    </xf>
    <xf numFmtId="0" fontId="18" fillId="0" borderId="107" xfId="0" applyFont="1" applyFill="1" applyBorder="1" applyAlignment="1" applyProtection="1">
      <alignment horizontal="left" vertical="center" shrinkToFit="1"/>
      <protection locked="0"/>
    </xf>
    <xf numFmtId="41" fontId="18" fillId="0" borderId="103" xfId="1" applyFont="1" applyFill="1" applyBorder="1" applyAlignment="1" applyProtection="1">
      <alignment horizontal="center" vertical="center" shrinkToFit="1"/>
      <protection locked="0"/>
    </xf>
    <xf numFmtId="41" fontId="18" fillId="0" borderId="103" xfId="0" applyNumberFormat="1" applyFont="1" applyFill="1" applyBorder="1" applyAlignment="1" applyProtection="1">
      <alignment horizontal="center" vertical="center" shrinkToFit="1"/>
      <protection locked="0"/>
    </xf>
    <xf numFmtId="177" fontId="18" fillId="0" borderId="103" xfId="2" applyNumberFormat="1" applyFont="1" applyFill="1" applyBorder="1" applyAlignment="1" applyProtection="1">
      <alignment horizontal="center" vertical="center" shrinkToFit="1"/>
      <protection locked="0"/>
    </xf>
    <xf numFmtId="9" fontId="18" fillId="0" borderId="0" xfId="0" applyNumberFormat="1" applyFont="1" applyAlignment="1" applyProtection="1">
      <alignment horizontal="center" vertical="center" shrinkToFit="1"/>
      <protection locked="0"/>
    </xf>
    <xf numFmtId="0" fontId="47" fillId="0" borderId="1" xfId="0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/>
    </xf>
    <xf numFmtId="0" fontId="90" fillId="0" borderId="1" xfId="11" applyFont="1" applyFill="1" applyBorder="1" applyAlignment="1">
      <alignment horizontal="center" vertical="center"/>
    </xf>
    <xf numFmtId="0" fontId="70" fillId="18" borderId="1" xfId="0" applyFont="1" applyFill="1" applyBorder="1" applyAlignment="1">
      <alignment horizontal="center" vertical="center"/>
    </xf>
    <xf numFmtId="176" fontId="70" fillId="18" borderId="1" xfId="2" applyNumberFormat="1" applyFont="1" applyFill="1" applyBorder="1" applyAlignment="1">
      <alignment horizontal="center" vertical="center"/>
    </xf>
    <xf numFmtId="176" fontId="91" fillId="18" borderId="1" xfId="11" applyNumberFormat="1" applyFont="1" applyFill="1" applyBorder="1" applyAlignment="1">
      <alignment horizontal="center" vertical="center"/>
    </xf>
    <xf numFmtId="0" fontId="70" fillId="10" borderId="0" xfId="0" applyFont="1" applyFill="1" applyAlignment="1" applyProtection="1">
      <alignment horizontal="center" vertical="center" shrinkToFit="1"/>
      <protection locked="0"/>
    </xf>
    <xf numFmtId="178" fontId="70" fillId="10" borderId="0" xfId="2" applyNumberFormat="1" applyFont="1" applyFill="1" applyAlignment="1" applyProtection="1">
      <alignment horizontal="center" vertical="center" shrinkToFit="1"/>
      <protection locked="0"/>
    </xf>
    <xf numFmtId="0" fontId="3" fillId="10" borderId="0" xfId="0" applyFont="1" applyFill="1" applyAlignment="1" applyProtection="1">
      <alignment horizontal="center" vertical="center" shrinkToFit="1"/>
      <protection locked="0"/>
    </xf>
    <xf numFmtId="176" fontId="3" fillId="10" borderId="0" xfId="2" applyNumberFormat="1" applyFont="1" applyFill="1" applyAlignment="1" applyProtection="1">
      <alignment horizontal="center" vertical="center" shrinkToFit="1"/>
      <protection locked="0"/>
    </xf>
    <xf numFmtId="0" fontId="70" fillId="5" borderId="0" xfId="0" applyFont="1" applyFill="1" applyAlignment="1" applyProtection="1">
      <alignment horizontal="center" vertical="center" shrinkToFit="1"/>
      <protection locked="0"/>
    </xf>
    <xf numFmtId="178" fontId="70" fillId="5" borderId="0" xfId="2" applyNumberFormat="1" applyFont="1" applyFill="1" applyAlignment="1" applyProtection="1">
      <alignment horizontal="center" vertical="center" shrinkToFit="1"/>
      <protection locked="0"/>
    </xf>
    <xf numFmtId="0" fontId="3" fillId="5" borderId="0" xfId="0" applyFont="1" applyFill="1" applyAlignment="1" applyProtection="1">
      <alignment horizontal="center" vertical="center" shrinkToFit="1"/>
      <protection locked="0"/>
    </xf>
    <xf numFmtId="9" fontId="3" fillId="5" borderId="0" xfId="2" applyFont="1" applyFill="1" applyAlignment="1" applyProtection="1">
      <alignment horizontal="center" vertical="center" shrinkToFit="1"/>
      <protection locked="0"/>
    </xf>
    <xf numFmtId="176" fontId="18" fillId="0" borderId="2" xfId="2" applyNumberFormat="1" applyFont="1" applyBorder="1" applyAlignment="1" applyProtection="1">
      <alignment horizontal="center" vertical="center" shrinkToFit="1"/>
      <protection locked="0"/>
    </xf>
    <xf numFmtId="176" fontId="18" fillId="0" borderId="88" xfId="2" applyNumberFormat="1" applyFont="1" applyBorder="1" applyAlignment="1" applyProtection="1">
      <alignment horizontal="center" vertical="center" shrinkToFit="1"/>
      <protection locked="0"/>
    </xf>
    <xf numFmtId="10" fontId="18" fillId="0" borderId="21" xfId="2" applyNumberFormat="1" applyFont="1" applyBorder="1" applyAlignment="1" applyProtection="1">
      <alignment horizontal="center" vertical="center" shrinkToFit="1"/>
      <protection locked="0"/>
    </xf>
    <xf numFmtId="10" fontId="18" fillId="0" borderId="2" xfId="2" applyNumberFormat="1" applyFont="1" applyBorder="1" applyAlignment="1" applyProtection="1">
      <alignment horizontal="center" vertical="center" shrinkToFit="1"/>
      <protection locked="0"/>
    </xf>
    <xf numFmtId="10" fontId="18" fillId="0" borderId="88" xfId="2" applyNumberFormat="1" applyFont="1" applyBorder="1" applyAlignment="1" applyProtection="1">
      <alignment horizontal="center" vertical="center" shrinkToFit="1"/>
      <protection locked="0"/>
    </xf>
    <xf numFmtId="10" fontId="18" fillId="3" borderId="2" xfId="2" applyNumberFormat="1" applyFont="1" applyFill="1" applyBorder="1" applyAlignment="1" applyProtection="1">
      <alignment horizontal="center" vertical="center" shrinkToFit="1"/>
      <protection locked="0"/>
    </xf>
    <xf numFmtId="10" fontId="18" fillId="3" borderId="88" xfId="2" applyNumberFormat="1" applyFont="1" applyFill="1" applyBorder="1" applyAlignment="1" applyProtection="1">
      <alignment horizontal="center" vertical="center" shrinkToFit="1"/>
      <protection locked="0"/>
    </xf>
    <xf numFmtId="10" fontId="18" fillId="3" borderId="21" xfId="2" applyNumberFormat="1" applyFont="1" applyFill="1" applyBorder="1" applyAlignment="1" applyProtection="1">
      <alignment horizontal="center" vertical="center" shrinkToFit="1"/>
      <protection locked="0"/>
    </xf>
    <xf numFmtId="176" fontId="92" fillId="0" borderId="0" xfId="2" applyNumberFormat="1" applyFont="1" applyAlignment="1" applyProtection="1">
      <alignment horizontal="center" vertical="center" shrinkToFit="1"/>
      <protection locked="0"/>
    </xf>
    <xf numFmtId="0" fontId="84" fillId="0" borderId="0" xfId="0" applyFont="1" applyBorder="1">
      <alignment vertical="center"/>
    </xf>
    <xf numFmtId="0" fontId="94" fillId="0" borderId="0" xfId="0" applyFont="1">
      <alignment vertical="center"/>
    </xf>
    <xf numFmtId="0" fontId="95" fillId="0" borderId="0" xfId="0" applyFont="1">
      <alignment vertical="center"/>
    </xf>
    <xf numFmtId="0" fontId="8" fillId="0" borderId="0" xfId="1" applyNumberFormat="1" applyFont="1" applyBorder="1" applyAlignment="1" applyProtection="1">
      <alignment horizontal="left" vertical="center" shrinkToFit="1"/>
      <protection hidden="1"/>
    </xf>
    <xf numFmtId="0" fontId="15" fillId="0" borderId="0" xfId="1" applyNumberFormat="1" applyFont="1" applyAlignment="1" applyProtection="1">
      <alignment horizontal="left" vertical="center" shrinkToFit="1"/>
      <protection hidden="1"/>
    </xf>
    <xf numFmtId="0" fontId="77" fillId="0" borderId="0" xfId="1" applyNumberFormat="1" applyFont="1" applyBorder="1" applyAlignment="1" applyProtection="1">
      <alignment horizontal="center" vertical="center" shrinkToFit="1"/>
      <protection hidden="1"/>
    </xf>
    <xf numFmtId="0" fontId="77" fillId="0" borderId="218" xfId="1" applyNumberFormat="1" applyFont="1" applyBorder="1" applyAlignment="1" applyProtection="1">
      <alignment horizontal="center" vertical="center" shrinkToFit="1"/>
      <protection hidden="1"/>
    </xf>
    <xf numFmtId="0" fontId="83" fillId="0" borderId="0" xfId="0" applyFont="1" applyBorder="1" applyAlignment="1">
      <alignment horizontal="center" vertical="center"/>
    </xf>
    <xf numFmtId="0" fontId="83" fillId="0" borderId="227" xfId="0" applyFont="1" applyBorder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87" fillId="0" borderId="0" xfId="0" applyFont="1" applyAlignment="1">
      <alignment horizontal="center" vertical="center"/>
    </xf>
    <xf numFmtId="0" fontId="0" fillId="0" borderId="227" xfId="0" applyBorder="1" applyAlignment="1" applyProtection="1">
      <alignment horizontal="center" vertical="center"/>
      <protection locked="0"/>
    </xf>
    <xf numFmtId="0" fontId="85" fillId="0" borderId="227" xfId="0" applyFont="1" applyBorder="1" applyAlignment="1" applyProtection="1">
      <alignment horizontal="center" vertical="center"/>
      <protection locked="0"/>
    </xf>
    <xf numFmtId="0" fontId="85" fillId="0" borderId="228" xfId="0" applyFont="1" applyBorder="1" applyAlignment="1" applyProtection="1">
      <alignment horizontal="center" vertical="center"/>
      <protection locked="0"/>
    </xf>
    <xf numFmtId="0" fontId="96" fillId="0" borderId="227" xfId="0" applyFont="1" applyBorder="1" applyAlignment="1" applyProtection="1">
      <alignment horizontal="center" vertical="center"/>
      <protection locked="0"/>
    </xf>
    <xf numFmtId="0" fontId="97" fillId="0" borderId="227" xfId="0" applyFont="1" applyBorder="1" applyAlignment="1">
      <alignment horizontal="center" vertical="center"/>
    </xf>
    <xf numFmtId="0" fontId="18" fillId="3" borderId="111" xfId="0" applyFont="1" applyFill="1" applyBorder="1" applyAlignment="1" applyProtection="1">
      <alignment horizontal="center" vertical="center" shrinkToFit="1"/>
      <protection locked="0"/>
    </xf>
    <xf numFmtId="0" fontId="18" fillId="3" borderId="112" xfId="0" applyFont="1" applyFill="1" applyBorder="1" applyAlignment="1" applyProtection="1">
      <alignment horizontal="center" vertical="center" shrinkToFit="1"/>
      <protection locked="0"/>
    </xf>
    <xf numFmtId="0" fontId="18" fillId="3" borderId="107" xfId="0" applyFont="1" applyFill="1" applyBorder="1" applyAlignment="1" applyProtection="1">
      <alignment horizontal="center" vertical="center" shrinkToFit="1"/>
      <protection locked="0"/>
    </xf>
    <xf numFmtId="0" fontId="18" fillId="3" borderId="0" xfId="0" applyFont="1" applyFill="1" applyBorder="1" applyAlignment="1" applyProtection="1">
      <alignment horizontal="center" vertical="center" shrinkToFit="1"/>
      <protection locked="0"/>
    </xf>
    <xf numFmtId="0" fontId="18" fillId="3" borderId="108" xfId="0" applyFont="1" applyFill="1" applyBorder="1" applyAlignment="1" applyProtection="1">
      <alignment horizontal="center" vertical="center" shrinkToFit="1"/>
      <protection locked="0"/>
    </xf>
    <xf numFmtId="49" fontId="71" fillId="0" borderId="0" xfId="1" applyNumberFormat="1" applyFont="1" applyFill="1" applyAlignment="1" applyProtection="1">
      <alignment vertical="center" shrinkToFit="1"/>
      <protection hidden="1"/>
    </xf>
    <xf numFmtId="49" fontId="23" fillId="0" borderId="0" xfId="1" applyNumberFormat="1" applyFont="1" applyFill="1" applyAlignment="1" applyProtection="1">
      <alignment vertical="center" shrinkToFit="1"/>
      <protection hidden="1"/>
    </xf>
    <xf numFmtId="41" fontId="60" fillId="14" borderId="181" xfId="1" applyFont="1" applyFill="1" applyBorder="1" applyAlignment="1" applyProtection="1">
      <alignment horizontal="left" vertical="center" shrinkToFit="1"/>
      <protection hidden="1"/>
    </xf>
    <xf numFmtId="41" fontId="60" fillId="14" borderId="182" xfId="1" applyFont="1" applyFill="1" applyBorder="1" applyAlignment="1" applyProtection="1">
      <alignment horizontal="left" vertical="center" shrinkToFit="1"/>
      <protection hidden="1"/>
    </xf>
    <xf numFmtId="41" fontId="60" fillId="14" borderId="183" xfId="1" applyFont="1" applyFill="1" applyBorder="1" applyAlignment="1" applyProtection="1">
      <alignment horizontal="left" vertical="center" shrinkToFit="1"/>
      <protection hidden="1"/>
    </xf>
    <xf numFmtId="41" fontId="18" fillId="3" borderId="76" xfId="1" applyFont="1" applyFill="1" applyBorder="1" applyAlignment="1" applyProtection="1">
      <alignment horizontal="center" vertical="center" shrinkToFit="1"/>
      <protection hidden="1"/>
    </xf>
    <xf numFmtId="0" fontId="20" fillId="0" borderId="0" xfId="0" applyFont="1" applyFill="1" applyAlignment="1" applyProtection="1">
      <alignment horizontal="center" vertical="center" shrinkToFit="1"/>
      <protection hidden="1"/>
    </xf>
    <xf numFmtId="41" fontId="60" fillId="14" borderId="144" xfId="1" applyFont="1" applyFill="1" applyBorder="1" applyAlignment="1" applyProtection="1">
      <alignment horizontal="left" vertical="center" shrinkToFit="1"/>
      <protection hidden="1"/>
    </xf>
    <xf numFmtId="41" fontId="60" fillId="14" borderId="117" xfId="1" applyFont="1" applyFill="1" applyBorder="1" applyAlignment="1" applyProtection="1">
      <alignment horizontal="left" vertical="center" shrinkToFit="1"/>
      <protection hidden="1"/>
    </xf>
    <xf numFmtId="0" fontId="21" fillId="0" borderId="0" xfId="0" applyFont="1" applyBorder="1" applyAlignment="1" applyProtection="1">
      <alignment horizontal="center" vertical="center" shrinkToFit="1"/>
      <protection hidden="1"/>
    </xf>
    <xf numFmtId="0" fontId="19" fillId="0" borderId="85" xfId="0" applyFont="1" applyBorder="1" applyAlignment="1" applyProtection="1">
      <alignment horizontal="left" vertical="center" shrinkToFit="1"/>
      <protection hidden="1"/>
    </xf>
    <xf numFmtId="41" fontId="52" fillId="14" borderId="144" xfId="1" applyFont="1" applyFill="1" applyBorder="1" applyAlignment="1" applyProtection="1">
      <alignment horizontal="left" vertical="center" shrinkToFit="1"/>
      <protection hidden="1"/>
    </xf>
    <xf numFmtId="41" fontId="52" fillId="14" borderId="117" xfId="1" applyFont="1" applyFill="1" applyBorder="1" applyAlignment="1" applyProtection="1">
      <alignment horizontal="left" vertical="center" shrinkToFit="1"/>
      <protection hidden="1"/>
    </xf>
    <xf numFmtId="41" fontId="18" fillId="3" borderId="133" xfId="1" applyFont="1" applyFill="1" applyBorder="1" applyAlignment="1" applyProtection="1">
      <alignment horizontal="left" vertical="center" shrinkToFit="1"/>
      <protection hidden="1"/>
    </xf>
    <xf numFmtId="41" fontId="18" fillId="3" borderId="135" xfId="1" applyFont="1" applyFill="1" applyBorder="1" applyAlignment="1" applyProtection="1">
      <alignment horizontal="left" vertical="center" shrinkToFit="1"/>
      <protection hidden="1"/>
    </xf>
    <xf numFmtId="41" fontId="18" fillId="3" borderId="134" xfId="1" applyFont="1" applyFill="1" applyBorder="1" applyAlignment="1" applyProtection="1">
      <alignment horizontal="left" vertical="center" shrinkToFit="1"/>
      <protection hidden="1"/>
    </xf>
    <xf numFmtId="41" fontId="60" fillId="14" borderId="134" xfId="1" applyFont="1" applyFill="1" applyBorder="1" applyAlignment="1" applyProtection="1">
      <alignment horizontal="left" vertical="center" shrinkToFit="1"/>
      <protection hidden="1"/>
    </xf>
    <xf numFmtId="41" fontId="60" fillId="14" borderId="122" xfId="1" applyFont="1" applyFill="1" applyBorder="1" applyAlignment="1" applyProtection="1">
      <alignment horizontal="left" vertical="center" shrinkToFit="1"/>
      <protection hidden="1"/>
    </xf>
    <xf numFmtId="176" fontId="23" fillId="3" borderId="122" xfId="2" applyNumberFormat="1" applyFont="1" applyFill="1" applyBorder="1" applyAlignment="1" applyProtection="1">
      <alignment horizontal="right" vertical="center" shrinkToFit="1"/>
      <protection hidden="1"/>
    </xf>
    <xf numFmtId="176" fontId="23" fillId="3" borderId="125" xfId="2" applyNumberFormat="1" applyFont="1" applyFill="1" applyBorder="1" applyAlignment="1" applyProtection="1">
      <alignment horizontal="right" vertical="center" shrinkToFit="1"/>
      <protection hidden="1"/>
    </xf>
    <xf numFmtId="176" fontId="23" fillId="3" borderId="133" xfId="2" applyNumberFormat="1" applyFont="1" applyFill="1" applyBorder="1" applyAlignment="1" applyProtection="1">
      <alignment horizontal="right" vertical="center" shrinkToFit="1"/>
      <protection hidden="1"/>
    </xf>
    <xf numFmtId="176" fontId="23" fillId="3" borderId="136" xfId="2" applyNumberFormat="1" applyFont="1" applyFill="1" applyBorder="1" applyAlignment="1" applyProtection="1">
      <alignment horizontal="right" vertical="center" shrinkToFit="1"/>
      <protection hidden="1"/>
    </xf>
    <xf numFmtId="41" fontId="18" fillId="3" borderId="124" xfId="1" applyFont="1" applyFill="1" applyBorder="1" applyAlignment="1" applyProtection="1">
      <alignment horizontal="center" vertical="center" shrinkToFit="1"/>
      <protection hidden="1"/>
    </xf>
    <xf numFmtId="41" fontId="18" fillId="3" borderId="122" xfId="1" applyFont="1" applyFill="1" applyBorder="1" applyAlignment="1" applyProtection="1">
      <alignment horizontal="center" vertical="center" shrinkToFit="1"/>
      <protection hidden="1"/>
    </xf>
    <xf numFmtId="41" fontId="18" fillId="3" borderId="125" xfId="1" applyFont="1" applyFill="1" applyBorder="1" applyAlignment="1" applyProtection="1">
      <alignment horizontal="center" vertical="center" shrinkToFit="1"/>
      <protection hidden="1"/>
    </xf>
    <xf numFmtId="41" fontId="18" fillId="3" borderId="130" xfId="1" applyFont="1" applyFill="1" applyBorder="1" applyAlignment="1" applyProtection="1">
      <alignment horizontal="center" vertical="center" shrinkToFit="1"/>
      <protection hidden="1"/>
    </xf>
    <xf numFmtId="41" fontId="18" fillId="3" borderId="133" xfId="1" applyFont="1" applyFill="1" applyBorder="1" applyAlignment="1" applyProtection="1">
      <alignment horizontal="center" vertical="center" shrinkToFit="1"/>
      <protection hidden="1"/>
    </xf>
    <xf numFmtId="41" fontId="18" fillId="3" borderId="136" xfId="1" applyFont="1" applyFill="1" applyBorder="1" applyAlignment="1" applyProtection="1">
      <alignment horizontal="center" vertical="center" shrinkToFit="1"/>
      <protection hidden="1"/>
    </xf>
    <xf numFmtId="188" fontId="67" fillId="14" borderId="0" xfId="0" applyNumberFormat="1" applyFont="1" applyFill="1" applyBorder="1" applyAlignment="1" applyProtection="1">
      <alignment horizontal="center" vertical="center"/>
      <protection hidden="1"/>
    </xf>
    <xf numFmtId="41" fontId="18" fillId="3" borderId="135" xfId="1" applyFont="1" applyFill="1" applyBorder="1" applyAlignment="1" applyProtection="1">
      <alignment horizontal="center" vertical="center" shrinkToFit="1"/>
      <protection hidden="1"/>
    </xf>
    <xf numFmtId="41" fontId="18" fillId="3" borderId="137" xfId="1" applyFont="1" applyFill="1" applyBorder="1" applyAlignment="1" applyProtection="1">
      <alignment horizontal="center" vertical="center" shrinkToFit="1"/>
      <protection hidden="1"/>
    </xf>
    <xf numFmtId="41" fontId="18" fillId="0" borderId="133" xfId="1" applyFont="1" applyBorder="1" applyAlignment="1" applyProtection="1">
      <alignment horizontal="center" vertical="center" shrinkToFit="1"/>
      <protection hidden="1"/>
    </xf>
    <xf numFmtId="41" fontId="18" fillId="0" borderId="136" xfId="1" applyFont="1" applyBorder="1" applyAlignment="1" applyProtection="1">
      <alignment horizontal="center" vertical="center" shrinkToFit="1"/>
      <protection hidden="1"/>
    </xf>
    <xf numFmtId="0" fontId="18" fillId="0" borderId="15" xfId="0" applyFont="1" applyBorder="1" applyAlignment="1" applyProtection="1">
      <alignment horizontal="center" vertical="center" shrinkToFit="1"/>
      <protection locked="0"/>
    </xf>
    <xf numFmtId="0" fontId="18" fillId="0" borderId="16" xfId="0" applyFont="1" applyBorder="1" applyAlignment="1" applyProtection="1">
      <alignment horizontal="center" vertical="center" shrinkToFit="1"/>
      <protection locked="0"/>
    </xf>
    <xf numFmtId="0" fontId="18" fillId="0" borderId="17" xfId="0" applyFont="1" applyBorder="1" applyAlignment="1" applyProtection="1">
      <alignment horizontal="center" vertical="center" shrinkToFit="1"/>
      <protection locked="0"/>
    </xf>
    <xf numFmtId="191" fontId="24" fillId="5" borderId="116" xfId="0" applyNumberFormat="1" applyFont="1" applyFill="1" applyBorder="1" applyAlignment="1" applyProtection="1">
      <alignment horizontal="center" vertical="center" shrinkToFit="1"/>
      <protection locked="0"/>
    </xf>
    <xf numFmtId="191" fontId="24" fillId="5" borderId="115" xfId="0" applyNumberFormat="1" applyFont="1" applyFill="1" applyBorder="1" applyAlignment="1" applyProtection="1">
      <alignment horizontal="center" vertical="center" shrinkToFit="1"/>
      <protection locked="0"/>
    </xf>
    <xf numFmtId="10" fontId="60" fillId="0" borderId="76" xfId="2" applyNumberFormat="1" applyFont="1" applyBorder="1" applyAlignment="1" applyProtection="1">
      <alignment horizontal="center" vertical="center" shrinkToFit="1"/>
      <protection locked="0"/>
    </xf>
    <xf numFmtId="41" fontId="60" fillId="0" borderId="76" xfId="1" applyFont="1" applyBorder="1" applyAlignment="1" applyProtection="1">
      <alignment horizontal="center" vertical="center" shrinkToFit="1"/>
      <protection locked="0"/>
    </xf>
    <xf numFmtId="0" fontId="52" fillId="5" borderId="76" xfId="0" applyFont="1" applyFill="1" applyBorder="1" applyAlignment="1" applyProtection="1">
      <alignment horizontal="center" vertical="center" shrinkToFit="1"/>
      <protection locked="0"/>
    </xf>
    <xf numFmtId="0" fontId="18" fillId="5" borderId="121" xfId="0" applyFont="1" applyFill="1" applyBorder="1" applyAlignment="1" applyProtection="1">
      <alignment horizontal="center" vertical="center" shrinkToFit="1"/>
      <protection locked="0" hidden="1"/>
    </xf>
    <xf numFmtId="0" fontId="18" fillId="5" borderId="122" xfId="0" applyFont="1" applyFill="1" applyBorder="1" applyAlignment="1" applyProtection="1">
      <alignment horizontal="center" vertical="center" shrinkToFit="1"/>
      <protection locked="0" hidden="1"/>
    </xf>
    <xf numFmtId="176" fontId="24" fillId="0" borderId="122" xfId="2" applyNumberFormat="1" applyFont="1" applyBorder="1" applyAlignment="1" applyProtection="1">
      <alignment horizontal="center" vertical="center" shrinkToFit="1"/>
      <protection locked="0"/>
    </xf>
    <xf numFmtId="41" fontId="24" fillId="0" borderId="122" xfId="1" applyFont="1" applyBorder="1" applyAlignment="1" applyProtection="1">
      <alignment horizontal="center" vertical="center" shrinkToFit="1"/>
      <protection locked="0"/>
    </xf>
    <xf numFmtId="41" fontId="24" fillId="0" borderId="200" xfId="1" applyFont="1" applyBorder="1" applyAlignment="1" applyProtection="1">
      <alignment horizontal="center" vertical="center" shrinkToFit="1"/>
      <protection locked="0"/>
    </xf>
    <xf numFmtId="41" fontId="24" fillId="4" borderId="79" xfId="1" applyFont="1" applyFill="1" applyBorder="1" applyAlignment="1" applyProtection="1">
      <alignment horizontal="center" vertical="center" shrinkToFit="1"/>
      <protection locked="0"/>
    </xf>
    <xf numFmtId="41" fontId="24" fillId="4" borderId="76" xfId="1" applyFont="1" applyFill="1" applyBorder="1" applyAlignment="1" applyProtection="1">
      <alignment horizontal="center" vertical="center" shrinkToFit="1"/>
      <protection locked="0"/>
    </xf>
    <xf numFmtId="0" fontId="18" fillId="5" borderId="81" xfId="0" applyFont="1" applyFill="1" applyBorder="1" applyAlignment="1" applyProtection="1">
      <alignment horizontal="center" vertical="center" shrinkToFit="1"/>
      <protection locked="0"/>
    </xf>
    <xf numFmtId="0" fontId="18" fillId="5" borderId="82" xfId="0" applyFont="1" applyFill="1" applyBorder="1" applyAlignment="1" applyProtection="1">
      <alignment horizontal="center" vertical="center" shrinkToFit="1"/>
      <protection locked="0"/>
    </xf>
    <xf numFmtId="10" fontId="24" fillId="0" borderId="82" xfId="2" applyNumberFormat="1" applyFont="1" applyBorder="1" applyAlignment="1" applyProtection="1">
      <alignment horizontal="center" vertical="center" shrinkToFit="1"/>
      <protection locked="0"/>
    </xf>
    <xf numFmtId="41" fontId="24" fillId="0" borderId="82" xfId="1" applyFont="1" applyBorder="1" applyAlignment="1" applyProtection="1">
      <alignment horizontal="center" vertical="center" shrinkToFit="1"/>
      <protection locked="0"/>
    </xf>
    <xf numFmtId="41" fontId="24" fillId="0" borderId="83" xfId="1" applyFont="1" applyBorder="1" applyAlignment="1" applyProtection="1">
      <alignment horizontal="center" vertical="center" shrinkToFit="1"/>
      <protection locked="0"/>
    </xf>
    <xf numFmtId="176" fontId="24" fillId="4" borderId="78" xfId="2" applyNumberFormat="1" applyFont="1" applyFill="1" applyBorder="1" applyAlignment="1" applyProtection="1">
      <alignment horizontal="center" vertical="center" shrinkToFit="1"/>
      <protection locked="0"/>
    </xf>
    <xf numFmtId="176" fontId="24" fillId="4" borderId="81" xfId="2" applyNumberFormat="1" applyFont="1" applyFill="1" applyBorder="1" applyAlignment="1" applyProtection="1">
      <alignment horizontal="center" vertical="center" shrinkToFit="1"/>
      <protection locked="0"/>
    </xf>
    <xf numFmtId="0" fontId="23" fillId="0" borderId="97" xfId="0" applyFont="1" applyBorder="1" applyAlignment="1" applyProtection="1">
      <alignment horizontal="center" vertical="center" shrinkToFit="1"/>
      <protection hidden="1"/>
    </xf>
    <xf numFmtId="0" fontId="23" fillId="0" borderId="82" xfId="0" applyFont="1" applyBorder="1" applyAlignment="1" applyProtection="1">
      <alignment horizontal="center" vertical="center" shrinkToFit="1"/>
      <protection hidden="1"/>
    </xf>
    <xf numFmtId="41" fontId="18" fillId="4" borderId="82" xfId="1" applyFont="1" applyFill="1" applyBorder="1" applyAlignment="1" applyProtection="1">
      <alignment horizontal="center" vertical="center" shrinkToFit="1"/>
      <protection locked="0"/>
    </xf>
    <xf numFmtId="41" fontId="18" fillId="4" borderId="83" xfId="1" applyFont="1" applyFill="1" applyBorder="1" applyAlignment="1" applyProtection="1">
      <alignment horizontal="center" vertical="center" shrinkToFit="1"/>
      <protection locked="0"/>
    </xf>
    <xf numFmtId="41" fontId="24" fillId="5" borderId="87" xfId="1" applyFont="1" applyFill="1" applyBorder="1" applyAlignment="1" applyProtection="1">
      <alignment horizontal="center" vertical="center" shrinkToFit="1"/>
    </xf>
    <xf numFmtId="41" fontId="24" fillId="5" borderId="201" xfId="1" applyFont="1" applyFill="1" applyBorder="1" applyAlignment="1" applyProtection="1">
      <alignment horizontal="center" vertical="center" shrinkToFit="1"/>
    </xf>
    <xf numFmtId="186" fontId="27" fillId="5" borderId="79" xfId="1" applyNumberFormat="1" applyFont="1" applyFill="1" applyBorder="1" applyAlignment="1" applyProtection="1">
      <alignment horizontal="center" vertical="center" shrinkToFit="1"/>
      <protection locked="0"/>
    </xf>
    <xf numFmtId="186" fontId="27" fillId="5" borderId="76" xfId="1" applyNumberFormat="1" applyFont="1" applyFill="1" applyBorder="1" applyAlignment="1" applyProtection="1">
      <alignment horizontal="center" vertical="center" shrinkToFit="1"/>
      <protection locked="0"/>
    </xf>
    <xf numFmtId="49" fontId="37" fillId="0" borderId="0" xfId="1" applyNumberFormat="1" applyFont="1" applyFill="1" applyAlignment="1" applyProtection="1">
      <alignment vertical="center" shrinkToFit="1"/>
      <protection hidden="1"/>
    </xf>
    <xf numFmtId="41" fontId="24" fillId="3" borderId="83" xfId="1" applyFont="1" applyFill="1" applyBorder="1" applyAlignment="1" applyProtection="1">
      <alignment horizontal="center" vertical="center" shrinkToFit="1"/>
      <protection hidden="1"/>
    </xf>
    <xf numFmtId="41" fontId="24" fillId="3" borderId="76" xfId="1" applyFont="1" applyFill="1" applyBorder="1" applyAlignment="1" applyProtection="1">
      <alignment horizontal="center" vertical="center" shrinkToFit="1"/>
      <protection hidden="1"/>
    </xf>
    <xf numFmtId="188" fontId="76" fillId="14" borderId="0" xfId="0" applyNumberFormat="1" applyFont="1" applyFill="1" applyAlignment="1" applyProtection="1">
      <alignment horizontal="center" vertical="center" shrinkToFit="1"/>
      <protection hidden="1"/>
    </xf>
    <xf numFmtId="0" fontId="76" fillId="14" borderId="0" xfId="0" applyFont="1" applyFill="1" applyAlignment="1" applyProtection="1">
      <alignment horizontal="center" vertical="center" shrinkToFit="1"/>
      <protection hidden="1"/>
    </xf>
    <xf numFmtId="49" fontId="71" fillId="0" borderId="0" xfId="1" applyNumberFormat="1" applyFont="1" applyFill="1" applyBorder="1" applyAlignment="1" applyProtection="1">
      <alignment horizontal="left" vertical="center" shrinkToFit="1"/>
      <protection hidden="1"/>
    </xf>
    <xf numFmtId="41" fontId="60" fillId="14" borderId="115" xfId="1" applyFont="1" applyFill="1" applyBorder="1" applyAlignment="1" applyProtection="1">
      <alignment horizontal="left" vertical="center" shrinkToFit="1"/>
      <protection hidden="1"/>
    </xf>
    <xf numFmtId="41" fontId="60" fillId="14" borderId="84" xfId="1" applyFont="1" applyFill="1" applyBorder="1" applyAlignment="1" applyProtection="1">
      <alignment horizontal="left" vertical="center" shrinkToFit="1"/>
      <protection hidden="1"/>
    </xf>
    <xf numFmtId="0" fontId="24" fillId="4" borderId="116" xfId="1" applyNumberFormat="1" applyFont="1" applyFill="1" applyBorder="1" applyAlignment="1" applyProtection="1">
      <alignment horizontal="center" vertical="center" shrinkToFit="1"/>
      <protection locked="0"/>
    </xf>
    <xf numFmtId="0" fontId="24" fillId="4" borderId="115" xfId="1" applyNumberFormat="1" applyFont="1" applyFill="1" applyBorder="1" applyAlignment="1" applyProtection="1">
      <alignment horizontal="center" vertical="center" shrinkToFit="1"/>
      <protection locked="0"/>
    </xf>
    <xf numFmtId="41" fontId="60" fillId="14" borderId="210" xfId="1" applyFont="1" applyFill="1" applyBorder="1" applyAlignment="1" applyProtection="1">
      <alignment horizontal="left" vertical="center" shrinkToFit="1"/>
      <protection hidden="1"/>
    </xf>
    <xf numFmtId="41" fontId="60" fillId="14" borderId="202" xfId="1" applyFont="1" applyFill="1" applyBorder="1" applyAlignment="1" applyProtection="1">
      <alignment horizontal="left" vertical="center" shrinkToFit="1"/>
      <protection hidden="1"/>
    </xf>
    <xf numFmtId="0" fontId="23" fillId="0" borderId="127" xfId="1" applyNumberFormat="1" applyFont="1" applyBorder="1" applyAlignment="1" applyProtection="1">
      <alignment horizontal="left" vertical="center" shrinkToFit="1"/>
      <protection hidden="1"/>
    </xf>
    <xf numFmtId="0" fontId="65" fillId="14" borderId="140" xfId="0" applyFont="1" applyFill="1" applyBorder="1" applyAlignment="1" applyProtection="1">
      <alignment horizontal="center" vertical="center" shrinkToFit="1"/>
      <protection hidden="1"/>
    </xf>
    <xf numFmtId="0" fontId="65" fillId="14" borderId="0" xfId="0" applyFont="1" applyFill="1" applyBorder="1" applyAlignment="1" applyProtection="1">
      <alignment horizontal="center" vertical="center" shrinkToFit="1"/>
      <protection hidden="1"/>
    </xf>
    <xf numFmtId="41" fontId="60" fillId="14" borderId="173" xfId="1" applyFont="1" applyFill="1" applyBorder="1" applyAlignment="1" applyProtection="1">
      <alignment horizontal="left" vertical="center" shrinkToFit="1"/>
      <protection hidden="1"/>
    </xf>
    <xf numFmtId="41" fontId="60" fillId="14" borderId="174" xfId="1" applyFont="1" applyFill="1" applyBorder="1" applyAlignment="1" applyProtection="1">
      <alignment horizontal="left" vertical="center" shrinkToFit="1"/>
      <protection hidden="1"/>
    </xf>
    <xf numFmtId="41" fontId="60" fillId="14" borderId="175" xfId="1" applyFont="1" applyFill="1" applyBorder="1" applyAlignment="1" applyProtection="1">
      <alignment horizontal="left" vertical="center" shrinkToFit="1"/>
      <protection hidden="1"/>
    </xf>
    <xf numFmtId="41" fontId="60" fillId="14" borderId="179" xfId="1" applyFont="1" applyFill="1" applyBorder="1" applyAlignment="1" applyProtection="1">
      <alignment horizontal="left" vertical="center" shrinkToFit="1"/>
      <protection hidden="1"/>
    </xf>
    <xf numFmtId="41" fontId="60" fillId="14" borderId="0" xfId="1" applyFont="1" applyFill="1" applyBorder="1" applyAlignment="1" applyProtection="1">
      <alignment horizontal="left" vertical="center" shrinkToFit="1"/>
      <protection hidden="1"/>
    </xf>
    <xf numFmtId="41" fontId="60" fillId="14" borderId="126" xfId="1" applyFont="1" applyFill="1" applyBorder="1" applyAlignment="1" applyProtection="1">
      <alignment horizontal="left" vertical="center" shrinkToFit="1"/>
      <protection hidden="1"/>
    </xf>
    <xf numFmtId="41" fontId="52" fillId="14" borderId="115" xfId="1" applyFont="1" applyFill="1" applyBorder="1" applyAlignment="1" applyProtection="1">
      <alignment horizontal="left" vertical="center" shrinkToFit="1"/>
      <protection hidden="1"/>
    </xf>
    <xf numFmtId="41" fontId="52" fillId="14" borderId="84" xfId="1" applyFont="1" applyFill="1" applyBorder="1" applyAlignment="1" applyProtection="1">
      <alignment horizontal="left" vertical="center" shrinkToFit="1"/>
      <protection hidden="1"/>
    </xf>
    <xf numFmtId="0" fontId="45" fillId="0" borderId="143" xfId="1" applyNumberFormat="1" applyFont="1" applyBorder="1" applyAlignment="1" applyProtection="1">
      <alignment horizontal="left" vertical="center" shrinkToFit="1"/>
      <protection hidden="1"/>
    </xf>
    <xf numFmtId="41" fontId="24" fillId="0" borderId="177" xfId="1" applyFont="1" applyBorder="1" applyAlignment="1" applyProtection="1">
      <alignment horizontal="center" vertical="center" shrinkToFit="1"/>
      <protection locked="0"/>
    </xf>
    <xf numFmtId="41" fontId="24" fillId="0" borderId="178" xfId="1" applyFont="1" applyBorder="1" applyAlignment="1" applyProtection="1">
      <alignment horizontal="center" vertical="center" shrinkToFit="1"/>
      <protection locked="0"/>
    </xf>
    <xf numFmtId="41" fontId="60" fillId="14" borderId="76" xfId="1" applyFont="1" applyFill="1" applyBorder="1" applyAlignment="1" applyProtection="1">
      <alignment horizontal="left" vertical="center" shrinkToFit="1"/>
      <protection hidden="1"/>
    </xf>
    <xf numFmtId="41" fontId="61" fillId="14" borderId="76" xfId="1" applyFont="1" applyFill="1" applyBorder="1" applyAlignment="1" applyProtection="1">
      <alignment horizontal="right" vertical="center" shrinkToFit="1"/>
      <protection hidden="1"/>
    </xf>
    <xf numFmtId="41" fontId="61" fillId="14" borderId="77" xfId="1" applyFont="1" applyFill="1" applyBorder="1" applyAlignment="1" applyProtection="1">
      <alignment horizontal="right" vertical="center" shrinkToFit="1"/>
      <protection hidden="1"/>
    </xf>
    <xf numFmtId="41" fontId="60" fillId="14" borderId="77" xfId="1" applyFont="1" applyFill="1" applyBorder="1" applyAlignment="1" applyProtection="1">
      <alignment horizontal="left" vertical="center" shrinkToFit="1"/>
      <protection hidden="1"/>
    </xf>
    <xf numFmtId="41" fontId="60" fillId="12" borderId="76" xfId="1" applyFont="1" applyFill="1" applyBorder="1" applyAlignment="1" applyProtection="1">
      <alignment horizontal="left" vertical="center" shrinkToFit="1"/>
      <protection hidden="1"/>
    </xf>
    <xf numFmtId="41" fontId="52" fillId="14" borderId="115" xfId="1" applyFont="1" applyFill="1" applyBorder="1" applyAlignment="1" applyProtection="1">
      <alignment horizontal="left" vertical="center" wrapText="1" shrinkToFit="1"/>
      <protection hidden="1"/>
    </xf>
    <xf numFmtId="41" fontId="52" fillId="14" borderId="85" xfId="1" applyFont="1" applyFill="1" applyBorder="1" applyAlignment="1" applyProtection="1">
      <alignment horizontal="left" vertical="center" shrinkToFit="1"/>
      <protection hidden="1"/>
    </xf>
    <xf numFmtId="41" fontId="52" fillId="14" borderId="80" xfId="1" applyFont="1" applyFill="1" applyBorder="1" applyAlignment="1" applyProtection="1">
      <alignment horizontal="left" vertical="center" shrinkToFit="1"/>
      <protection hidden="1"/>
    </xf>
    <xf numFmtId="176" fontId="62" fillId="0" borderId="0" xfId="2" applyNumberFormat="1" applyFont="1" applyBorder="1" applyAlignment="1" applyProtection="1">
      <alignment horizontal="center" vertical="center"/>
      <protection hidden="1"/>
    </xf>
    <xf numFmtId="6" fontId="62" fillId="0" borderId="0" xfId="1" applyNumberFormat="1" applyFont="1" applyBorder="1" applyAlignment="1" applyProtection="1">
      <alignment horizontal="center" vertical="center"/>
      <protection hidden="1"/>
    </xf>
    <xf numFmtId="41" fontId="60" fillId="14" borderId="85" xfId="1" applyFont="1" applyFill="1" applyBorder="1" applyAlignment="1" applyProtection="1">
      <alignment horizontal="left" vertical="center" shrinkToFit="1"/>
      <protection hidden="1"/>
    </xf>
    <xf numFmtId="41" fontId="60" fillId="14" borderId="145" xfId="1" applyFont="1" applyFill="1" applyBorder="1" applyAlignment="1" applyProtection="1">
      <alignment horizontal="left" vertical="center" shrinkToFit="1"/>
      <protection hidden="1"/>
    </xf>
    <xf numFmtId="41" fontId="24" fillId="3" borderId="119" xfId="1" applyFont="1" applyFill="1" applyBorder="1" applyAlignment="1" applyProtection="1">
      <alignment horizontal="center" vertical="center" shrinkToFit="1"/>
      <protection hidden="1"/>
    </xf>
    <xf numFmtId="41" fontId="24" fillId="3" borderId="120" xfId="1" applyFont="1" applyFill="1" applyBorder="1" applyAlignment="1" applyProtection="1">
      <alignment horizontal="center" vertical="center" shrinkToFit="1"/>
      <protection hidden="1"/>
    </xf>
    <xf numFmtId="41" fontId="52" fillId="14" borderId="134" xfId="1" applyFont="1" applyFill="1" applyBorder="1" applyAlignment="1" applyProtection="1">
      <alignment horizontal="left" vertical="center" shrinkToFit="1"/>
      <protection hidden="1"/>
    </xf>
    <xf numFmtId="41" fontId="60" fillId="14" borderId="80" xfId="1" applyFont="1" applyFill="1" applyBorder="1" applyAlignment="1" applyProtection="1">
      <alignment horizontal="left" vertical="center" shrinkToFit="1"/>
      <protection hidden="1"/>
    </xf>
    <xf numFmtId="0" fontId="35" fillId="0" borderId="187" xfId="0" applyFont="1" applyBorder="1" applyAlignment="1" applyProtection="1">
      <alignment horizontal="left" vertical="center"/>
      <protection hidden="1"/>
    </xf>
    <xf numFmtId="0" fontId="35" fillId="0" borderId="0" xfId="0" applyFont="1" applyBorder="1" applyAlignment="1" applyProtection="1">
      <alignment horizontal="left" vertical="center"/>
      <protection hidden="1"/>
    </xf>
    <xf numFmtId="177" fontId="18" fillId="0" borderId="171" xfId="2" applyNumberFormat="1" applyFont="1" applyFill="1" applyBorder="1" applyAlignment="1" applyProtection="1">
      <alignment horizontal="center" vertical="center" shrinkToFit="1"/>
      <protection locked="0"/>
    </xf>
    <xf numFmtId="177" fontId="18" fillId="0" borderId="169" xfId="2" applyNumberFormat="1" applyFont="1" applyFill="1" applyBorder="1" applyAlignment="1" applyProtection="1">
      <alignment horizontal="center" vertical="center" shrinkToFit="1"/>
      <protection locked="0"/>
    </xf>
    <xf numFmtId="177" fontId="18" fillId="0" borderId="172" xfId="2" applyNumberFormat="1" applyFont="1" applyFill="1" applyBorder="1" applyAlignment="1" applyProtection="1">
      <alignment horizontal="center" vertical="center" shrinkToFit="1"/>
      <protection locked="0"/>
    </xf>
    <xf numFmtId="0" fontId="66" fillId="14" borderId="187" xfId="0" applyFont="1" applyFill="1" applyBorder="1" applyAlignment="1" applyProtection="1">
      <alignment horizontal="center" vertical="center" shrinkToFit="1"/>
      <protection hidden="1"/>
    </xf>
    <xf numFmtId="0" fontId="66" fillId="14" borderId="188" xfId="0" applyFont="1" applyFill="1" applyBorder="1" applyAlignment="1" applyProtection="1">
      <alignment horizontal="center" vertical="center" shrinkToFit="1"/>
      <protection hidden="1"/>
    </xf>
    <xf numFmtId="0" fontId="35" fillId="0" borderId="188" xfId="0" applyFont="1" applyBorder="1" applyAlignment="1" applyProtection="1">
      <alignment horizontal="left" vertical="center"/>
      <protection hidden="1"/>
    </xf>
    <xf numFmtId="0" fontId="35" fillId="0" borderId="140" xfId="0" applyFont="1" applyBorder="1" applyAlignment="1" applyProtection="1">
      <alignment horizontal="left" vertical="center"/>
      <protection hidden="1"/>
    </xf>
    <xf numFmtId="0" fontId="37" fillId="0" borderId="139" xfId="0" applyFont="1" applyBorder="1" applyAlignment="1" applyProtection="1">
      <alignment horizontal="left" vertical="center" shrinkToFit="1"/>
      <protection hidden="1"/>
    </xf>
    <xf numFmtId="0" fontId="23" fillId="0" borderId="139" xfId="0" applyFont="1" applyBorder="1" applyAlignment="1" applyProtection="1">
      <alignment horizontal="left" vertical="center" shrinkToFit="1"/>
      <protection hidden="1"/>
    </xf>
    <xf numFmtId="0" fontId="38" fillId="0" borderId="0" xfId="0" applyFont="1" applyBorder="1" applyAlignment="1" applyProtection="1">
      <alignment horizontal="right" vertical="center" shrinkToFit="1"/>
      <protection hidden="1"/>
    </xf>
    <xf numFmtId="0" fontId="35" fillId="0" borderId="0" xfId="0" applyFont="1" applyBorder="1" applyAlignment="1" applyProtection="1">
      <alignment horizontal="left" vertical="top" shrinkToFit="1"/>
      <protection hidden="1"/>
    </xf>
    <xf numFmtId="3" fontId="26" fillId="0" borderId="109" xfId="0" applyNumberFormat="1" applyFont="1" applyBorder="1" applyAlignment="1" applyProtection="1">
      <alignment horizontal="center" vertical="center" shrinkToFit="1"/>
      <protection hidden="1"/>
    </xf>
    <xf numFmtId="192" fontId="26" fillId="0" borderId="109" xfId="0" applyNumberFormat="1" applyFont="1" applyBorder="1" applyAlignment="1" applyProtection="1">
      <alignment horizontal="left" vertical="center" shrinkToFit="1"/>
      <protection hidden="1"/>
    </xf>
    <xf numFmtId="0" fontId="18" fillId="0" borderId="0" xfId="0" applyFont="1" applyFill="1" applyAlignment="1" applyProtection="1">
      <alignment horizontal="center" vertical="center" shrinkToFit="1"/>
      <protection hidden="1"/>
    </xf>
    <xf numFmtId="0" fontId="18" fillId="4" borderId="116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115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165" xfId="1" applyNumberFormat="1" applyFont="1" applyFill="1" applyBorder="1" applyAlignment="1" applyProtection="1">
      <alignment horizontal="center" vertical="center" shrinkToFit="1"/>
      <protection locked="0"/>
    </xf>
    <xf numFmtId="41" fontId="60" fillId="14" borderId="211" xfId="1" applyFont="1" applyFill="1" applyBorder="1" applyAlignment="1" applyProtection="1">
      <alignment horizontal="left" vertical="center" shrinkToFit="1"/>
      <protection hidden="1"/>
    </xf>
    <xf numFmtId="41" fontId="60" fillId="14" borderId="212" xfId="1" applyFont="1" applyFill="1" applyBorder="1" applyAlignment="1" applyProtection="1">
      <alignment horizontal="left" vertical="center" shrinkToFit="1"/>
      <protection hidden="1"/>
    </xf>
    <xf numFmtId="180" fontId="24" fillId="5" borderId="213" xfId="0" applyNumberFormat="1" applyFont="1" applyFill="1" applyBorder="1" applyAlignment="1" applyProtection="1">
      <alignment horizontal="center" vertical="center" shrinkToFit="1"/>
      <protection locked="0"/>
    </xf>
    <xf numFmtId="180" fontId="24" fillId="5" borderId="211" xfId="0" applyNumberFormat="1" applyFont="1" applyFill="1" applyBorder="1" applyAlignment="1" applyProtection="1">
      <alignment horizontal="center" vertical="center" shrinkToFit="1"/>
      <protection locked="0"/>
    </xf>
    <xf numFmtId="41" fontId="52" fillId="14" borderId="168" xfId="1" applyFont="1" applyFill="1" applyBorder="1" applyAlignment="1" applyProtection="1">
      <alignment horizontal="left" vertical="center" shrinkToFit="1"/>
      <protection hidden="1"/>
    </xf>
    <xf numFmtId="41" fontId="52" fillId="14" borderId="169" xfId="1" applyFont="1" applyFill="1" applyBorder="1" applyAlignment="1" applyProtection="1">
      <alignment horizontal="left" vertical="center" shrinkToFit="1"/>
      <protection hidden="1"/>
    </xf>
    <xf numFmtId="41" fontId="52" fillId="14" borderId="170" xfId="1" applyFont="1" applyFill="1" applyBorder="1" applyAlignment="1" applyProtection="1">
      <alignment horizontal="left" vertical="center" shrinkToFit="1"/>
      <protection hidden="1"/>
    </xf>
    <xf numFmtId="0" fontId="18" fillId="4" borderId="166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167" xfId="1" applyNumberFormat="1" applyFont="1" applyFill="1" applyBorder="1" applyAlignment="1" applyProtection="1">
      <alignment horizontal="center" vertical="center" shrinkToFit="1"/>
      <protection locked="0"/>
    </xf>
    <xf numFmtId="180" fontId="24" fillId="5" borderId="116" xfId="0" applyNumberFormat="1" applyFont="1" applyFill="1" applyBorder="1" applyAlignment="1" applyProtection="1">
      <alignment horizontal="center" vertical="center" shrinkToFit="1"/>
      <protection locked="0"/>
    </xf>
    <xf numFmtId="180" fontId="24" fillId="5" borderId="115" xfId="0" applyNumberFormat="1" applyFont="1" applyFill="1" applyBorder="1" applyAlignment="1" applyProtection="1">
      <alignment horizontal="center" vertical="center" shrinkToFit="1"/>
      <protection locked="0"/>
    </xf>
    <xf numFmtId="10" fontId="24" fillId="0" borderId="177" xfId="2" applyNumberFormat="1" applyFont="1" applyBorder="1" applyAlignment="1" applyProtection="1">
      <alignment horizontal="center" vertical="center" shrinkToFit="1"/>
      <protection locked="0"/>
    </xf>
    <xf numFmtId="177" fontId="24" fillId="4" borderId="92" xfId="2" applyNumberFormat="1" applyFont="1" applyFill="1" applyBorder="1" applyAlignment="1" applyProtection="1">
      <alignment horizontal="center" vertical="center" shrinkToFit="1"/>
      <protection locked="0"/>
    </xf>
    <xf numFmtId="177" fontId="24" fillId="4" borderId="93" xfId="2" applyNumberFormat="1" applyFont="1" applyFill="1" applyBorder="1" applyAlignment="1" applyProtection="1">
      <alignment horizontal="center" vertical="center" shrinkToFit="1"/>
      <protection locked="0"/>
    </xf>
    <xf numFmtId="41" fontId="25" fillId="0" borderId="196" xfId="1" applyFont="1" applyFill="1" applyBorder="1" applyAlignment="1" applyProtection="1">
      <alignment horizontal="left" vertical="center" shrinkToFit="1"/>
      <protection hidden="1"/>
    </xf>
    <xf numFmtId="41" fontId="25" fillId="0" borderId="86" xfId="1" applyFont="1" applyFill="1" applyBorder="1" applyAlignment="1" applyProtection="1">
      <alignment horizontal="left" vertical="center" shrinkToFit="1"/>
      <protection hidden="1"/>
    </xf>
    <xf numFmtId="186" fontId="24" fillId="5" borderId="224" xfId="1" applyNumberFormat="1" applyFont="1" applyFill="1" applyBorder="1" applyAlignment="1" applyProtection="1">
      <alignment horizontal="center" vertical="center" shrinkToFit="1"/>
      <protection locked="0"/>
    </xf>
    <xf numFmtId="186" fontId="24" fillId="5" borderId="225" xfId="1" applyNumberFormat="1" applyFont="1" applyFill="1" applyBorder="1" applyAlignment="1" applyProtection="1">
      <alignment horizontal="center" vertical="center" shrinkToFit="1"/>
      <protection locked="0"/>
    </xf>
    <xf numFmtId="49" fontId="48" fillId="0" borderId="0" xfId="1" applyNumberFormat="1" applyFont="1" applyFill="1" applyAlignment="1" applyProtection="1">
      <alignment vertical="center" shrinkToFit="1"/>
      <protection hidden="1"/>
    </xf>
    <xf numFmtId="0" fontId="18" fillId="3" borderId="91" xfId="0" applyFont="1" applyFill="1" applyBorder="1" applyAlignment="1" applyProtection="1">
      <alignment horizontal="center" vertical="center" shrinkToFit="1"/>
      <protection locked="0"/>
    </xf>
    <xf numFmtId="0" fontId="18" fillId="3" borderId="85" xfId="0" applyFont="1" applyFill="1" applyBorder="1" applyAlignment="1" applyProtection="1">
      <alignment horizontal="center" vertical="center" shrinkToFit="1"/>
      <protection locked="0"/>
    </xf>
    <xf numFmtId="41" fontId="24" fillId="0" borderId="196" xfId="1" applyFont="1" applyBorder="1" applyAlignment="1" applyProtection="1">
      <alignment horizontal="center" vertical="center" shrinkToFit="1"/>
      <protection hidden="1"/>
    </xf>
    <xf numFmtId="41" fontId="24" fillId="0" borderId="197" xfId="1" applyFont="1" applyBorder="1" applyAlignment="1" applyProtection="1">
      <alignment horizontal="center" vertical="center" shrinkToFit="1"/>
      <protection hidden="1"/>
    </xf>
    <xf numFmtId="41" fontId="24" fillId="0" borderId="202" xfId="1" applyFont="1" applyBorder="1" applyAlignment="1" applyProtection="1">
      <alignment horizontal="center" vertical="center" shrinkToFit="1"/>
      <protection hidden="1"/>
    </xf>
    <xf numFmtId="41" fontId="24" fillId="0" borderId="203" xfId="1" applyFont="1" applyBorder="1" applyAlignment="1" applyProtection="1">
      <alignment horizontal="center" vertical="center" shrinkToFit="1"/>
      <protection hidden="1"/>
    </xf>
    <xf numFmtId="0" fontId="18" fillId="5" borderId="91" xfId="0" applyFont="1" applyFill="1" applyBorder="1" applyAlignment="1" applyProtection="1">
      <alignment horizontal="center" vertical="center" shrinkToFit="1"/>
      <protection locked="0" hidden="1"/>
    </xf>
    <xf numFmtId="0" fontId="18" fillId="5" borderId="85" xfId="0" applyFont="1" applyFill="1" applyBorder="1" applyAlignment="1" applyProtection="1">
      <alignment horizontal="center" vertical="center" shrinkToFit="1"/>
      <protection locked="0" hidden="1"/>
    </xf>
    <xf numFmtId="0" fontId="18" fillId="5" borderId="80" xfId="0" applyFont="1" applyFill="1" applyBorder="1" applyAlignment="1" applyProtection="1">
      <alignment horizontal="center" vertical="center" shrinkToFit="1"/>
      <protection locked="0" hidden="1"/>
    </xf>
    <xf numFmtId="41" fontId="60" fillId="14" borderId="207" xfId="1" applyFont="1" applyFill="1" applyBorder="1" applyAlignment="1" applyProtection="1">
      <alignment horizontal="left" vertical="center" shrinkToFit="1"/>
      <protection hidden="1"/>
    </xf>
    <xf numFmtId="41" fontId="60" fillId="14" borderId="208" xfId="1" applyFont="1" applyFill="1" applyBorder="1" applyAlignment="1" applyProtection="1">
      <alignment horizontal="left" vertical="center" shrinkToFit="1"/>
      <protection hidden="1"/>
    </xf>
    <xf numFmtId="41" fontId="52" fillId="14" borderId="193" xfId="1" applyFont="1" applyFill="1" applyBorder="1" applyAlignment="1" applyProtection="1">
      <alignment horizontal="left" vertical="center" shrinkToFit="1"/>
      <protection hidden="1"/>
    </xf>
    <xf numFmtId="41" fontId="52" fillId="14" borderId="194" xfId="1" applyFont="1" applyFill="1" applyBorder="1" applyAlignment="1" applyProtection="1">
      <alignment horizontal="left" vertical="center" shrinkToFit="1"/>
      <protection hidden="1"/>
    </xf>
    <xf numFmtId="41" fontId="18" fillId="0" borderId="87" xfId="1" applyFont="1" applyFill="1" applyBorder="1" applyAlignment="1" applyProtection="1">
      <alignment horizontal="left" vertical="center" shrinkToFit="1"/>
      <protection hidden="1"/>
    </xf>
    <xf numFmtId="0" fontId="24" fillId="5" borderId="208" xfId="0" applyFont="1" applyFill="1" applyBorder="1" applyAlignment="1" applyProtection="1">
      <alignment horizontal="center" vertical="center" shrinkToFit="1"/>
      <protection locked="0"/>
    </xf>
    <xf numFmtId="0" fontId="24" fillId="5" borderId="209" xfId="0" applyFont="1" applyFill="1" applyBorder="1" applyAlignment="1" applyProtection="1">
      <alignment horizontal="center" vertical="center" shrinkToFit="1"/>
      <protection locked="0"/>
    </xf>
    <xf numFmtId="41" fontId="25" fillId="14" borderId="76" xfId="1" applyFont="1" applyFill="1" applyBorder="1" applyAlignment="1" applyProtection="1">
      <alignment horizontal="left" vertical="center" shrinkToFit="1"/>
      <protection hidden="1"/>
    </xf>
    <xf numFmtId="41" fontId="25" fillId="14" borderId="77" xfId="1" applyFont="1" applyFill="1" applyBorder="1" applyAlignment="1" applyProtection="1">
      <alignment horizontal="left" vertical="center" shrinkToFit="1"/>
      <protection hidden="1"/>
    </xf>
    <xf numFmtId="41" fontId="25" fillId="4" borderId="79" xfId="1" applyFont="1" applyFill="1" applyBorder="1" applyAlignment="1" applyProtection="1">
      <alignment horizontal="center" vertical="center" shrinkToFit="1"/>
      <protection locked="0"/>
    </xf>
    <xf numFmtId="41" fontId="25" fillId="4" borderId="76" xfId="1" applyFont="1" applyFill="1" applyBorder="1" applyAlignment="1" applyProtection="1">
      <alignment horizontal="center" vertical="center" shrinkToFit="1"/>
      <protection locked="0"/>
    </xf>
    <xf numFmtId="41" fontId="24" fillId="3" borderId="229" xfId="1" applyFont="1" applyFill="1" applyBorder="1" applyAlignment="1" applyProtection="1">
      <alignment horizontal="center" vertical="center" shrinkToFit="1"/>
      <protection hidden="1"/>
    </xf>
    <xf numFmtId="41" fontId="24" fillId="3" borderId="222" xfId="1" applyFont="1" applyFill="1" applyBorder="1" applyAlignment="1" applyProtection="1">
      <alignment horizontal="center" vertical="center" shrinkToFit="1"/>
      <protection hidden="1"/>
    </xf>
    <xf numFmtId="41" fontId="24" fillId="3" borderId="137" xfId="1" applyFont="1" applyFill="1" applyBorder="1" applyAlignment="1" applyProtection="1">
      <alignment horizontal="center" vertical="center" shrinkToFit="1"/>
      <protection hidden="1"/>
    </xf>
    <xf numFmtId="41" fontId="24" fillId="3" borderId="0" xfId="1" applyFont="1" applyFill="1" applyBorder="1" applyAlignment="1" applyProtection="1">
      <alignment horizontal="center" vertical="center" shrinkToFit="1"/>
      <protection hidden="1"/>
    </xf>
    <xf numFmtId="177" fontId="18" fillId="3" borderId="174" xfId="2" applyNumberFormat="1" applyFont="1" applyFill="1" applyBorder="1" applyAlignment="1" applyProtection="1">
      <alignment horizontal="center" vertical="center" shrinkToFit="1"/>
      <protection hidden="1"/>
    </xf>
    <xf numFmtId="177" fontId="18" fillId="3" borderId="85" xfId="2" applyNumberFormat="1" applyFont="1" applyFill="1" applyBorder="1" applyAlignment="1" applyProtection="1">
      <alignment horizontal="center" vertical="center" shrinkToFit="1"/>
      <protection hidden="1"/>
    </xf>
    <xf numFmtId="0" fontId="24" fillId="5" borderId="79" xfId="1" applyNumberFormat="1" applyFont="1" applyFill="1" applyBorder="1" applyAlignment="1" applyProtection="1">
      <alignment horizontal="center" vertical="center" shrinkToFit="1"/>
      <protection locked="0"/>
    </xf>
    <xf numFmtId="0" fontId="24" fillId="5" borderId="76" xfId="1" applyNumberFormat="1" applyFont="1" applyFill="1" applyBorder="1" applyAlignment="1" applyProtection="1">
      <alignment horizontal="center" vertical="center" shrinkToFit="1"/>
      <protection locked="0"/>
    </xf>
    <xf numFmtId="0" fontId="42" fillId="0" borderId="184" xfId="0" applyFont="1" applyBorder="1" applyAlignment="1" applyProtection="1">
      <alignment horizontal="center" vertical="center" shrinkToFit="1"/>
      <protection hidden="1"/>
    </xf>
    <xf numFmtId="0" fontId="42" fillId="0" borderId="185" xfId="0" applyFont="1" applyBorder="1" applyAlignment="1" applyProtection="1">
      <alignment horizontal="center" vertical="center" shrinkToFit="1"/>
      <protection hidden="1"/>
    </xf>
    <xf numFmtId="10" fontId="42" fillId="0" borderId="185" xfId="2" applyNumberFormat="1" applyFont="1" applyBorder="1" applyAlignment="1" applyProtection="1">
      <alignment horizontal="center" vertical="center" shrinkToFit="1"/>
      <protection hidden="1"/>
    </xf>
    <xf numFmtId="41" fontId="42" fillId="0" borderId="185" xfId="1" applyFont="1" applyBorder="1" applyAlignment="1" applyProtection="1">
      <alignment horizontal="center" vertical="center" shrinkToFit="1"/>
      <protection hidden="1"/>
    </xf>
    <xf numFmtId="41" fontId="42" fillId="0" borderId="186" xfId="1" applyFont="1" applyBorder="1" applyAlignment="1" applyProtection="1">
      <alignment horizontal="center" vertical="center" shrinkToFit="1"/>
      <protection hidden="1"/>
    </xf>
    <xf numFmtId="0" fontId="36" fillId="0" borderId="155" xfId="0" applyFont="1" applyBorder="1" applyAlignment="1" applyProtection="1">
      <alignment horizontal="center" vertical="center" shrinkToFit="1"/>
      <protection hidden="1"/>
    </xf>
    <xf numFmtId="0" fontId="36" fillId="0" borderId="133" xfId="0" applyFont="1" applyBorder="1" applyAlignment="1" applyProtection="1">
      <alignment horizontal="center" vertical="center" shrinkToFit="1"/>
      <protection hidden="1"/>
    </xf>
    <xf numFmtId="10" fontId="36" fillId="0" borderId="133" xfId="2" applyNumberFormat="1" applyFont="1" applyBorder="1" applyAlignment="1" applyProtection="1">
      <alignment horizontal="center" vertical="center" shrinkToFit="1"/>
      <protection hidden="1"/>
    </xf>
    <xf numFmtId="41" fontId="36" fillId="0" borderId="133" xfId="1" applyFont="1" applyBorder="1" applyAlignment="1" applyProtection="1">
      <alignment horizontal="center" vertical="center" shrinkToFit="1"/>
      <protection hidden="1"/>
    </xf>
    <xf numFmtId="41" fontId="36" fillId="0" borderId="180" xfId="1" applyFont="1" applyBorder="1" applyAlignment="1" applyProtection="1">
      <alignment horizontal="center" vertical="center" shrinkToFit="1"/>
      <protection hidden="1"/>
    </xf>
    <xf numFmtId="176" fontId="18" fillId="0" borderId="117" xfId="2" applyNumberFormat="1" applyFont="1" applyBorder="1" applyAlignment="1" applyProtection="1">
      <alignment horizontal="center" vertical="center" shrinkToFit="1"/>
      <protection locked="0"/>
    </xf>
    <xf numFmtId="41" fontId="24" fillId="4" borderId="81" xfId="1" applyFont="1" applyFill="1" applyBorder="1" applyAlignment="1" applyProtection="1">
      <alignment horizontal="center" vertical="center" shrinkToFit="1"/>
      <protection locked="0"/>
    </xf>
    <xf numFmtId="41" fontId="24" fillId="4" borderId="82" xfId="1" applyFont="1" applyFill="1" applyBorder="1" applyAlignment="1" applyProtection="1">
      <alignment horizontal="center" vertical="center" shrinkToFit="1"/>
      <protection locked="0"/>
    </xf>
    <xf numFmtId="41" fontId="18" fillId="0" borderId="119" xfId="1" applyFont="1" applyBorder="1" applyAlignment="1" applyProtection="1">
      <alignment horizontal="center" vertical="center" shrinkToFit="1"/>
      <protection locked="0"/>
    </xf>
    <xf numFmtId="41" fontId="18" fillId="0" borderId="120" xfId="1" applyFont="1" applyBorder="1" applyAlignment="1" applyProtection="1">
      <alignment horizontal="center" vertical="center" shrinkToFit="1"/>
      <protection locked="0"/>
    </xf>
    <xf numFmtId="41" fontId="18" fillId="0" borderId="117" xfId="1" applyFont="1" applyBorder="1" applyAlignment="1" applyProtection="1">
      <alignment horizontal="center" vertical="center" shrinkToFit="1"/>
      <protection locked="0"/>
    </xf>
    <xf numFmtId="41" fontId="18" fillId="0" borderId="118" xfId="1" applyFont="1" applyBorder="1" applyAlignment="1" applyProtection="1">
      <alignment horizontal="center" vertical="center" shrinkToFit="1"/>
      <protection locked="0"/>
    </xf>
    <xf numFmtId="0" fontId="18" fillId="5" borderId="116" xfId="0" applyFont="1" applyFill="1" applyBorder="1" applyAlignment="1" applyProtection="1">
      <alignment horizontal="center" vertical="center" shrinkToFit="1"/>
      <protection locked="0"/>
    </xf>
    <xf numFmtId="0" fontId="18" fillId="5" borderId="115" xfId="0" applyFont="1" applyFill="1" applyBorder="1" applyAlignment="1" applyProtection="1">
      <alignment horizontal="center" vertical="center" shrinkToFit="1"/>
      <protection locked="0"/>
    </xf>
    <xf numFmtId="0" fontId="18" fillId="5" borderId="91" xfId="0" applyFont="1" applyFill="1" applyBorder="1" applyAlignment="1" applyProtection="1">
      <alignment horizontal="center" vertical="center" shrinkToFit="1"/>
      <protection locked="0"/>
    </xf>
    <xf numFmtId="0" fontId="18" fillId="5" borderId="85" xfId="0" applyFont="1" applyFill="1" applyBorder="1" applyAlignment="1" applyProtection="1">
      <alignment horizontal="center" vertical="center" shrinkToFit="1"/>
      <protection locked="0"/>
    </xf>
    <xf numFmtId="0" fontId="18" fillId="5" borderId="176" xfId="0" applyFont="1" applyFill="1" applyBorder="1" applyAlignment="1" applyProtection="1">
      <alignment horizontal="center" vertical="center" shrinkToFit="1"/>
      <protection locked="0"/>
    </xf>
    <xf numFmtId="0" fontId="18" fillId="5" borderId="177" xfId="0" applyFont="1" applyFill="1" applyBorder="1" applyAlignment="1" applyProtection="1">
      <alignment horizontal="center" vertical="center" shrinkToFit="1"/>
      <protection locked="0"/>
    </xf>
    <xf numFmtId="6" fontId="27" fillId="3" borderId="150" xfId="1" applyNumberFormat="1" applyFont="1" applyFill="1" applyBorder="1" applyAlignment="1" applyProtection="1">
      <alignment horizontal="center" vertical="center" shrinkToFit="1"/>
      <protection hidden="1"/>
    </xf>
    <xf numFmtId="41" fontId="27" fillId="3" borderId="150" xfId="1" applyFont="1" applyFill="1" applyBorder="1" applyAlignment="1" applyProtection="1">
      <alignment horizontal="center" vertical="center" shrinkToFit="1"/>
      <protection hidden="1"/>
    </xf>
    <xf numFmtId="41" fontId="27" fillId="3" borderId="154" xfId="1" applyFont="1" applyFill="1" applyBorder="1" applyAlignment="1" applyProtection="1">
      <alignment horizontal="center" vertical="center" shrinkToFit="1"/>
      <protection hidden="1"/>
    </xf>
    <xf numFmtId="180" fontId="18" fillId="3" borderId="134" xfId="1" applyNumberFormat="1" applyFont="1" applyFill="1" applyBorder="1" applyAlignment="1" applyProtection="1">
      <alignment horizontal="center" vertical="center" shrinkToFit="1"/>
      <protection hidden="1"/>
    </xf>
    <xf numFmtId="180" fontId="18" fillId="3" borderId="138" xfId="1" applyNumberFormat="1" applyFont="1" applyFill="1" applyBorder="1" applyAlignment="1" applyProtection="1">
      <alignment horizontal="center" vertical="center" shrinkToFit="1"/>
      <protection hidden="1"/>
    </xf>
    <xf numFmtId="0" fontId="44" fillId="0" borderId="85" xfId="0" applyFont="1" applyBorder="1" applyAlignment="1" applyProtection="1">
      <alignment horizontal="center" vertical="top" shrinkToFit="1"/>
      <protection hidden="1"/>
    </xf>
    <xf numFmtId="41" fontId="24" fillId="0" borderId="163" xfId="1" applyFont="1" applyBorder="1" applyAlignment="1" applyProtection="1">
      <alignment horizontal="center" vertical="center" shrinkToFit="1"/>
      <protection hidden="1"/>
    </xf>
    <xf numFmtId="41" fontId="24" fillId="0" borderId="164" xfId="1" applyFont="1" applyBorder="1" applyAlignment="1" applyProtection="1">
      <alignment horizontal="center" vertical="center" shrinkToFit="1"/>
      <protection hidden="1"/>
    </xf>
    <xf numFmtId="41" fontId="52" fillId="14" borderId="135" xfId="1" applyFont="1" applyFill="1" applyBorder="1" applyAlignment="1" applyProtection="1">
      <alignment horizontal="left" vertical="center" shrinkToFit="1"/>
      <protection hidden="1"/>
    </xf>
    <xf numFmtId="41" fontId="18" fillId="0" borderId="122" xfId="1" applyFont="1" applyBorder="1" applyAlignment="1" applyProtection="1">
      <alignment horizontal="center" vertical="center" shrinkToFit="1"/>
      <protection hidden="1"/>
    </xf>
    <xf numFmtId="41" fontId="18" fillId="0" borderId="125" xfId="1" applyFont="1" applyBorder="1" applyAlignment="1" applyProtection="1">
      <alignment horizontal="center" vertical="center" shrinkToFit="1"/>
      <protection hidden="1"/>
    </xf>
    <xf numFmtId="0" fontId="24" fillId="5" borderId="202" xfId="0" applyFont="1" applyFill="1" applyBorder="1" applyAlignment="1" applyProtection="1">
      <alignment horizontal="center" vertical="center" shrinkToFit="1"/>
      <protection locked="0"/>
    </xf>
    <xf numFmtId="0" fontId="24" fillId="5" borderId="203" xfId="0" applyFont="1" applyFill="1" applyBorder="1" applyAlignment="1" applyProtection="1">
      <alignment horizontal="center" vertical="center" shrinkToFit="1"/>
      <protection locked="0"/>
    </xf>
    <xf numFmtId="41" fontId="24" fillId="0" borderId="86" xfId="1" applyFont="1" applyBorder="1" applyAlignment="1" applyProtection="1">
      <alignment horizontal="center" vertical="center" shrinkToFit="1"/>
      <protection hidden="1"/>
    </xf>
    <xf numFmtId="41" fontId="24" fillId="0" borderId="121" xfId="1" applyFont="1" applyBorder="1" applyAlignment="1" applyProtection="1">
      <alignment horizontal="center" vertical="center" shrinkToFit="1"/>
      <protection hidden="1"/>
    </xf>
    <xf numFmtId="0" fontId="23" fillId="0" borderId="132" xfId="0" applyFont="1" applyBorder="1" applyAlignment="1" applyProtection="1">
      <alignment horizontal="center" vertical="center" shrinkToFit="1"/>
      <protection hidden="1"/>
    </xf>
    <xf numFmtId="0" fontId="23" fillId="0" borderId="134" xfId="0" applyFont="1" applyBorder="1" applyAlignment="1" applyProtection="1">
      <alignment horizontal="center" vertical="center" shrinkToFit="1"/>
      <protection hidden="1"/>
    </xf>
    <xf numFmtId="0" fontId="23" fillId="0" borderId="124" xfId="0" applyFont="1" applyBorder="1" applyAlignment="1" applyProtection="1">
      <alignment horizontal="center" vertical="center" shrinkToFit="1"/>
      <protection hidden="1"/>
    </xf>
    <xf numFmtId="0" fontId="23" fillId="0" borderId="122" xfId="0" applyFont="1" applyBorder="1" applyAlignment="1" applyProtection="1">
      <alignment horizontal="center" vertical="center" shrinkToFit="1"/>
      <protection hidden="1"/>
    </xf>
    <xf numFmtId="41" fontId="24" fillId="4" borderId="86" xfId="1" applyFont="1" applyFill="1" applyBorder="1" applyAlignment="1" applyProtection="1">
      <alignment horizontal="center" vertical="center" shrinkToFit="1"/>
      <protection locked="0"/>
    </xf>
    <xf numFmtId="41" fontId="24" fillId="4" borderId="199" xfId="1" applyFont="1" applyFill="1" applyBorder="1" applyAlignment="1" applyProtection="1">
      <alignment horizontal="center" vertical="center" shrinkToFit="1"/>
      <protection locked="0"/>
    </xf>
    <xf numFmtId="0" fontId="24" fillId="0" borderId="205" xfId="0" applyFont="1" applyBorder="1" applyAlignment="1" applyProtection="1">
      <alignment horizontal="center" vertical="center" shrinkToFit="1"/>
      <protection hidden="1"/>
    </xf>
    <xf numFmtId="0" fontId="24" fillId="0" borderId="206" xfId="0" applyFont="1" applyBorder="1" applyAlignment="1" applyProtection="1">
      <alignment horizontal="center" vertical="center" shrinkToFit="1"/>
      <protection hidden="1"/>
    </xf>
    <xf numFmtId="0" fontId="18" fillId="5" borderId="134" xfId="0" applyFont="1" applyFill="1" applyBorder="1" applyAlignment="1" applyProtection="1">
      <alignment horizontal="center" vertical="center" shrinkToFit="1"/>
      <protection locked="0"/>
    </xf>
    <xf numFmtId="0" fontId="18" fillId="5" borderId="138" xfId="0" applyFont="1" applyFill="1" applyBorder="1" applyAlignment="1" applyProtection="1">
      <alignment horizontal="center" vertical="center" shrinkToFit="1"/>
      <protection locked="0"/>
    </xf>
    <xf numFmtId="41" fontId="24" fillId="4" borderId="214" xfId="1" applyFont="1" applyFill="1" applyBorder="1" applyAlignment="1" applyProtection="1">
      <alignment horizontal="center" vertical="center" shrinkToFit="1"/>
      <protection locked="0" hidden="1"/>
    </xf>
    <xf numFmtId="41" fontId="24" fillId="4" borderId="215" xfId="1" applyFont="1" applyFill="1" applyBorder="1" applyAlignment="1" applyProtection="1">
      <alignment horizontal="center" vertical="center" shrinkToFit="1"/>
      <protection locked="0" hidden="1"/>
    </xf>
    <xf numFmtId="41" fontId="52" fillId="14" borderId="204" xfId="1" applyFont="1" applyFill="1" applyBorder="1" applyAlignment="1" applyProtection="1">
      <alignment horizontal="left" vertical="center" shrinkToFit="1"/>
      <protection hidden="1"/>
    </xf>
    <xf numFmtId="41" fontId="52" fillId="14" borderId="205" xfId="1" applyFont="1" applyFill="1" applyBorder="1" applyAlignment="1" applyProtection="1">
      <alignment horizontal="left" vertical="center" shrinkToFit="1"/>
      <protection hidden="1"/>
    </xf>
    <xf numFmtId="41" fontId="18" fillId="4" borderId="122" xfId="1" applyFont="1" applyFill="1" applyBorder="1" applyAlignment="1" applyProtection="1">
      <alignment horizontal="center" vertical="center" shrinkToFit="1"/>
      <protection locked="0"/>
    </xf>
    <xf numFmtId="41" fontId="18" fillId="4" borderId="125" xfId="1" applyFont="1" applyFill="1" applyBorder="1" applyAlignment="1" applyProtection="1">
      <alignment horizontal="center" vertical="center" shrinkToFit="1"/>
      <protection locked="0"/>
    </xf>
    <xf numFmtId="184" fontId="18" fillId="3" borderId="117" xfId="1" applyNumberFormat="1" applyFont="1" applyFill="1" applyBorder="1" applyAlignment="1" applyProtection="1">
      <alignment horizontal="center" vertical="center" shrinkToFit="1"/>
      <protection hidden="1"/>
    </xf>
    <xf numFmtId="184" fontId="18" fillId="3" borderId="118" xfId="1" applyNumberFormat="1" applyFont="1" applyFill="1" applyBorder="1" applyAlignment="1" applyProtection="1">
      <alignment horizontal="center" vertical="center" shrinkToFit="1"/>
      <protection hidden="1"/>
    </xf>
    <xf numFmtId="41" fontId="52" fillId="14" borderId="133" xfId="1" applyFont="1" applyFill="1" applyBorder="1" applyAlignment="1" applyProtection="1">
      <alignment horizontal="left" vertical="center" shrinkToFit="1"/>
      <protection hidden="1"/>
    </xf>
    <xf numFmtId="178" fontId="24" fillId="3" borderId="117" xfId="1" applyNumberFormat="1" applyFont="1" applyFill="1" applyBorder="1" applyAlignment="1" applyProtection="1">
      <alignment horizontal="center" vertical="center" shrinkToFit="1"/>
      <protection hidden="1"/>
    </xf>
    <xf numFmtId="178" fontId="24" fillId="3" borderId="118" xfId="1" applyNumberFormat="1" applyFont="1" applyFill="1" applyBorder="1" applyAlignment="1" applyProtection="1">
      <alignment horizontal="center" vertical="center" shrinkToFit="1"/>
      <protection hidden="1"/>
    </xf>
    <xf numFmtId="6" fontId="24" fillId="3" borderId="133" xfId="1" applyNumberFormat="1" applyFont="1" applyFill="1" applyBorder="1" applyAlignment="1" applyProtection="1">
      <alignment horizontal="center" vertical="center" shrinkToFit="1"/>
      <protection hidden="1"/>
    </xf>
    <xf numFmtId="41" fontId="24" fillId="3" borderId="133" xfId="1" applyFont="1" applyFill="1" applyBorder="1" applyAlignment="1" applyProtection="1">
      <alignment horizontal="center" vertical="center" shrinkToFit="1"/>
      <protection hidden="1"/>
    </xf>
    <xf numFmtId="41" fontId="24" fillId="3" borderId="136" xfId="1" applyFont="1" applyFill="1" applyBorder="1" applyAlignment="1" applyProtection="1">
      <alignment horizontal="center" vertical="center" shrinkToFit="1"/>
      <protection hidden="1"/>
    </xf>
    <xf numFmtId="3" fontId="18" fillId="3" borderId="135" xfId="1" applyNumberFormat="1" applyFont="1" applyFill="1" applyBorder="1" applyAlignment="1" applyProtection="1">
      <alignment horizontal="center" vertical="center" shrinkToFit="1"/>
      <protection hidden="1"/>
    </xf>
    <xf numFmtId="3" fontId="18" fillId="3" borderId="137" xfId="1" applyNumberFormat="1" applyFont="1" applyFill="1" applyBorder="1" applyAlignment="1" applyProtection="1">
      <alignment horizontal="center" vertical="center" shrinkToFit="1"/>
      <protection hidden="1"/>
    </xf>
    <xf numFmtId="41" fontId="24" fillId="3" borderId="133" xfId="1" applyFont="1" applyFill="1" applyBorder="1" applyAlignment="1" applyProtection="1">
      <alignment horizontal="left" vertical="center" shrinkToFit="1"/>
      <protection hidden="1"/>
    </xf>
    <xf numFmtId="41" fontId="60" fillId="14" borderId="149" xfId="1" applyFont="1" applyFill="1" applyBorder="1" applyAlignment="1" applyProtection="1">
      <alignment horizontal="left" vertical="center" shrinkToFit="1"/>
      <protection hidden="1"/>
    </xf>
    <xf numFmtId="41" fontId="60" fillId="14" borderId="150" xfId="1" applyFont="1" applyFill="1" applyBorder="1" applyAlignment="1" applyProtection="1">
      <alignment horizontal="left" vertical="center" shrinkToFit="1"/>
      <protection hidden="1"/>
    </xf>
    <xf numFmtId="41" fontId="22" fillId="0" borderId="0" xfId="0" applyNumberFormat="1" applyFont="1" applyBorder="1" applyAlignment="1" applyProtection="1">
      <alignment horizontal="center" vertical="center" shrinkToFit="1"/>
      <protection hidden="1"/>
    </xf>
    <xf numFmtId="41" fontId="18" fillId="0" borderId="135" xfId="1" applyFont="1" applyBorder="1" applyAlignment="1" applyProtection="1">
      <alignment horizontal="center" vertical="center" shrinkToFit="1"/>
      <protection hidden="1"/>
    </xf>
    <xf numFmtId="41" fontId="18" fillId="0" borderId="137" xfId="1" applyFont="1" applyBorder="1" applyAlignment="1" applyProtection="1">
      <alignment horizontal="center" vertical="center" shrinkToFit="1"/>
      <protection hidden="1"/>
    </xf>
    <xf numFmtId="41" fontId="18" fillId="0" borderId="134" xfId="1" applyFont="1" applyBorder="1" applyAlignment="1" applyProtection="1">
      <alignment horizontal="center" vertical="center" shrinkToFit="1"/>
      <protection hidden="1"/>
    </xf>
    <xf numFmtId="41" fontId="18" fillId="0" borderId="138" xfId="1" applyFont="1" applyBorder="1" applyAlignment="1" applyProtection="1">
      <alignment horizontal="center" vertical="center" shrinkToFit="1"/>
      <protection hidden="1"/>
    </xf>
    <xf numFmtId="0" fontId="93" fillId="6" borderId="0" xfId="0" applyFont="1" applyFill="1" applyAlignment="1" applyProtection="1">
      <alignment horizontal="left" vertical="center" wrapText="1" shrinkToFit="1"/>
      <protection locked="0"/>
    </xf>
    <xf numFmtId="0" fontId="93" fillId="6" borderId="0" xfId="0" applyFont="1" applyFill="1" applyAlignment="1" applyProtection="1">
      <alignment horizontal="left" vertical="center" shrinkToFit="1"/>
      <protection locked="0"/>
    </xf>
    <xf numFmtId="0" fontId="19" fillId="0" borderId="0" xfId="0" applyFont="1" applyBorder="1" applyAlignment="1" applyProtection="1">
      <alignment horizontal="left" vertical="top" shrinkToFit="1"/>
      <protection hidden="1"/>
    </xf>
    <xf numFmtId="14" fontId="23" fillId="0" borderId="109" xfId="0" applyNumberFormat="1" applyFont="1" applyBorder="1" applyAlignment="1" applyProtection="1">
      <alignment horizontal="right" vertical="center"/>
      <protection hidden="1"/>
    </xf>
    <xf numFmtId="14" fontId="23" fillId="0" borderId="0" xfId="0" applyNumberFormat="1" applyFont="1" applyBorder="1" applyAlignment="1" applyProtection="1">
      <alignment horizontal="right" vertical="center"/>
      <protection hidden="1"/>
    </xf>
    <xf numFmtId="0" fontId="37" fillId="0" borderId="127" xfId="0" applyFont="1" applyBorder="1" applyAlignment="1" applyProtection="1">
      <alignment horizontal="left" vertical="center" shrinkToFit="1"/>
      <protection hidden="1"/>
    </xf>
    <xf numFmtId="0" fontId="48" fillId="13" borderId="162" xfId="0" applyFont="1" applyFill="1" applyBorder="1" applyAlignment="1" applyProtection="1">
      <alignment horizontal="center" vertical="center"/>
      <protection hidden="1"/>
    </xf>
    <xf numFmtId="190" fontId="23" fillId="0" borderId="162" xfId="0" applyNumberFormat="1" applyFont="1" applyBorder="1" applyAlignment="1" applyProtection="1">
      <alignment horizontal="right" vertical="center"/>
      <protection hidden="1"/>
    </xf>
    <xf numFmtId="41" fontId="52" fillId="14" borderId="122" xfId="1" applyFont="1" applyFill="1" applyBorder="1" applyAlignment="1" applyProtection="1">
      <alignment horizontal="left" vertical="center" shrinkToFit="1"/>
      <protection hidden="1"/>
    </xf>
    <xf numFmtId="41" fontId="18" fillId="0" borderId="0" xfId="1" applyFont="1" applyFill="1" applyBorder="1" applyAlignment="1" applyProtection="1">
      <alignment horizontal="center" vertical="center" shrinkToFit="1"/>
      <protection hidden="1"/>
    </xf>
    <xf numFmtId="176" fontId="23" fillId="3" borderId="135" xfId="2" applyNumberFormat="1" applyFont="1" applyFill="1" applyBorder="1" applyAlignment="1" applyProtection="1">
      <alignment horizontal="right" vertical="center" shrinkToFit="1"/>
      <protection hidden="1"/>
    </xf>
    <xf numFmtId="176" fontId="23" fillId="3" borderId="137" xfId="2" applyNumberFormat="1" applyFont="1" applyFill="1" applyBorder="1" applyAlignment="1" applyProtection="1">
      <alignment horizontal="right" vertical="center" shrinkToFit="1"/>
      <protection hidden="1"/>
    </xf>
    <xf numFmtId="41" fontId="18" fillId="3" borderId="134" xfId="1" applyFont="1" applyFill="1" applyBorder="1" applyAlignment="1" applyProtection="1">
      <alignment horizontal="center" vertical="center" shrinkToFit="1"/>
      <protection hidden="1"/>
    </xf>
    <xf numFmtId="41" fontId="18" fillId="3" borderId="138" xfId="1" applyFont="1" applyFill="1" applyBorder="1" applyAlignment="1" applyProtection="1">
      <alignment horizontal="center" vertical="center" shrinkToFit="1"/>
      <protection hidden="1"/>
    </xf>
    <xf numFmtId="49" fontId="45" fillId="0" borderId="0" xfId="1" applyNumberFormat="1" applyFont="1" applyFill="1" applyAlignment="1" applyProtection="1">
      <alignment vertical="center" shrinkToFit="1"/>
      <protection hidden="1"/>
    </xf>
    <xf numFmtId="41" fontId="52" fillId="14" borderId="123" xfId="1" applyFont="1" applyFill="1" applyBorder="1" applyAlignment="1" applyProtection="1">
      <alignment horizontal="left" vertical="center" shrinkToFit="1"/>
      <protection hidden="1"/>
    </xf>
    <xf numFmtId="41" fontId="52" fillId="14" borderId="86" xfId="1" applyFont="1" applyFill="1" applyBorder="1" applyAlignment="1" applyProtection="1">
      <alignment horizontal="left" vertical="center" shrinkToFit="1"/>
      <protection hidden="1"/>
    </xf>
    <xf numFmtId="41" fontId="52" fillId="14" borderId="132" xfId="1" applyFont="1" applyFill="1" applyBorder="1" applyAlignment="1" applyProtection="1">
      <alignment horizontal="left" vertical="center" shrinkToFit="1"/>
      <protection hidden="1"/>
    </xf>
    <xf numFmtId="41" fontId="52" fillId="14" borderId="124" xfId="1" applyFont="1" applyFill="1" applyBorder="1" applyAlignment="1" applyProtection="1">
      <alignment horizontal="left" vertical="center" shrinkToFit="1"/>
      <protection hidden="1"/>
    </xf>
    <xf numFmtId="41" fontId="24" fillId="0" borderId="122" xfId="1" applyFont="1" applyBorder="1" applyAlignment="1" applyProtection="1">
      <alignment horizontal="center" vertical="center" shrinkToFit="1"/>
      <protection hidden="1"/>
    </xf>
    <xf numFmtId="41" fontId="24" fillId="0" borderId="125" xfId="1" applyFont="1" applyBorder="1" applyAlignment="1" applyProtection="1">
      <alignment horizontal="center" vertical="center" shrinkToFit="1"/>
      <protection hidden="1"/>
    </xf>
    <xf numFmtId="0" fontId="18" fillId="0" borderId="205" xfId="0" applyFont="1" applyBorder="1" applyAlignment="1" applyProtection="1">
      <alignment horizontal="center" vertical="center" shrinkToFit="1"/>
      <protection hidden="1"/>
    </xf>
    <xf numFmtId="0" fontId="18" fillId="0" borderId="206" xfId="0" applyFont="1" applyBorder="1" applyAlignment="1" applyProtection="1">
      <alignment horizontal="center" vertical="center" shrinkToFit="1"/>
      <protection hidden="1"/>
    </xf>
    <xf numFmtId="41" fontId="18" fillId="0" borderId="86" xfId="1" applyFont="1" applyBorder="1" applyAlignment="1" applyProtection="1">
      <alignment horizontal="center" vertical="center" shrinkToFit="1"/>
      <protection hidden="1"/>
    </xf>
    <xf numFmtId="41" fontId="18" fillId="0" borderId="121" xfId="1" applyFont="1" applyBorder="1" applyAlignment="1" applyProtection="1">
      <alignment horizontal="center" vertical="center" shrinkToFit="1"/>
      <protection hidden="1"/>
    </xf>
    <xf numFmtId="49" fontId="45" fillId="0" borderId="0" xfId="1" applyNumberFormat="1" applyFont="1" applyFill="1" applyBorder="1" applyAlignment="1" applyProtection="1">
      <alignment horizontal="left" vertical="center" shrinkToFit="1"/>
      <protection hidden="1"/>
    </xf>
    <xf numFmtId="0" fontId="28" fillId="0" borderId="0" xfId="0" applyFont="1" applyBorder="1" applyAlignment="1" applyProtection="1">
      <alignment horizontal="right" vertical="top" shrinkToFit="1"/>
      <protection hidden="1"/>
    </xf>
    <xf numFmtId="41" fontId="24" fillId="0" borderId="138" xfId="1" applyFont="1" applyBorder="1" applyAlignment="1" applyProtection="1">
      <alignment horizontal="center" vertical="center" shrinkToFit="1"/>
      <protection hidden="1"/>
    </xf>
    <xf numFmtId="41" fontId="24" fillId="0" borderId="127" xfId="1" applyFont="1" applyBorder="1" applyAlignment="1" applyProtection="1">
      <alignment horizontal="center" vertical="center" shrinkToFit="1"/>
      <protection hidden="1"/>
    </xf>
    <xf numFmtId="178" fontId="24" fillId="3" borderId="134" xfId="1" applyNumberFormat="1" applyFont="1" applyFill="1" applyBorder="1" applyAlignment="1" applyProtection="1">
      <alignment horizontal="center" vertical="center" shrinkToFit="1"/>
      <protection hidden="1"/>
    </xf>
    <xf numFmtId="178" fontId="24" fillId="3" borderId="138" xfId="1" applyNumberFormat="1" applyFont="1" applyFill="1" applyBorder="1" applyAlignment="1" applyProtection="1">
      <alignment horizontal="center" vertical="center" shrinkToFit="1"/>
      <protection hidden="1"/>
    </xf>
    <xf numFmtId="41" fontId="60" fillId="14" borderId="132" xfId="1" applyFont="1" applyFill="1" applyBorder="1" applyAlignment="1" applyProtection="1">
      <alignment horizontal="left" vertical="center" shrinkToFit="1"/>
      <protection hidden="1"/>
    </xf>
    <xf numFmtId="41" fontId="24" fillId="3" borderId="143" xfId="1" applyFont="1" applyFill="1" applyBorder="1" applyAlignment="1" applyProtection="1">
      <alignment horizontal="center" vertical="center" shrinkToFit="1"/>
      <protection hidden="1"/>
    </xf>
    <xf numFmtId="0" fontId="18" fillId="5" borderId="121" xfId="0" applyFont="1" applyFill="1" applyBorder="1" applyAlignment="1" applyProtection="1">
      <alignment horizontal="center" vertical="center" shrinkToFit="1"/>
      <protection locked="0"/>
    </xf>
    <xf numFmtId="0" fontId="18" fillId="5" borderId="122" xfId="0" applyFont="1" applyFill="1" applyBorder="1" applyAlignment="1" applyProtection="1">
      <alignment horizontal="center" vertical="center" shrinkToFit="1"/>
      <protection locked="0"/>
    </xf>
    <xf numFmtId="41" fontId="24" fillId="3" borderId="167" xfId="1" applyFont="1" applyFill="1" applyBorder="1" applyAlignment="1" applyProtection="1">
      <alignment horizontal="center" vertical="center" shrinkToFit="1"/>
      <protection hidden="1"/>
    </xf>
    <xf numFmtId="41" fontId="24" fillId="3" borderId="115" xfId="1" applyFont="1" applyFill="1" applyBorder="1" applyAlignment="1" applyProtection="1">
      <alignment horizontal="center" vertical="center" shrinkToFit="1"/>
      <protection hidden="1"/>
    </xf>
    <xf numFmtId="177" fontId="18" fillId="3" borderId="115" xfId="2" applyNumberFormat="1" applyFont="1" applyFill="1" applyBorder="1" applyAlignment="1" applyProtection="1">
      <alignment horizontal="center" vertical="center" shrinkToFit="1"/>
      <protection hidden="1"/>
    </xf>
    <xf numFmtId="41" fontId="52" fillId="14" borderId="76" xfId="1" applyFont="1" applyFill="1" applyBorder="1" applyAlignment="1" applyProtection="1">
      <alignment horizontal="left" vertical="center" shrinkToFit="1"/>
      <protection hidden="1"/>
    </xf>
    <xf numFmtId="41" fontId="52" fillId="14" borderId="77" xfId="1" applyFont="1" applyFill="1" applyBorder="1" applyAlignment="1" applyProtection="1">
      <alignment horizontal="left" vertical="center" shrinkToFit="1"/>
      <protection hidden="1"/>
    </xf>
    <xf numFmtId="0" fontId="35" fillId="0" borderId="0" xfId="0" applyFont="1" applyBorder="1" applyAlignment="1" applyProtection="1">
      <alignment horizontal="left" vertical="center" shrinkToFit="1"/>
      <protection hidden="1"/>
    </xf>
    <xf numFmtId="41" fontId="52" fillId="14" borderId="159" xfId="1" applyFont="1" applyFill="1" applyBorder="1" applyAlignment="1" applyProtection="1">
      <alignment horizontal="left" vertical="center" shrinkToFit="1"/>
      <protection hidden="1"/>
    </xf>
    <xf numFmtId="41" fontId="52" fillId="14" borderId="189" xfId="1" applyFont="1" applyFill="1" applyBorder="1" applyAlignment="1" applyProtection="1">
      <alignment horizontal="left" vertical="center" shrinkToFit="1"/>
      <protection hidden="1"/>
    </xf>
    <xf numFmtId="41" fontId="52" fillId="14" borderId="190" xfId="1" applyFont="1" applyFill="1" applyBorder="1" applyAlignment="1" applyProtection="1">
      <alignment horizontal="left" vertical="center" shrinkToFit="1"/>
      <protection hidden="1"/>
    </xf>
    <xf numFmtId="41" fontId="18" fillId="3" borderId="0" xfId="1" applyFont="1" applyFill="1" applyBorder="1" applyAlignment="1" applyProtection="1">
      <alignment horizontal="left" vertical="center" shrinkToFit="1"/>
      <protection hidden="1"/>
    </xf>
    <xf numFmtId="0" fontId="18" fillId="3" borderId="0" xfId="1" applyNumberFormat="1" applyFont="1" applyFill="1" applyBorder="1" applyAlignment="1" applyProtection="1">
      <alignment horizontal="center" vertical="center" shrinkToFit="1"/>
      <protection hidden="1"/>
    </xf>
    <xf numFmtId="0" fontId="26" fillId="0" borderId="223" xfId="0" applyFont="1" applyBorder="1" applyAlignment="1" applyProtection="1">
      <alignment horizontal="center" vertical="center" shrinkToFit="1"/>
      <protection hidden="1"/>
    </xf>
    <xf numFmtId="192" fontId="26" fillId="0" borderId="223" xfId="0" applyNumberFormat="1" applyFont="1" applyBorder="1" applyAlignment="1" applyProtection="1">
      <alignment horizontal="left" vertical="center" shrinkToFit="1"/>
      <protection hidden="1"/>
    </xf>
    <xf numFmtId="177" fontId="18" fillId="0" borderId="191" xfId="2" applyNumberFormat="1" applyFont="1" applyFill="1" applyBorder="1" applyAlignment="1" applyProtection="1">
      <alignment horizontal="center" vertical="center" shrinkToFit="1"/>
      <protection locked="0"/>
    </xf>
    <xf numFmtId="177" fontId="18" fillId="0" borderId="189" xfId="2" applyNumberFormat="1" applyFont="1" applyFill="1" applyBorder="1" applyAlignment="1" applyProtection="1">
      <alignment horizontal="center" vertical="center" shrinkToFit="1"/>
      <protection locked="0"/>
    </xf>
    <xf numFmtId="177" fontId="18" fillId="0" borderId="160" xfId="2" applyNumberFormat="1" applyFont="1" applyFill="1" applyBorder="1" applyAlignment="1" applyProtection="1">
      <alignment horizontal="center" vertical="center" shrinkToFit="1"/>
      <protection locked="0"/>
    </xf>
    <xf numFmtId="0" fontId="18" fillId="6" borderId="0" xfId="0" applyFont="1" applyFill="1" applyAlignment="1" applyProtection="1">
      <alignment horizontal="center" vertical="center" shrinkToFit="1"/>
      <protection hidden="1"/>
    </xf>
    <xf numFmtId="49" fontId="23" fillId="0" borderId="0" xfId="1" quotePrefix="1" applyNumberFormat="1" applyFont="1" applyFill="1" applyAlignment="1" applyProtection="1">
      <alignment horizontal="left" vertical="center" shrinkToFit="1"/>
      <protection hidden="1"/>
    </xf>
    <xf numFmtId="41" fontId="32" fillId="0" borderId="0" xfId="1" applyFont="1" applyBorder="1" applyAlignment="1" applyProtection="1">
      <alignment horizontal="left" shrinkToFit="1"/>
      <protection hidden="1"/>
    </xf>
    <xf numFmtId="41" fontId="60" fillId="14" borderId="146" xfId="1" applyFont="1" applyFill="1" applyBorder="1" applyAlignment="1" applyProtection="1">
      <alignment horizontal="left" vertical="center" shrinkToFit="1"/>
      <protection hidden="1"/>
    </xf>
    <xf numFmtId="41" fontId="24" fillId="0" borderId="146" xfId="1" applyFont="1" applyBorder="1" applyAlignment="1" applyProtection="1">
      <alignment horizontal="center" vertical="center" shrinkToFit="1"/>
      <protection hidden="1"/>
    </xf>
    <xf numFmtId="41" fontId="24" fillId="0" borderId="119" xfId="1" applyFont="1" applyBorder="1" applyAlignment="1" applyProtection="1">
      <alignment horizontal="center" vertical="center" shrinkToFit="1"/>
      <protection hidden="1"/>
    </xf>
    <xf numFmtId="0" fontId="31" fillId="0" borderId="115" xfId="0" applyFont="1" applyBorder="1" applyAlignment="1" applyProtection="1">
      <alignment horizontal="center" shrinkToFit="1"/>
      <protection hidden="1"/>
    </xf>
    <xf numFmtId="10" fontId="34" fillId="0" borderId="0" xfId="2" applyNumberFormat="1" applyFont="1" applyBorder="1" applyAlignment="1" applyProtection="1">
      <alignment horizontal="right" shrinkToFit="1"/>
      <protection hidden="1"/>
    </xf>
    <xf numFmtId="0" fontId="29" fillId="0" borderId="0" xfId="0" applyFont="1" applyBorder="1" applyAlignment="1" applyProtection="1">
      <alignment horizontal="right" shrinkToFit="1"/>
      <protection hidden="1"/>
    </xf>
    <xf numFmtId="0" fontId="29" fillId="0" borderId="0" xfId="0" applyFont="1" applyBorder="1" applyAlignment="1" applyProtection="1">
      <alignment horizontal="center" shrinkToFit="1"/>
      <protection hidden="1"/>
    </xf>
    <xf numFmtId="0" fontId="29" fillId="0" borderId="0" xfId="0" applyFont="1" applyBorder="1" applyAlignment="1" applyProtection="1">
      <alignment horizontal="left" shrinkToFit="1"/>
      <protection hidden="1"/>
    </xf>
    <xf numFmtId="177" fontId="34" fillId="0" borderId="0" xfId="2" applyNumberFormat="1" applyFont="1" applyBorder="1" applyAlignment="1" applyProtection="1">
      <alignment horizontal="right" shrinkToFit="1"/>
      <protection hidden="1"/>
    </xf>
    <xf numFmtId="41" fontId="25" fillId="0" borderId="87" xfId="1" applyFont="1" applyFill="1" applyBorder="1" applyAlignment="1" applyProtection="1">
      <alignment horizontal="left" vertical="center" shrinkToFit="1"/>
      <protection hidden="1"/>
    </xf>
    <xf numFmtId="41" fontId="24" fillId="3" borderId="136" xfId="1" applyFont="1" applyFill="1" applyBorder="1" applyAlignment="1" applyProtection="1">
      <alignment horizontal="left" vertical="center" shrinkToFit="1"/>
      <protection hidden="1"/>
    </xf>
    <xf numFmtId="41" fontId="24" fillId="3" borderId="143" xfId="1" applyFont="1" applyFill="1" applyBorder="1" applyAlignment="1" applyProtection="1">
      <alignment horizontal="left" vertical="center" shrinkToFit="1"/>
      <protection hidden="1"/>
    </xf>
    <xf numFmtId="41" fontId="24" fillId="3" borderId="130" xfId="1" applyFont="1" applyFill="1" applyBorder="1" applyAlignment="1" applyProtection="1">
      <alignment horizontal="left" vertical="center" shrinkToFit="1"/>
      <protection hidden="1"/>
    </xf>
    <xf numFmtId="41" fontId="60" fillId="14" borderId="93" xfId="1" applyFont="1" applyFill="1" applyBorder="1" applyAlignment="1" applyProtection="1">
      <alignment horizontal="left" vertical="center" shrinkToFit="1"/>
      <protection hidden="1"/>
    </xf>
    <xf numFmtId="41" fontId="24" fillId="3" borderId="93" xfId="1" applyFont="1" applyFill="1" applyBorder="1" applyAlignment="1" applyProtection="1">
      <alignment horizontal="center" vertical="center" shrinkToFit="1"/>
      <protection hidden="1"/>
    </xf>
    <xf numFmtId="41" fontId="24" fillId="3" borderId="94" xfId="1" applyFont="1" applyFill="1" applyBorder="1" applyAlignment="1" applyProtection="1">
      <alignment horizontal="center" vertical="center" shrinkToFit="1"/>
      <protection hidden="1"/>
    </xf>
    <xf numFmtId="41" fontId="24" fillId="3" borderId="117" xfId="1" applyFont="1" applyFill="1" applyBorder="1" applyAlignment="1" applyProtection="1">
      <alignment horizontal="center" vertical="center" shrinkToFit="1"/>
      <protection hidden="1"/>
    </xf>
    <xf numFmtId="41" fontId="24" fillId="3" borderId="118" xfId="1" applyFont="1" applyFill="1" applyBorder="1" applyAlignment="1" applyProtection="1">
      <alignment horizontal="center" vertical="center" shrinkToFit="1"/>
      <protection hidden="1"/>
    </xf>
    <xf numFmtId="41" fontId="60" fillId="14" borderId="127" xfId="1" applyFont="1" applyFill="1" applyBorder="1" applyAlignment="1" applyProtection="1">
      <alignment horizontal="left" vertical="center" shrinkToFit="1"/>
      <protection hidden="1"/>
    </xf>
    <xf numFmtId="178" fontId="24" fillId="3" borderId="135" xfId="1" applyNumberFormat="1" applyFont="1" applyFill="1" applyBorder="1" applyAlignment="1" applyProtection="1">
      <alignment horizontal="center" vertical="center" shrinkToFit="1"/>
      <protection hidden="1"/>
    </xf>
    <xf numFmtId="178" fontId="24" fillId="3" borderId="137" xfId="1" applyNumberFormat="1" applyFont="1" applyFill="1" applyBorder="1" applyAlignment="1" applyProtection="1">
      <alignment horizontal="center" vertical="center" shrinkToFit="1"/>
      <protection hidden="1"/>
    </xf>
    <xf numFmtId="41" fontId="31" fillId="0" borderId="0" xfId="1" applyFont="1" applyBorder="1" applyAlignment="1" applyProtection="1">
      <alignment vertical="top" shrinkToFit="1"/>
      <protection hidden="1"/>
    </xf>
    <xf numFmtId="9" fontId="24" fillId="5" borderId="79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79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76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97" xfId="1" applyNumberFormat="1" applyFont="1" applyFill="1" applyBorder="1" applyAlignment="1" applyProtection="1">
      <alignment horizontal="center" vertical="center" shrinkToFit="1"/>
      <protection locked="0"/>
    </xf>
    <xf numFmtId="0" fontId="18" fillId="4" borderId="83" xfId="1" applyNumberFormat="1" applyFont="1" applyFill="1" applyBorder="1" applyAlignment="1" applyProtection="1">
      <alignment horizontal="center" vertical="center" shrinkToFit="1"/>
      <protection locked="0"/>
    </xf>
    <xf numFmtId="0" fontId="49" fillId="0" borderId="0" xfId="0" applyFont="1" applyBorder="1" applyAlignment="1" applyProtection="1">
      <alignment horizontal="right" vertical="top" shrinkToFit="1"/>
      <protection hidden="1"/>
    </xf>
    <xf numFmtId="177" fontId="49" fillId="0" borderId="0" xfId="2" applyNumberFormat="1" applyFont="1" applyBorder="1" applyAlignment="1" applyProtection="1">
      <alignment horizontal="center" vertical="top" shrinkToFit="1"/>
      <protection hidden="1"/>
    </xf>
    <xf numFmtId="41" fontId="27" fillId="3" borderId="151" xfId="1" applyFont="1" applyFill="1" applyBorder="1" applyAlignment="1" applyProtection="1">
      <alignment horizontal="center" vertical="center" shrinkToFit="1"/>
      <protection hidden="1"/>
    </xf>
    <xf numFmtId="41" fontId="27" fillId="3" borderId="152" xfId="1" applyFont="1" applyFill="1" applyBorder="1" applyAlignment="1" applyProtection="1">
      <alignment horizontal="center" vertical="center" shrinkToFit="1"/>
      <protection hidden="1"/>
    </xf>
    <xf numFmtId="41" fontId="27" fillId="3" borderId="153" xfId="1" applyFont="1" applyFill="1" applyBorder="1" applyAlignment="1" applyProtection="1">
      <alignment horizontal="center" vertical="center" shrinkToFit="1"/>
      <protection hidden="1"/>
    </xf>
    <xf numFmtId="41" fontId="60" fillId="14" borderId="131" xfId="1" applyFont="1" applyFill="1" applyBorder="1" applyAlignment="1" applyProtection="1">
      <alignment horizontal="left" vertical="center" shrinkToFit="1"/>
      <protection hidden="1"/>
    </xf>
    <xf numFmtId="41" fontId="60" fillId="14" borderId="135" xfId="1" applyFont="1" applyFill="1" applyBorder="1" applyAlignment="1" applyProtection="1">
      <alignment horizontal="left" vertical="center" shrinkToFit="1"/>
      <protection hidden="1"/>
    </xf>
    <xf numFmtId="0" fontId="18" fillId="3" borderId="80" xfId="0" applyFont="1" applyFill="1" applyBorder="1" applyAlignment="1" applyProtection="1">
      <alignment horizontal="center" vertical="center" shrinkToFit="1"/>
      <protection locked="0"/>
    </xf>
    <xf numFmtId="0" fontId="31" fillId="0" borderId="0" xfId="0" applyFont="1" applyBorder="1" applyAlignment="1" applyProtection="1">
      <alignment horizontal="right" vertical="top" shrinkToFit="1"/>
      <protection hidden="1"/>
    </xf>
    <xf numFmtId="0" fontId="10" fillId="0" borderId="0" xfId="1" applyNumberFormat="1" applyFont="1" applyFill="1" applyAlignment="1" applyProtection="1">
      <alignment horizontal="left" vertical="center"/>
      <protection locked="0"/>
    </xf>
    <xf numFmtId="0" fontId="4" fillId="0" borderId="0" xfId="1" applyNumberFormat="1" applyFont="1" applyFill="1" applyAlignment="1" applyProtection="1">
      <alignment horizontal="right"/>
      <protection locked="0"/>
    </xf>
    <xf numFmtId="0" fontId="12" fillId="0" borderId="45" xfId="1" applyNumberFormat="1" applyFont="1" applyFill="1" applyBorder="1" applyAlignment="1" applyProtection="1">
      <alignment horizontal="center" vertical="center"/>
      <protection locked="0"/>
    </xf>
    <xf numFmtId="0" fontId="12" fillId="0" borderId="50" xfId="1" applyNumberFormat="1" applyFont="1" applyFill="1" applyBorder="1" applyAlignment="1" applyProtection="1">
      <alignment horizontal="center" vertical="center"/>
      <protection locked="0"/>
    </xf>
    <xf numFmtId="0" fontId="3" fillId="0" borderId="46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47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48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49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51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38" xfId="2" applyNumberFormat="1" applyFont="1" applyFill="1" applyBorder="1" applyAlignment="1" applyProtection="1">
      <alignment horizontal="center" vertical="center"/>
      <protection locked="0"/>
    </xf>
    <xf numFmtId="0" fontId="3" fillId="0" borderId="24" xfId="2" applyNumberFormat="1" applyFont="1" applyFill="1" applyBorder="1" applyAlignment="1" applyProtection="1">
      <alignment horizontal="center" vertical="center"/>
      <protection locked="0"/>
    </xf>
    <xf numFmtId="0" fontId="7" fillId="0" borderId="46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147" xfId="1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1" applyNumberFormat="1" applyFont="1" applyFill="1" applyBorder="1" applyAlignment="1" applyProtection="1">
      <alignment horizontal="center" vertical="center" wrapText="1"/>
      <protection locked="0"/>
    </xf>
    <xf numFmtId="0" fontId="4" fillId="0" borderId="2" xfId="1" applyNumberFormat="1" applyFont="1" applyFill="1" applyBorder="1" applyAlignment="1" applyProtection="1">
      <alignment horizontal="center" vertical="center"/>
      <protection locked="0"/>
    </xf>
    <xf numFmtId="0" fontId="4" fillId="0" borderId="21" xfId="1" applyNumberFormat="1" applyFont="1" applyFill="1" applyBorder="1" applyAlignment="1" applyProtection="1">
      <alignment horizontal="center" vertical="center"/>
      <protection locked="0"/>
    </xf>
    <xf numFmtId="0" fontId="5" fillId="0" borderId="63" xfId="1" applyNumberFormat="1" applyFont="1" applyFill="1" applyBorder="1" applyAlignment="1" applyProtection="1">
      <alignment horizontal="center" vertical="center"/>
      <protection locked="0"/>
    </xf>
    <xf numFmtId="0" fontId="5" fillId="0" borderId="49" xfId="1" applyNumberFormat="1" applyFont="1" applyFill="1" applyBorder="1" applyAlignment="1" applyProtection="1">
      <alignment horizontal="center" vertical="center"/>
      <protection locked="0"/>
    </xf>
    <xf numFmtId="41" fontId="5" fillId="0" borderId="15" xfId="1" applyFont="1" applyFill="1" applyBorder="1" applyAlignment="1" applyProtection="1">
      <alignment horizontal="center" vertical="center" wrapText="1"/>
      <protection locked="0"/>
    </xf>
    <xf numFmtId="41" fontId="5" fillId="0" borderId="16" xfId="1" applyFont="1" applyFill="1" applyBorder="1" applyAlignment="1" applyProtection="1">
      <alignment horizontal="center" vertical="center" wrapText="1"/>
      <protection locked="0"/>
    </xf>
    <xf numFmtId="41" fontId="5" fillId="0" borderId="17" xfId="1" applyFont="1" applyFill="1" applyBorder="1" applyAlignment="1" applyProtection="1">
      <alignment horizontal="center" vertical="center" wrapText="1"/>
      <protection locked="0"/>
    </xf>
    <xf numFmtId="41" fontId="7" fillId="0" borderId="34" xfId="1" applyFont="1" applyFill="1" applyBorder="1" applyAlignment="1" applyProtection="1">
      <alignment horizontal="left" vertical="center" wrapText="1"/>
      <protection locked="0"/>
    </xf>
    <xf numFmtId="41" fontId="7" fillId="0" borderId="19" xfId="1" applyFont="1" applyFill="1" applyBorder="1" applyAlignment="1" applyProtection="1">
      <alignment horizontal="left" vertical="center" wrapText="1"/>
      <protection locked="0"/>
    </xf>
    <xf numFmtId="41" fontId="7" fillId="0" borderId="32" xfId="1" applyFont="1" applyFill="1" applyBorder="1" applyAlignment="1" applyProtection="1">
      <alignment horizontal="left" vertical="center" wrapText="1"/>
      <protection locked="0"/>
    </xf>
    <xf numFmtId="41" fontId="7" fillId="0" borderId="9" xfId="1" applyFont="1" applyFill="1" applyBorder="1" applyAlignment="1" applyProtection="1">
      <alignment horizontal="left" vertical="center" wrapText="1"/>
      <protection locked="0"/>
    </xf>
    <xf numFmtId="41" fontId="16" fillId="0" borderId="31" xfId="1" applyFont="1" applyFill="1" applyBorder="1" applyAlignment="1" applyProtection="1">
      <alignment horizontal="left" vertical="center" wrapText="1"/>
      <protection locked="0"/>
    </xf>
    <xf numFmtId="41" fontId="16" fillId="0" borderId="5" xfId="1" applyFont="1" applyFill="1" applyBorder="1" applyAlignment="1" applyProtection="1">
      <alignment horizontal="left" vertical="center" wrapText="1"/>
      <protection locked="0"/>
    </xf>
    <xf numFmtId="0" fontId="3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6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7" xfId="1" applyNumberFormat="1" applyFont="1" applyFill="1" applyBorder="1" applyAlignment="1" applyProtection="1">
      <alignment horizontal="center" vertical="center" wrapText="1"/>
      <protection locked="0"/>
    </xf>
    <xf numFmtId="41" fontId="5" fillId="0" borderId="15" xfId="1" applyFont="1" applyFill="1" applyBorder="1" applyAlignment="1" applyProtection="1">
      <alignment horizontal="center" vertical="center"/>
      <protection locked="0"/>
    </xf>
    <xf numFmtId="41" fontId="5" fillId="0" borderId="17" xfId="1" applyFont="1" applyFill="1" applyBorder="1" applyAlignment="1" applyProtection="1">
      <alignment horizontal="center" vertical="center"/>
      <protection locked="0"/>
    </xf>
    <xf numFmtId="10" fontId="5" fillId="0" borderId="15" xfId="2" applyNumberFormat="1" applyFont="1" applyFill="1" applyBorder="1" applyAlignment="1" applyProtection="1">
      <alignment horizontal="center" vertical="center"/>
      <protection locked="0"/>
    </xf>
    <xf numFmtId="10" fontId="5" fillId="0" borderId="17" xfId="2" applyNumberFormat="1" applyFont="1" applyFill="1" applyBorder="1" applyAlignment="1" applyProtection="1">
      <alignment horizontal="center" vertical="center"/>
      <protection locked="0"/>
    </xf>
    <xf numFmtId="41" fontId="7" fillId="0" borderId="33" xfId="1" applyFont="1" applyFill="1" applyBorder="1" applyAlignment="1" applyProtection="1">
      <alignment horizontal="left" vertical="center" wrapText="1"/>
      <protection locked="0"/>
    </xf>
    <xf numFmtId="41" fontId="7" fillId="0" borderId="13" xfId="1" applyFont="1" applyFill="1" applyBorder="1" applyAlignment="1" applyProtection="1">
      <alignment horizontal="left" vertical="center" wrapText="1"/>
      <protection locked="0"/>
    </xf>
    <xf numFmtId="41" fontId="7" fillId="0" borderId="16" xfId="1" applyFont="1" applyFill="1" applyBorder="1" applyAlignment="1" applyProtection="1">
      <alignment horizontal="left" vertical="center" wrapText="1"/>
      <protection locked="0"/>
    </xf>
    <xf numFmtId="0" fontId="3" fillId="0" borderId="28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29" xfId="1" applyNumberFormat="1" applyFont="1" applyFill="1" applyBorder="1" applyAlignment="1" applyProtection="1">
      <alignment horizontal="center" vertical="center" wrapText="1"/>
      <protection locked="0"/>
    </xf>
    <xf numFmtId="0" fontId="3" fillId="0" borderId="141" xfId="1" applyNumberFormat="1" applyFont="1" applyFill="1" applyBorder="1" applyAlignment="1" applyProtection="1">
      <alignment horizontal="center" vertical="center"/>
      <protection locked="0"/>
    </xf>
    <xf numFmtId="0" fontId="3" fillId="0" borderId="142" xfId="1" applyNumberFormat="1" applyFont="1" applyFill="1" applyBorder="1" applyAlignment="1" applyProtection="1">
      <alignment horizontal="center" vertical="center"/>
      <protection locked="0"/>
    </xf>
    <xf numFmtId="0" fontId="3" fillId="0" borderId="17" xfId="1" applyNumberFormat="1" applyFont="1" applyFill="1" applyBorder="1" applyAlignment="1" applyProtection="1">
      <alignment horizontal="center" vertical="center"/>
      <protection locked="0"/>
    </xf>
    <xf numFmtId="41" fontId="7" fillId="0" borderId="0" xfId="1" applyFont="1" applyFill="1" applyBorder="1" applyAlignment="1" applyProtection="1">
      <alignment horizontal="left" vertical="center" wrapText="1"/>
      <protection locked="0"/>
    </xf>
    <xf numFmtId="178" fontId="7" fillId="0" borderId="40" xfId="1" applyNumberFormat="1" applyFont="1" applyFill="1" applyBorder="1" applyAlignment="1" applyProtection="1">
      <alignment horizontal="center" vertical="center" wrapText="1"/>
      <protection locked="0"/>
    </xf>
    <xf numFmtId="178" fontId="7" fillId="0" borderId="8" xfId="1" applyNumberFormat="1" applyFont="1" applyFill="1" applyBorder="1" applyAlignment="1" applyProtection="1">
      <alignment horizontal="center" vertical="center" wrapText="1"/>
      <protection locked="0"/>
    </xf>
    <xf numFmtId="178" fontId="7" fillId="0" borderId="39" xfId="1" applyNumberFormat="1" applyFont="1" applyFill="1" applyBorder="1" applyAlignment="1" applyProtection="1">
      <alignment horizontal="center" vertical="center" wrapText="1"/>
      <protection locked="0"/>
    </xf>
    <xf numFmtId="178" fontId="7" fillId="0" borderId="12" xfId="1" applyNumberFormat="1" applyFont="1" applyFill="1" applyBorder="1" applyAlignment="1" applyProtection="1">
      <alignment horizontal="center" vertical="center" wrapText="1"/>
      <protection locked="0"/>
    </xf>
    <xf numFmtId="178" fontId="7" fillId="0" borderId="38" xfId="1" applyNumberFormat="1" applyFont="1" applyFill="1" applyBorder="1" applyAlignment="1" applyProtection="1">
      <alignment horizontal="center" vertical="center" wrapText="1"/>
      <protection locked="0"/>
    </xf>
    <xf numFmtId="178" fontId="7" fillId="0" borderId="4" xfId="1" applyNumberFormat="1" applyFont="1" applyFill="1" applyBorder="1" applyAlignment="1" applyProtection="1">
      <alignment horizontal="center" vertical="center" wrapText="1"/>
      <protection locked="0"/>
    </xf>
    <xf numFmtId="41" fontId="5" fillId="0" borderId="0" xfId="1" applyFont="1" applyFill="1" applyBorder="1" applyAlignment="1" applyProtection="1">
      <alignment horizontal="left" vertical="center" wrapText="1"/>
      <protection locked="0"/>
    </xf>
    <xf numFmtId="0" fontId="15" fillId="0" borderId="1" xfId="0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0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</cellXfs>
  <cellStyles count="12">
    <cellStyle name="강조색1" xfId="11" builtinId="29"/>
    <cellStyle name="백분율" xfId="2" builtinId="5"/>
    <cellStyle name="백분율 2 2 3" xfId="8"/>
    <cellStyle name="백분율 3" xfId="5"/>
    <cellStyle name="쉼표 [0]" xfId="1" builtinId="6"/>
    <cellStyle name="쉼표 [0] 2" xfId="3"/>
    <cellStyle name="쉼표 [0] 3" xfId="7"/>
    <cellStyle name="표준" xfId="0" builtinId="0"/>
    <cellStyle name="표준 10 2" xfId="9"/>
    <cellStyle name="표준 2" xfId="6"/>
    <cellStyle name="표준 22" xfId="10"/>
    <cellStyle name="표준 3" xfId="4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FFC00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ont>
        <b/>
        <i val="0"/>
      </font>
      <fill>
        <patternFill>
          <bgColor rgb="FFFFC00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CheckBox" checked="Checked" fmlaLink="$CE$4" lockText="1"/>
</file>

<file path=xl/ctrlProps/ctrlProp2.xml><?xml version="1.0" encoding="utf-8"?>
<formControlPr xmlns="http://schemas.microsoft.com/office/spreadsheetml/2009/9/main" objectType="CheckBox" checked="Checked" fmlaLink="$CE$5" lockText="1"/>
</file>

<file path=xl/ctrlProps/ctrlProp3.xml><?xml version="1.0" encoding="utf-8"?>
<formControlPr xmlns="http://schemas.microsoft.com/office/spreadsheetml/2009/9/main" objectType="CheckBox" checked="Checked" fmlaLink="$CE$6" lockText="1"/>
</file>

<file path=xl/ctrlProps/ctrlProp4.xml><?xml version="1.0" encoding="utf-8"?>
<formControlPr xmlns="http://schemas.microsoft.com/office/spreadsheetml/2009/9/main" objectType="CheckBox" fmlaLink="$CE$7" lockText="1"/>
</file>

<file path=xl/ctrlProps/ctrlProp5.xml><?xml version="1.0" encoding="utf-8"?>
<formControlPr xmlns="http://schemas.microsoft.com/office/spreadsheetml/2009/9/main" objectType="CheckBox" fmlaLink="$CE$7" lockText="1"/>
</file>

<file path=xl/ctrlProps/ctrlProp6.xml><?xml version="1.0" encoding="utf-8"?>
<formControlPr xmlns="http://schemas.microsoft.com/office/spreadsheetml/2009/9/main" objectType="CheckBox" fmlaLink="$CE$6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emf"/><Relationship Id="rId2" Type="http://schemas.openxmlformats.org/officeDocument/2006/relationships/image" Target="../media/image12.emf"/><Relationship Id="rId1" Type="http://schemas.openxmlformats.org/officeDocument/2006/relationships/image" Target="../media/image11.emf"/><Relationship Id="rId4" Type="http://schemas.openxmlformats.org/officeDocument/2006/relationships/image" Target="../media/image14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1184241</xdr:colOff>
      <xdr:row>3</xdr:row>
      <xdr:rowOff>47625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460716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125344</xdr:colOff>
      <xdr:row>7</xdr:row>
      <xdr:rowOff>228600</xdr:rowOff>
    </xdr:from>
    <xdr:to>
      <xdr:col>1</xdr:col>
      <xdr:colOff>356510</xdr:colOff>
      <xdr:row>7</xdr:row>
      <xdr:rowOff>414742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2247900"/>
          <a:ext cx="231166" cy="186142"/>
        </a:xfrm>
        <a:prstGeom prst="rect">
          <a:avLst/>
        </a:prstGeom>
      </xdr:spPr>
    </xdr:pic>
    <xdr:clientData/>
  </xdr:twoCellAnchor>
  <xdr:oneCellAnchor>
    <xdr:from>
      <xdr:col>1</xdr:col>
      <xdr:colOff>125344</xdr:colOff>
      <xdr:row>9</xdr:row>
      <xdr:rowOff>226933</xdr:rowOff>
    </xdr:from>
    <xdr:ext cx="231166" cy="186142"/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3522583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125344</xdr:colOff>
      <xdr:row>11</xdr:row>
      <xdr:rowOff>221682</xdr:rowOff>
    </xdr:from>
    <xdr:ext cx="231166" cy="186142"/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4793682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119391</xdr:colOff>
      <xdr:row>12</xdr:row>
      <xdr:rowOff>232888</xdr:rowOff>
    </xdr:from>
    <xdr:ext cx="231166" cy="186142"/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66" y="5443063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119391</xdr:colOff>
      <xdr:row>13</xdr:row>
      <xdr:rowOff>219791</xdr:rowOff>
    </xdr:from>
    <xdr:ext cx="231166" cy="186142"/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066" y="6068141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125344</xdr:colOff>
      <xdr:row>14</xdr:row>
      <xdr:rowOff>223363</xdr:rowOff>
    </xdr:from>
    <xdr:ext cx="231166" cy="186142"/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6709888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118691</xdr:colOff>
      <xdr:row>15</xdr:row>
      <xdr:rowOff>238841</xdr:rowOff>
    </xdr:from>
    <xdr:ext cx="231166" cy="186142"/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66" y="7363541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121772</xdr:colOff>
      <xdr:row>17</xdr:row>
      <xdr:rowOff>228600</xdr:rowOff>
    </xdr:from>
    <xdr:ext cx="231166" cy="186142"/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447" y="8629650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125344</xdr:colOff>
      <xdr:row>8</xdr:row>
      <xdr:rowOff>219789</xdr:rowOff>
    </xdr:from>
    <xdr:ext cx="231166" cy="186142"/>
    <xdr:pic>
      <xdr:nvPicPr>
        <xdr:cNvPr id="20" name="그림 19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2877264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125344</xdr:colOff>
      <xdr:row>10</xdr:row>
      <xdr:rowOff>223363</xdr:rowOff>
    </xdr:from>
    <xdr:ext cx="231166" cy="186142"/>
    <xdr:pic>
      <xdr:nvPicPr>
        <xdr:cNvPr id="21" name="그림 20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019" y="4157188"/>
          <a:ext cx="231166" cy="186142"/>
        </a:xfrm>
        <a:prstGeom prst="rect">
          <a:avLst/>
        </a:prstGeom>
      </xdr:spPr>
    </xdr:pic>
    <xdr:clientData/>
  </xdr:oneCellAnchor>
  <xdr:oneCellAnchor>
    <xdr:from>
      <xdr:col>1</xdr:col>
      <xdr:colOff>123825</xdr:colOff>
      <xdr:row>18</xdr:row>
      <xdr:rowOff>219075</xdr:rowOff>
    </xdr:from>
    <xdr:ext cx="231166" cy="186142"/>
    <xdr:pic>
      <xdr:nvPicPr>
        <xdr:cNvPr id="22" name="그림 2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9258300"/>
          <a:ext cx="231166" cy="186142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7</xdr:row>
          <xdr:rowOff>0</xdr:rowOff>
        </xdr:from>
        <xdr:to>
          <xdr:col>10</xdr:col>
          <xdr:colOff>19050</xdr:colOff>
          <xdr:row>7</xdr:row>
          <xdr:rowOff>581025</xdr:rowOff>
        </xdr:to>
        <xdr:sp macro="" textlink="">
          <xdr:nvSpPr>
            <xdr:cNvPr id="1034" name="ComboBox1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50</xdr:col>
          <xdr:colOff>19050</xdr:colOff>
          <xdr:row>15</xdr:row>
          <xdr:rowOff>19050</xdr:rowOff>
        </xdr:from>
        <xdr:to>
          <xdr:col>52</xdr:col>
          <xdr:colOff>38100</xdr:colOff>
          <xdr:row>15</xdr:row>
          <xdr:rowOff>180975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="" xmlns:a16="http://schemas.microsoft.com/office/drawing/2014/main" id="{00000000-0008-0000-01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50</xdr:col>
          <xdr:colOff>19050</xdr:colOff>
          <xdr:row>16</xdr:row>
          <xdr:rowOff>19050</xdr:rowOff>
        </xdr:from>
        <xdr:to>
          <xdr:col>52</xdr:col>
          <xdr:colOff>38100</xdr:colOff>
          <xdr:row>16</xdr:row>
          <xdr:rowOff>180975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="" xmlns:a16="http://schemas.microsoft.com/office/drawing/2014/main" id="{00000000-0008-0000-01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50</xdr:col>
          <xdr:colOff>19050</xdr:colOff>
          <xdr:row>17</xdr:row>
          <xdr:rowOff>19050</xdr:rowOff>
        </xdr:from>
        <xdr:to>
          <xdr:col>52</xdr:col>
          <xdr:colOff>38100</xdr:colOff>
          <xdr:row>17</xdr:row>
          <xdr:rowOff>180975</xdr:rowOff>
        </xdr:to>
        <xdr:sp macro="" textlink="">
          <xdr:nvSpPr>
            <xdr:cNvPr id="4121" name="Check Box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="" xmlns:a16="http://schemas.microsoft.com/office/drawing/2014/main" id="{00000000-0008-0000-01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76</xdr:col>
          <xdr:colOff>0</xdr:colOff>
          <xdr:row>6</xdr:row>
          <xdr:rowOff>28575</xdr:rowOff>
        </xdr:from>
        <xdr:to>
          <xdr:col>76</xdr:col>
          <xdr:colOff>266700</xdr:colOff>
          <xdr:row>6</xdr:row>
          <xdr:rowOff>190500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="" xmlns:a16="http://schemas.microsoft.com/office/drawing/2014/main" id="{00000000-0008-0000-01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76294</xdr:colOff>
          <xdr:row>7</xdr:row>
          <xdr:rowOff>168758</xdr:rowOff>
        </xdr:from>
        <xdr:to>
          <xdr:col>22</xdr:col>
          <xdr:colOff>81917</xdr:colOff>
          <xdr:row>20</xdr:row>
          <xdr:rowOff>0</xdr:rowOff>
        </xdr:to>
        <xdr:pic>
          <xdr:nvPicPr>
            <xdr:cNvPr id="11" name="그림 10">
              <a:extLst>
                <a:ext uri="{FF2B5EF4-FFF2-40B4-BE49-F238E27FC236}">
                  <a16:creationId xmlns="" xmlns:a16="http://schemas.microsoft.com/office/drawing/2014/main" id="{00000000-0008-0000-01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J$136:$DJ$145" spid="_x0000_s551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757948" y="1744046"/>
              <a:ext cx="130181" cy="241764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29</xdr:col>
      <xdr:colOff>11206</xdr:colOff>
      <xdr:row>39</xdr:row>
      <xdr:rowOff>67236</xdr:rowOff>
    </xdr:from>
    <xdr:to>
      <xdr:col>42</xdr:col>
      <xdr:colOff>29617</xdr:colOff>
      <xdr:row>40</xdr:row>
      <xdr:rowOff>168089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118" y="8034618"/>
          <a:ext cx="1620852" cy="302559"/>
        </a:xfrm>
        <a:prstGeom prst="rect">
          <a:avLst/>
        </a:prstGeom>
      </xdr:spPr>
    </xdr:pic>
    <xdr:clientData/>
  </xdr:twoCellAnchor>
  <xdr:twoCellAnchor>
    <xdr:from>
      <xdr:col>75</xdr:col>
      <xdr:colOff>81643</xdr:colOff>
      <xdr:row>26</xdr:row>
      <xdr:rowOff>40821</xdr:rowOff>
    </xdr:from>
    <xdr:to>
      <xdr:col>78</xdr:col>
      <xdr:colOff>40821</xdr:colOff>
      <xdr:row>37</xdr:row>
      <xdr:rowOff>136071</xdr:rowOff>
    </xdr:to>
    <xdr:sp macro="" textlink="">
      <xdr:nvSpPr>
        <xdr:cNvPr id="4" name="직사각형 3"/>
        <xdr:cNvSpPr/>
      </xdr:nvSpPr>
      <xdr:spPr>
        <a:xfrm>
          <a:off x="9266464" y="5538107"/>
          <a:ext cx="2462893" cy="229960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76</xdr:col>
          <xdr:colOff>19050</xdr:colOff>
          <xdr:row>6</xdr:row>
          <xdr:rowOff>19050</xdr:rowOff>
        </xdr:from>
        <xdr:to>
          <xdr:col>76</xdr:col>
          <xdr:colOff>285750</xdr:colOff>
          <xdr:row>6</xdr:row>
          <xdr:rowOff>180975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="" xmlns:a16="http://schemas.microsoft.com/office/drawing/2014/main" id="{00000000-0008-0000-0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22</xdr:col>
      <xdr:colOff>0</xdr:colOff>
      <xdr:row>8</xdr:row>
      <xdr:rowOff>1</xdr:rowOff>
    </xdr:from>
    <xdr:to>
      <xdr:col>22</xdr:col>
      <xdr:colOff>119337</xdr:colOff>
      <xdr:row>18</xdr:row>
      <xdr:rowOff>165653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261" y="1780762"/>
          <a:ext cx="119337" cy="2153478"/>
        </a:xfrm>
        <a:prstGeom prst="rect">
          <a:avLst/>
        </a:prstGeom>
      </xdr:spPr>
    </xdr:pic>
    <xdr:clientData/>
  </xdr:twoCellAnchor>
  <xdr:twoCellAnchor editAs="oneCell">
    <xdr:from>
      <xdr:col>31</xdr:col>
      <xdr:colOff>112059</xdr:colOff>
      <xdr:row>37</xdr:row>
      <xdr:rowOff>60920</xdr:rowOff>
    </xdr:from>
    <xdr:to>
      <xdr:col>41</xdr:col>
      <xdr:colOff>112059</xdr:colOff>
      <xdr:row>37</xdr:row>
      <xdr:rowOff>246529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265" y="7378361"/>
          <a:ext cx="1232647" cy="1856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76</xdr:col>
          <xdr:colOff>0</xdr:colOff>
          <xdr:row>6</xdr:row>
          <xdr:rowOff>19050</xdr:rowOff>
        </xdr:from>
        <xdr:to>
          <xdr:col>76</xdr:col>
          <xdr:colOff>266700</xdr:colOff>
          <xdr:row>6</xdr:row>
          <xdr:rowOff>180975</xdr:rowOff>
        </xdr:to>
        <xdr:sp macro="" textlink="">
          <xdr:nvSpPr>
            <xdr:cNvPr id="8195" name="Check Box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=""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 editAs="oneCell">
    <xdr:from>
      <xdr:col>22</xdr:col>
      <xdr:colOff>0</xdr:colOff>
      <xdr:row>8</xdr:row>
      <xdr:rowOff>8284</xdr:rowOff>
    </xdr:from>
    <xdr:to>
      <xdr:col>22</xdr:col>
      <xdr:colOff>119796</xdr:colOff>
      <xdr:row>18</xdr:row>
      <xdr:rowOff>182218</xdr:rowOff>
    </xdr:to>
    <xdr:pic>
      <xdr:nvPicPr>
        <xdr:cNvPr id="6" name="그림 5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3261" y="1631675"/>
          <a:ext cx="119796" cy="2161760"/>
        </a:xfrm>
        <a:prstGeom prst="rect">
          <a:avLst/>
        </a:prstGeom>
      </xdr:spPr>
    </xdr:pic>
    <xdr:clientData/>
  </xdr:twoCellAnchor>
  <xdr:twoCellAnchor editAs="oneCell">
    <xdr:from>
      <xdr:col>28</xdr:col>
      <xdr:colOff>104775</xdr:colOff>
      <xdr:row>36</xdr:row>
      <xdr:rowOff>76200</xdr:rowOff>
    </xdr:from>
    <xdr:to>
      <xdr:col>41</xdr:col>
      <xdr:colOff>118442</xdr:colOff>
      <xdr:row>36</xdr:row>
      <xdr:rowOff>425422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7200900"/>
          <a:ext cx="1623392" cy="349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634999</xdr:colOff>
      <xdr:row>48</xdr:row>
      <xdr:rowOff>183931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83551" cy="102738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587829</xdr:colOff>
      <xdr:row>42</xdr:row>
      <xdr:rowOff>119742</xdr:rowOff>
    </xdr:to>
    <xdr:pic>
      <xdr:nvPicPr>
        <xdr:cNvPr id="11" name="그림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74229" cy="9263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8</xdr:col>
      <xdr:colOff>653143</xdr:colOff>
      <xdr:row>93</xdr:row>
      <xdr:rowOff>206828</xdr:rowOff>
    </xdr:to>
    <xdr:pic>
      <xdr:nvPicPr>
        <xdr:cNvPr id="12" name="그림 1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32571"/>
          <a:ext cx="6139543" cy="10221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8</xdr:col>
      <xdr:colOff>664029</xdr:colOff>
      <xdr:row>136</xdr:row>
      <xdr:rowOff>182880</xdr:rowOff>
    </xdr:to>
    <xdr:pic>
      <xdr:nvPicPr>
        <xdr:cNvPr id="13" name="그림 12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65143"/>
          <a:ext cx="6150429" cy="9326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8</xdr:col>
      <xdr:colOff>533400</xdr:colOff>
      <xdr:row>178</xdr:row>
      <xdr:rowOff>167640</xdr:rowOff>
    </xdr:to>
    <xdr:pic>
      <xdr:nvPicPr>
        <xdr:cNvPr id="14" name="그림 1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697714"/>
          <a:ext cx="6019800" cy="8223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0</xdr:row>
      <xdr:rowOff>112059</xdr:rowOff>
    </xdr:from>
    <xdr:to>
      <xdr:col>8</xdr:col>
      <xdr:colOff>647979</xdr:colOff>
      <xdr:row>39</xdr:row>
      <xdr:rowOff>62206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112059"/>
          <a:ext cx="5993185" cy="825370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639063</xdr:colOff>
      <xdr:row>43</xdr:row>
      <xdr:rowOff>106033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63588" cy="90119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100852</xdr:colOff>
      <xdr:row>0</xdr:row>
      <xdr:rowOff>0</xdr:rowOff>
    </xdr:from>
    <xdr:to>
      <xdr:col>9</xdr:col>
      <xdr:colOff>833038</xdr:colOff>
      <xdr:row>42</xdr:row>
      <xdr:rowOff>183218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2" y="0"/>
          <a:ext cx="6357539" cy="91255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tteCap/Desktop/&#44204;&#51201;/&#52852;&#47336;&#49828;%20&#51092;&#44032;&#48372;&#51109;&#50984;(BENZ_BMW)_&#52572;&#5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tteCap/Documents/&#47215;&#45936;&#52880;&#54588;&#53448;%20&#48155;&#51008;&#54028;&#51068;/&#52852;&#49436;&#50872;&#47784;&#53552;&#49828;_&#51092;&#44032;&#48372;&#51109;&#50629;&#52404;&#50857;(&#51089;&#50629;&#50756;&#47308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4620;&#49345;&#49885;/AppData/Local/Microsoft/Windows/INetCache/IE/NHJNXWFH/&#52264;&#47049;&#47785;&#47197;_&#51092;&#44032;&#48372;&#51109;&#50629;&#52404;&#5085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관리자용"/>
      <sheetName val="차량목록"/>
    </sheetNames>
    <sheetDataSet>
      <sheetData sheetId="0">
        <row r="8">
          <cell r="S8" t="str">
            <v>승용일반</v>
          </cell>
        </row>
        <row r="9">
          <cell r="S9" t="str">
            <v>승용SUV(~5인)</v>
          </cell>
        </row>
        <row r="10">
          <cell r="S10" t="str">
            <v>승용SUV(7~10인)</v>
          </cell>
        </row>
        <row r="11">
          <cell r="S11" t="str">
            <v>승합(11~15인)</v>
          </cell>
        </row>
        <row r="12">
          <cell r="S12" t="str">
            <v>화물(1000cc 미만)</v>
          </cell>
        </row>
        <row r="13">
          <cell r="S13" t="str">
            <v>화물(0.6톤 미만)</v>
          </cell>
        </row>
        <row r="14">
          <cell r="S14" t="str">
            <v>화물(0.6~1톤 미만)</v>
          </cell>
        </row>
        <row r="15">
          <cell r="S15" t="str">
            <v>화물(1~2.5톤 미만)</v>
          </cell>
        </row>
        <row r="16">
          <cell r="S16" t="str">
            <v>화물(2.5~4.6톤 미만)</v>
          </cell>
        </row>
        <row r="17">
          <cell r="S17" t="str">
            <v>화물(4.6톤 이상)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관리자용"/>
      <sheetName val="차량목록"/>
    </sheetNames>
    <sheetDataSet>
      <sheetData sheetId="0">
        <row r="8">
          <cell r="S8" t="str">
            <v>승용일반</v>
          </cell>
        </row>
        <row r="9">
          <cell r="S9" t="str">
            <v>승용SUV(~5인)</v>
          </cell>
        </row>
        <row r="10">
          <cell r="S10" t="str">
            <v>승용SUV(7~10인)</v>
          </cell>
        </row>
        <row r="11">
          <cell r="S11" t="str">
            <v>승합(11~15인)</v>
          </cell>
        </row>
        <row r="12">
          <cell r="S12" t="str">
            <v>화물(1000cc 미만)</v>
          </cell>
        </row>
        <row r="13">
          <cell r="S13" t="str">
            <v>화물(0.6톤 미만)</v>
          </cell>
        </row>
        <row r="14">
          <cell r="S14" t="str">
            <v>화물(0.6~1톤 미만)</v>
          </cell>
        </row>
        <row r="15">
          <cell r="S15" t="str">
            <v>화물(1~2.5톤 미만)</v>
          </cell>
        </row>
        <row r="16">
          <cell r="S16" t="str">
            <v>화물(2.5~4.6톤 미만)</v>
          </cell>
        </row>
        <row r="17">
          <cell r="S17" t="str">
            <v>화물(4.6톤 이상)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관리자용"/>
      <sheetName val="차량목록"/>
    </sheetNames>
    <sheetDataSet>
      <sheetData sheetId="0">
        <row r="8">
          <cell r="S8" t="str">
            <v>승용일반</v>
          </cell>
        </row>
        <row r="9">
          <cell r="S9" t="str">
            <v>승용SUV(~5인)</v>
          </cell>
        </row>
        <row r="10">
          <cell r="S10" t="str">
            <v>승용SUV(7~10인)</v>
          </cell>
        </row>
        <row r="11">
          <cell r="S11" t="str">
            <v>승합(11~15인)</v>
          </cell>
        </row>
        <row r="12">
          <cell r="S12" t="str">
            <v>화물(1000cc 미만)</v>
          </cell>
        </row>
        <row r="13">
          <cell r="S13" t="str">
            <v>화물(0.6톤 미만)</v>
          </cell>
        </row>
        <row r="14">
          <cell r="S14" t="str">
            <v>화물(0.6~1톤 미만)</v>
          </cell>
        </row>
        <row r="15">
          <cell r="S15" t="str">
            <v>화물(1~2.5톤 미만)</v>
          </cell>
        </row>
        <row r="16">
          <cell r="S16" t="str">
            <v>화물(2.5~4.6톤 미만)</v>
          </cell>
        </row>
        <row r="17">
          <cell r="S17" t="str">
            <v>화물(4.6톤 이상)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5"/>
  </sheetPr>
  <dimension ref="A1:R29"/>
  <sheetViews>
    <sheetView showGridLines="0" showRowColHeaders="0" zoomScaleNormal="100" workbookViewId="0">
      <selection activeCell="H10" sqref="H10"/>
    </sheetView>
  </sheetViews>
  <sheetFormatPr defaultColWidth="9" defaultRowHeight="16.5" x14ac:dyDescent="0.3"/>
  <cols>
    <col min="1" max="2" width="2.625" style="17" customWidth="1"/>
    <col min="3" max="3" width="2.625" style="18" customWidth="1"/>
    <col min="4" max="5" width="2.625" style="17" customWidth="1"/>
    <col min="6" max="6" width="13.75" style="17" customWidth="1"/>
    <col min="7" max="7" width="16.25" style="17" hidden="1" customWidth="1"/>
    <col min="8" max="8" width="12.875" style="17" customWidth="1"/>
    <col min="9" max="9" width="12.875" style="17" hidden="1" customWidth="1"/>
    <col min="10" max="10" width="2.25" style="17" customWidth="1"/>
    <col min="11" max="11" width="2.875" style="17" customWidth="1"/>
    <col min="12" max="13" width="9" style="16" hidden="1" customWidth="1"/>
    <col min="14" max="14" width="3.5" style="16" customWidth="1"/>
    <col min="15" max="15" width="2.625" style="19" customWidth="1"/>
    <col min="16" max="18" width="9" style="16"/>
    <col min="19" max="16384" width="9" style="17"/>
  </cols>
  <sheetData>
    <row r="1" spans="3:16" x14ac:dyDescent="0.3">
      <c r="C1" s="17"/>
      <c r="E1" s="16"/>
      <c r="F1" s="16"/>
      <c r="G1" s="16"/>
      <c r="H1" s="16"/>
      <c r="I1" s="16"/>
      <c r="J1" s="16"/>
      <c r="K1" s="16"/>
      <c r="O1" s="16"/>
    </row>
    <row r="2" spans="3:16" ht="20.100000000000001" customHeight="1" x14ac:dyDescent="0.3">
      <c r="C2" s="17"/>
      <c r="E2" s="16"/>
      <c r="F2" s="16"/>
      <c r="G2" s="16"/>
      <c r="H2" s="16"/>
      <c r="I2" s="16"/>
      <c r="J2" s="16"/>
      <c r="K2" s="16"/>
      <c r="O2" s="16"/>
    </row>
    <row r="3" spans="3:16" ht="20.100000000000001" customHeight="1" thickBot="1" x14ac:dyDescent="0.35">
      <c r="C3" s="17"/>
      <c r="F3" s="658"/>
      <c r="G3" s="658"/>
      <c r="H3" s="658"/>
      <c r="I3" s="658"/>
      <c r="J3" s="16"/>
      <c r="K3" s="16"/>
      <c r="O3" s="16"/>
    </row>
    <row r="4" spans="3:16" ht="20.100000000000001" customHeight="1" x14ac:dyDescent="0.3">
      <c r="C4" s="17"/>
      <c r="E4" s="508"/>
      <c r="F4" s="509"/>
      <c r="G4" s="509"/>
      <c r="H4" s="509"/>
      <c r="I4" s="509"/>
      <c r="J4" s="510"/>
      <c r="K4" s="510"/>
      <c r="L4" s="510"/>
      <c r="M4" s="510"/>
      <c r="N4" s="510"/>
      <c r="O4" s="510"/>
      <c r="P4" s="511"/>
    </row>
    <row r="5" spans="3:16" ht="20.100000000000001" customHeight="1" x14ac:dyDescent="0.3">
      <c r="C5" s="17"/>
      <c r="E5" s="512"/>
      <c r="F5" s="657"/>
      <c r="G5" s="657"/>
      <c r="H5" s="657"/>
      <c r="I5" s="657"/>
      <c r="J5" s="513"/>
      <c r="K5" s="513"/>
      <c r="L5" s="513"/>
      <c r="M5" s="513"/>
      <c r="N5" s="513"/>
      <c r="O5" s="513"/>
      <c r="P5" s="514"/>
    </row>
    <row r="6" spans="3:16" ht="1.5" customHeight="1" x14ac:dyDescent="0.3">
      <c r="C6" s="17"/>
      <c r="E6" s="512"/>
      <c r="F6" s="515"/>
      <c r="G6" s="515"/>
      <c r="H6" s="515"/>
      <c r="I6" s="515"/>
      <c r="J6" s="513"/>
      <c r="K6" s="513"/>
      <c r="L6" s="513"/>
      <c r="M6" s="513"/>
      <c r="N6" s="513"/>
      <c r="O6" s="513"/>
      <c r="P6" s="514"/>
    </row>
    <row r="7" spans="3:16" ht="20.100000000000001" customHeight="1" x14ac:dyDescent="0.3">
      <c r="C7" s="17"/>
      <c r="E7" s="512"/>
      <c r="F7" s="349"/>
      <c r="G7" s="349"/>
      <c r="H7" s="349"/>
      <c r="I7" s="345"/>
      <c r="J7" s="513"/>
      <c r="K7" s="513"/>
      <c r="L7" s="513"/>
      <c r="M7" s="513"/>
      <c r="N7" s="513"/>
      <c r="O7" s="513"/>
      <c r="P7" s="514"/>
    </row>
    <row r="8" spans="3:16" ht="20.100000000000001" customHeight="1" x14ac:dyDescent="0.3">
      <c r="C8" s="17"/>
      <c r="E8" s="512"/>
      <c r="F8" s="350"/>
      <c r="G8" s="351"/>
      <c r="H8" s="352"/>
      <c r="I8" s="346"/>
      <c r="J8" s="513"/>
      <c r="K8" s="513"/>
      <c r="L8" s="513"/>
      <c r="M8" s="513"/>
      <c r="N8" s="513"/>
      <c r="O8" s="513"/>
      <c r="P8" s="514"/>
    </row>
    <row r="9" spans="3:16" ht="20.100000000000001" customHeight="1" x14ac:dyDescent="0.3">
      <c r="C9" s="17"/>
      <c r="E9" s="512"/>
      <c r="F9" s="350"/>
      <c r="G9" s="351"/>
      <c r="H9" s="352"/>
      <c r="I9" s="347"/>
      <c r="J9" s="513"/>
      <c r="K9" s="513"/>
      <c r="L9" s="513"/>
      <c r="M9" s="513"/>
      <c r="N9" s="513"/>
      <c r="O9" s="513"/>
      <c r="P9" s="514"/>
    </row>
    <row r="10" spans="3:16" ht="20.100000000000001" customHeight="1" x14ac:dyDescent="0.3">
      <c r="C10" s="17"/>
      <c r="E10" s="512"/>
      <c r="F10" s="350"/>
      <c r="G10" s="351"/>
      <c r="H10" s="352"/>
      <c r="I10" s="348"/>
      <c r="J10" s="513"/>
      <c r="K10" s="513"/>
      <c r="L10" s="513"/>
      <c r="M10" s="513"/>
      <c r="N10" s="513"/>
      <c r="O10" s="513"/>
      <c r="P10" s="514"/>
    </row>
    <row r="11" spans="3:16" ht="12.75" customHeight="1" x14ac:dyDescent="0.3">
      <c r="C11" s="17"/>
      <c r="E11" s="512"/>
      <c r="F11" s="515"/>
      <c r="G11" s="515"/>
      <c r="H11" s="515"/>
      <c r="I11" s="515"/>
      <c r="J11" s="513"/>
      <c r="K11" s="513"/>
      <c r="L11" s="513"/>
      <c r="M11" s="513"/>
      <c r="N11" s="513"/>
      <c r="O11" s="513"/>
      <c r="P11" s="514"/>
    </row>
    <row r="12" spans="3:16" ht="20.100000000000001" customHeight="1" x14ac:dyDescent="0.3">
      <c r="C12" s="17"/>
      <c r="E12" s="512"/>
      <c r="F12" s="659"/>
      <c r="G12" s="659"/>
      <c r="H12" s="659"/>
      <c r="I12" s="659"/>
      <c r="J12" s="659"/>
      <c r="K12" s="659"/>
      <c r="L12" s="659"/>
      <c r="M12" s="659"/>
      <c r="N12" s="659"/>
      <c r="O12" s="659"/>
      <c r="P12" s="660"/>
    </row>
    <row r="13" spans="3:16" ht="20.100000000000001" customHeight="1" x14ac:dyDescent="0.3">
      <c r="C13" s="17"/>
      <c r="E13" s="512"/>
      <c r="F13" s="516"/>
      <c r="G13" s="513"/>
      <c r="H13" s="513"/>
      <c r="I13" s="513"/>
      <c r="J13" s="513"/>
      <c r="K13" s="513"/>
      <c r="L13" s="513"/>
      <c r="M13" s="513"/>
      <c r="N13" s="513"/>
      <c r="O13" s="513"/>
      <c r="P13" s="514"/>
    </row>
    <row r="14" spans="3:16" ht="20.100000000000001" customHeight="1" x14ac:dyDescent="0.3">
      <c r="C14" s="17"/>
      <c r="E14" s="512"/>
      <c r="F14" s="516"/>
      <c r="G14" s="513"/>
      <c r="H14" s="513"/>
      <c r="I14" s="513"/>
      <c r="J14" s="513"/>
      <c r="K14" s="513"/>
      <c r="L14" s="513"/>
      <c r="M14" s="513"/>
      <c r="N14" s="513"/>
      <c r="O14" s="513"/>
      <c r="P14" s="514"/>
    </row>
    <row r="15" spans="3:16" ht="20.100000000000001" customHeight="1" x14ac:dyDescent="0.3">
      <c r="C15" s="17"/>
      <c r="E15" s="512" t="s">
        <v>588</v>
      </c>
      <c r="F15" s="516"/>
      <c r="G15" s="513"/>
      <c r="H15" s="513"/>
      <c r="I15" s="513"/>
      <c r="J15" s="513"/>
      <c r="K15" s="513"/>
      <c r="L15" s="513"/>
      <c r="M15" s="513"/>
      <c r="N15" s="513"/>
      <c r="O15" s="513"/>
      <c r="P15" s="514"/>
    </row>
    <row r="16" spans="3:16" ht="20.100000000000001" customHeight="1" thickBot="1" x14ac:dyDescent="0.35">
      <c r="C16" s="17"/>
      <c r="E16" s="517"/>
      <c r="F16" s="518"/>
      <c r="G16" s="518"/>
      <c r="H16" s="518"/>
      <c r="I16" s="518"/>
      <c r="J16" s="518"/>
      <c r="K16" s="518"/>
      <c r="L16" s="518"/>
      <c r="M16" s="518"/>
      <c r="N16" s="518"/>
      <c r="O16" s="518"/>
      <c r="P16" s="519"/>
    </row>
    <row r="17" spans="1:18" ht="20.100000000000001" customHeight="1" x14ac:dyDescent="0.3">
      <c r="C17" s="17"/>
      <c r="F17" s="16"/>
      <c r="G17" s="16"/>
      <c r="H17" s="16"/>
      <c r="I17" s="16"/>
      <c r="J17" s="16"/>
      <c r="K17" s="16"/>
      <c r="O17" s="16"/>
    </row>
    <row r="18" spans="1:18" ht="20.100000000000001" customHeight="1" x14ac:dyDescent="0.3">
      <c r="C18" s="17"/>
      <c r="F18" s="16"/>
      <c r="G18" s="16"/>
      <c r="H18" s="16"/>
      <c r="I18" s="16"/>
      <c r="J18" s="16"/>
      <c r="K18" s="16"/>
      <c r="O18" s="16"/>
    </row>
    <row r="19" spans="1:18" ht="20.100000000000001" customHeight="1" x14ac:dyDescent="0.3">
      <c r="C19" s="17"/>
      <c r="F19" s="16"/>
      <c r="G19" s="16"/>
      <c r="H19" s="16"/>
      <c r="I19" s="16"/>
      <c r="J19" s="16"/>
      <c r="K19" s="16"/>
      <c r="O19" s="17"/>
    </row>
    <row r="20" spans="1:18" ht="20.100000000000001" hidden="1" customHeight="1" x14ac:dyDescent="0.3">
      <c r="C20" s="17"/>
      <c r="F20" s="16"/>
      <c r="G20" s="16"/>
      <c r="H20" s="16"/>
      <c r="I20" s="16"/>
      <c r="J20" s="16"/>
      <c r="K20" s="16"/>
      <c r="O20" s="17"/>
    </row>
    <row r="21" spans="1:18" ht="20.100000000000001" hidden="1" customHeight="1" x14ac:dyDescent="0.3">
      <c r="C21" s="17"/>
      <c r="F21" s="16"/>
      <c r="G21" s="16"/>
      <c r="H21" s="16"/>
      <c r="I21" s="16"/>
      <c r="J21" s="16"/>
      <c r="K21" s="16"/>
      <c r="O21" s="17"/>
    </row>
    <row r="22" spans="1:18" ht="20.100000000000001" hidden="1" customHeight="1" x14ac:dyDescent="0.3">
      <c r="C22" s="17"/>
      <c r="F22" s="16"/>
      <c r="G22" s="16"/>
      <c r="H22" s="16"/>
      <c r="I22" s="16"/>
      <c r="J22" s="16"/>
      <c r="K22" s="16"/>
      <c r="O22" s="17"/>
    </row>
    <row r="23" spans="1:18" ht="20.100000000000001" hidden="1" customHeight="1" x14ac:dyDescent="0.3">
      <c r="C23" s="17"/>
      <c r="F23" s="16"/>
      <c r="G23" s="16"/>
      <c r="H23" s="16"/>
      <c r="I23" s="16"/>
      <c r="J23" s="16"/>
      <c r="K23" s="16"/>
      <c r="O23" s="17"/>
    </row>
    <row r="24" spans="1:18" ht="20.100000000000001" customHeight="1" x14ac:dyDescent="0.3">
      <c r="C24" s="17"/>
      <c r="F24" s="16"/>
      <c r="G24" s="16"/>
      <c r="H24" s="16"/>
      <c r="I24" s="16"/>
      <c r="J24" s="16"/>
      <c r="K24" s="16"/>
      <c r="O24" s="17"/>
    </row>
    <row r="25" spans="1:18" x14ac:dyDescent="0.3">
      <c r="C25" s="17"/>
      <c r="F25" s="16"/>
      <c r="G25" s="16"/>
      <c r="H25" s="16"/>
      <c r="I25" s="16"/>
      <c r="J25" s="16"/>
      <c r="K25" s="16"/>
      <c r="O25" s="17"/>
    </row>
    <row r="26" spans="1:18" x14ac:dyDescent="0.3">
      <c r="C26" s="17"/>
      <c r="F26" s="16"/>
      <c r="G26" s="16"/>
      <c r="H26" s="16"/>
      <c r="I26" s="16"/>
      <c r="J26" s="16"/>
      <c r="K26" s="16"/>
      <c r="O26" s="17"/>
    </row>
    <row r="27" spans="1:18" s="20" customForma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6"/>
      <c r="Q27" s="21"/>
      <c r="R27" s="21"/>
    </row>
    <row r="28" spans="1:18" x14ac:dyDescent="0.3">
      <c r="C28" s="17"/>
      <c r="L28" s="17"/>
      <c r="M28" s="17"/>
      <c r="N28" s="17"/>
      <c r="O28" s="17"/>
    </row>
    <row r="29" spans="1:18" x14ac:dyDescent="0.3">
      <c r="J29" s="16"/>
      <c r="K29" s="16"/>
      <c r="O29" s="16"/>
    </row>
  </sheetData>
  <mergeCells count="3">
    <mergeCell ref="F5:I5"/>
    <mergeCell ref="F3:I3"/>
    <mergeCell ref="F12:P12"/>
  </mergeCells>
  <phoneticPr fontId="2" type="noConversion"/>
  <conditionalFormatting sqref="H8">
    <cfRule type="expression" dxfId="116" priority="6">
      <formula>$L$8</formula>
    </cfRule>
  </conditionalFormatting>
  <conditionalFormatting sqref="I8">
    <cfRule type="expression" dxfId="115" priority="5">
      <formula>$M$8</formula>
    </cfRule>
  </conditionalFormatting>
  <conditionalFormatting sqref="H9">
    <cfRule type="expression" dxfId="114" priority="4">
      <formula>$L$9</formula>
    </cfRule>
  </conditionalFormatting>
  <conditionalFormatting sqref="I9">
    <cfRule type="expression" dxfId="113" priority="3">
      <formula>$M$9</formula>
    </cfRule>
  </conditionalFormatting>
  <conditionalFormatting sqref="H10">
    <cfRule type="expression" dxfId="112" priority="2">
      <formula>$L$10</formula>
    </cfRule>
  </conditionalFormatting>
  <conditionalFormatting sqref="I10">
    <cfRule type="expression" dxfId="111" priority="1">
      <formula>$M$10</formula>
    </cfRule>
  </conditionalFormatting>
  <dataValidations count="2">
    <dataValidation type="list" allowBlank="1" showInputMessage="1" showErrorMessage="1" sqref="G8:G10">
      <formula1>"요율입력,금액입력,요율+금액입력"</formula1>
    </dataValidation>
    <dataValidation type="decimal" allowBlank="1" showInputMessage="1" showErrorMessage="1" errorTitle="상한선 확인" error="상한선 확인" sqref="H9:H10">
      <formula1>0</formula1>
      <formula2>0.03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InputMessage="1" showErrorMessage="1">
          <x14:formula1>
            <xm:f>0</xm:f>
          </x14:formula1>
          <x14:formula2>
            <xm:f>견적관리자용!F41</xm:f>
          </x14:formula2>
          <xm:sqref>H8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B1:AA1048576"/>
  <sheetViews>
    <sheetView showGridLines="0" view="pageBreakPreview" topLeftCell="A4" zoomScale="85" zoomScaleNormal="100" zoomScaleSheetLayoutView="85" workbookViewId="0">
      <selection activeCell="E12" sqref="E12:J12"/>
    </sheetView>
  </sheetViews>
  <sheetFormatPr defaultRowHeight="16.5" x14ac:dyDescent="0.3"/>
  <cols>
    <col min="1" max="1" width="0.875" customWidth="1"/>
    <col min="2" max="2" width="5.75" customWidth="1"/>
    <col min="3" max="3" width="9" customWidth="1"/>
    <col min="4" max="4" width="14.25" customWidth="1"/>
    <col min="5" max="10" width="16.25" customWidth="1"/>
    <col min="11" max="11" width="2" customWidth="1"/>
    <col min="17" max="17" width="0" hidden="1" customWidth="1"/>
  </cols>
  <sheetData>
    <row r="1" spans="2:27" ht="21.75" customHeight="1" x14ac:dyDescent="0.3"/>
    <row r="2" spans="2:27" ht="21.75" customHeight="1" x14ac:dyDescent="0.3"/>
    <row r="3" spans="2:27" ht="21.75" customHeight="1" x14ac:dyDescent="0.3"/>
    <row r="4" spans="2:27" ht="30" customHeight="1" x14ac:dyDescent="0.3">
      <c r="B4" s="661" t="s">
        <v>1316</v>
      </c>
      <c r="C4" s="661"/>
      <c r="D4" s="661"/>
      <c r="E4" s="661"/>
      <c r="F4" s="661"/>
      <c r="G4" s="661"/>
      <c r="H4" s="661"/>
      <c r="I4" s="661"/>
      <c r="J4" s="661"/>
      <c r="K4" s="661"/>
    </row>
    <row r="5" spans="2:27" ht="30" customHeight="1" thickBot="1" x14ac:dyDescent="0.35">
      <c r="B5" s="662"/>
      <c r="C5" s="662"/>
      <c r="D5" s="662"/>
      <c r="E5" s="662"/>
      <c r="F5" s="662"/>
      <c r="G5" s="662"/>
      <c r="H5" s="662"/>
      <c r="I5" s="662"/>
      <c r="J5" s="662"/>
      <c r="K5" s="662"/>
    </row>
    <row r="6" spans="2:27" ht="17.25" thickTop="1" x14ac:dyDescent="0.3"/>
    <row r="7" spans="2:27" x14ac:dyDescent="0.3">
      <c r="E7" s="618"/>
      <c r="F7" s="618"/>
      <c r="G7" s="618"/>
      <c r="H7" s="618"/>
      <c r="I7" s="618"/>
      <c r="J7" s="618"/>
    </row>
    <row r="8" spans="2:27" ht="50.25" customHeight="1" thickBot="1" x14ac:dyDescent="0.35">
      <c r="C8" s="615" t="s">
        <v>1317</v>
      </c>
      <c r="D8" s="616"/>
      <c r="E8" s="669"/>
      <c r="F8" s="669"/>
      <c r="G8" s="669"/>
      <c r="H8" s="669"/>
      <c r="I8" s="669"/>
      <c r="J8" s="669"/>
      <c r="Q8" s="655" t="s">
        <v>1404</v>
      </c>
      <c r="AA8" s="656"/>
    </row>
    <row r="9" spans="2:27" ht="50.25" customHeight="1" thickTop="1" thickBot="1" x14ac:dyDescent="0.35">
      <c r="C9" s="615" t="s">
        <v>1318</v>
      </c>
      <c r="D9" s="616"/>
      <c r="E9" s="654" t="s">
        <v>1306</v>
      </c>
      <c r="F9" s="666"/>
      <c r="G9" s="666"/>
      <c r="H9" s="654" t="s">
        <v>1307</v>
      </c>
      <c r="I9" s="666"/>
      <c r="J9" s="666"/>
      <c r="Q9" s="655" t="s">
        <v>1405</v>
      </c>
    </row>
    <row r="10" spans="2:27" ht="50.25" customHeight="1" thickTop="1" thickBot="1" x14ac:dyDescent="0.35">
      <c r="C10" s="615" t="s">
        <v>1308</v>
      </c>
      <c r="D10" s="616"/>
      <c r="E10" s="668"/>
      <c r="F10" s="668"/>
      <c r="G10" s="668"/>
      <c r="H10" s="668"/>
      <c r="I10" s="668"/>
      <c r="J10" s="668"/>
      <c r="Q10" s="655" t="s">
        <v>1406</v>
      </c>
    </row>
    <row r="11" spans="2:27" ht="50.25" customHeight="1" thickTop="1" thickBot="1" x14ac:dyDescent="0.35">
      <c r="C11" s="615" t="s">
        <v>1309</v>
      </c>
      <c r="D11" s="616"/>
      <c r="E11" s="620" t="s">
        <v>1310</v>
      </c>
      <c r="F11" s="667"/>
      <c r="G11" s="667"/>
      <c r="H11" s="620" t="s">
        <v>1311</v>
      </c>
      <c r="I11" s="667"/>
      <c r="J11" s="667"/>
      <c r="Q11" s="655" t="s">
        <v>1407</v>
      </c>
    </row>
    <row r="12" spans="2:27" ht="50.25" customHeight="1" thickTop="1" thickBot="1" x14ac:dyDescent="0.35">
      <c r="C12" s="615" t="s">
        <v>1312</v>
      </c>
      <c r="D12" s="616"/>
      <c r="E12" s="667"/>
      <c r="F12" s="667"/>
      <c r="G12" s="667"/>
      <c r="H12" s="667"/>
      <c r="I12" s="667"/>
      <c r="J12" s="667"/>
      <c r="Q12" s="655" t="s">
        <v>1408</v>
      </c>
    </row>
    <row r="13" spans="2:27" ht="50.25" customHeight="1" thickTop="1" thickBot="1" x14ac:dyDescent="0.35">
      <c r="C13" s="615" t="s">
        <v>1313</v>
      </c>
      <c r="D13" s="616"/>
      <c r="E13" s="667"/>
      <c r="F13" s="667"/>
      <c r="G13" s="667"/>
      <c r="H13" s="667"/>
      <c r="I13" s="667"/>
      <c r="J13" s="667"/>
      <c r="Q13" s="655" t="s">
        <v>1409</v>
      </c>
    </row>
    <row r="14" spans="2:27" ht="50.25" customHeight="1" thickTop="1" thickBot="1" x14ac:dyDescent="0.35">
      <c r="C14" s="615" t="s">
        <v>1314</v>
      </c>
      <c r="D14" s="616"/>
      <c r="E14" s="667"/>
      <c r="F14" s="667"/>
      <c r="G14" s="667"/>
      <c r="H14" s="667"/>
      <c r="I14" s="667"/>
      <c r="J14" s="667"/>
      <c r="Q14" s="655" t="s">
        <v>1410</v>
      </c>
    </row>
    <row r="15" spans="2:27" ht="50.25" customHeight="1" thickTop="1" thickBot="1" x14ac:dyDescent="0.35">
      <c r="C15" s="615" t="s">
        <v>1315</v>
      </c>
      <c r="D15" s="616"/>
      <c r="E15" s="667"/>
      <c r="F15" s="667"/>
      <c r="G15" s="667"/>
      <c r="H15" s="667"/>
      <c r="I15" s="667"/>
      <c r="J15" s="667"/>
      <c r="Q15" s="655" t="s">
        <v>1411</v>
      </c>
    </row>
    <row r="16" spans="2:27" ht="50.25" customHeight="1" thickTop="1" x14ac:dyDescent="0.3">
      <c r="C16" s="615" t="s">
        <v>1320</v>
      </c>
      <c r="D16" s="616"/>
      <c r="E16" s="617"/>
      <c r="F16" s="617"/>
      <c r="G16" s="617"/>
      <c r="H16" s="617"/>
      <c r="I16" s="617"/>
      <c r="J16" s="617"/>
      <c r="Q16" s="655" t="s">
        <v>1412</v>
      </c>
    </row>
    <row r="17" spans="2:17" ht="50.25" customHeight="1" thickBot="1" x14ac:dyDescent="0.35">
      <c r="C17" s="616"/>
      <c r="D17" s="616"/>
      <c r="E17" s="666"/>
      <c r="F17" s="666"/>
      <c r="G17" s="666"/>
      <c r="H17" s="666"/>
      <c r="I17" s="666"/>
      <c r="J17" s="619" t="s">
        <v>1319</v>
      </c>
      <c r="Q17" s="655" t="s">
        <v>1413</v>
      </c>
    </row>
    <row r="18" spans="2:17" ht="50.25" customHeight="1" thickTop="1" thickBot="1" x14ac:dyDescent="0.35">
      <c r="C18" s="615" t="s">
        <v>1321</v>
      </c>
      <c r="D18" s="616"/>
      <c r="E18" s="621" t="s">
        <v>1322</v>
      </c>
      <c r="F18" s="622"/>
      <c r="G18" s="622"/>
      <c r="H18" s="621" t="s">
        <v>1323</v>
      </c>
      <c r="I18" s="622"/>
      <c r="J18" s="622"/>
      <c r="Q18" s="655" t="s">
        <v>1414</v>
      </c>
    </row>
    <row r="19" spans="2:17" ht="50.25" customHeight="1" thickTop="1" x14ac:dyDescent="0.3">
      <c r="C19" s="615" t="s">
        <v>1324</v>
      </c>
      <c r="D19" s="616"/>
      <c r="Q19" s="655" t="s">
        <v>1415</v>
      </c>
    </row>
    <row r="20" spans="2:17" ht="50.25" customHeight="1" thickBot="1" x14ac:dyDescent="0.35">
      <c r="E20" s="665"/>
      <c r="F20" s="665"/>
      <c r="G20" s="665"/>
      <c r="H20" s="665"/>
      <c r="I20" s="665"/>
      <c r="J20" s="665"/>
      <c r="Q20" s="655" t="s">
        <v>1416</v>
      </c>
    </row>
    <row r="21" spans="2:17" ht="34.5" thickTop="1" x14ac:dyDescent="0.3">
      <c r="Q21" s="655" t="s">
        <v>1417</v>
      </c>
    </row>
    <row r="22" spans="2:17" ht="42" customHeight="1" x14ac:dyDescent="0.3">
      <c r="B22" s="663" t="s">
        <v>1325</v>
      </c>
      <c r="C22" s="664"/>
      <c r="D22" s="664"/>
      <c r="E22" s="664"/>
      <c r="F22" s="664"/>
      <c r="G22" s="664"/>
      <c r="H22" s="664"/>
      <c r="I22" s="664"/>
      <c r="J22" s="664"/>
      <c r="K22" s="664"/>
      <c r="Q22" s="655" t="s">
        <v>1418</v>
      </c>
    </row>
    <row r="23" spans="2:17" ht="42" customHeight="1" x14ac:dyDescent="0.3">
      <c r="B23" s="664"/>
      <c r="C23" s="664"/>
      <c r="D23" s="664"/>
      <c r="E23" s="664"/>
      <c r="F23" s="664"/>
      <c r="G23" s="664"/>
      <c r="H23" s="664"/>
      <c r="I23" s="664"/>
      <c r="J23" s="664"/>
      <c r="K23" s="664"/>
      <c r="Q23" s="655" t="s">
        <v>1419</v>
      </c>
    </row>
    <row r="24" spans="2:17" ht="33.75" x14ac:dyDescent="0.3">
      <c r="B24" s="664"/>
      <c r="C24" s="664"/>
      <c r="D24" s="664"/>
      <c r="E24" s="664"/>
      <c r="F24" s="664"/>
      <c r="G24" s="664"/>
      <c r="H24" s="664"/>
      <c r="I24" s="664"/>
      <c r="J24" s="664"/>
      <c r="K24" s="664"/>
      <c r="Q24" s="655" t="s">
        <v>1420</v>
      </c>
    </row>
    <row r="25" spans="2:17" x14ac:dyDescent="0.3">
      <c r="B25" s="664"/>
      <c r="C25" s="664"/>
      <c r="D25" s="664"/>
      <c r="E25" s="664"/>
      <c r="F25" s="664"/>
      <c r="G25" s="664"/>
      <c r="H25" s="664"/>
      <c r="I25" s="664"/>
      <c r="J25" s="664"/>
      <c r="K25" s="664"/>
    </row>
    <row r="26" spans="2:17" x14ac:dyDescent="0.3">
      <c r="B26" s="664"/>
      <c r="C26" s="664"/>
      <c r="D26" s="664"/>
      <c r="E26" s="664"/>
      <c r="F26" s="664"/>
      <c r="G26" s="664"/>
      <c r="H26" s="664"/>
      <c r="I26" s="664"/>
      <c r="J26" s="664"/>
      <c r="K26" s="664"/>
    </row>
    <row r="27" spans="2:17" x14ac:dyDescent="0.3">
      <c r="B27" s="664"/>
      <c r="C27" s="664"/>
      <c r="D27" s="664"/>
      <c r="E27" s="664"/>
      <c r="F27" s="664"/>
      <c r="G27" s="664"/>
      <c r="H27" s="664"/>
      <c r="I27" s="664"/>
      <c r="J27" s="664"/>
      <c r="K27" s="664"/>
    </row>
    <row r="28" spans="2:17" x14ac:dyDescent="0.3">
      <c r="B28" s="664"/>
      <c r="C28" s="664"/>
      <c r="D28" s="664"/>
      <c r="E28" s="664"/>
      <c r="F28" s="664"/>
      <c r="G28" s="664"/>
      <c r="H28" s="664"/>
      <c r="I28" s="664"/>
      <c r="J28" s="664"/>
      <c r="K28" s="664"/>
    </row>
    <row r="29" spans="2:17" x14ac:dyDescent="0.3">
      <c r="B29" s="664"/>
      <c r="C29" s="664"/>
      <c r="D29" s="664"/>
      <c r="E29" s="664"/>
      <c r="F29" s="664"/>
      <c r="G29" s="664"/>
      <c r="H29" s="664"/>
      <c r="I29" s="664"/>
      <c r="J29" s="664"/>
      <c r="K29" s="664"/>
    </row>
    <row r="30" spans="2:17" x14ac:dyDescent="0.3">
      <c r="B30" s="664"/>
      <c r="C30" s="664"/>
      <c r="D30" s="664"/>
      <c r="E30" s="664"/>
      <c r="F30" s="664"/>
      <c r="G30" s="664"/>
      <c r="H30" s="664"/>
      <c r="I30" s="664"/>
      <c r="J30" s="664"/>
      <c r="K30" s="664"/>
    </row>
    <row r="31" spans="2:17" x14ac:dyDescent="0.3">
      <c r="B31" s="664"/>
      <c r="C31" s="664"/>
      <c r="D31" s="664"/>
      <c r="E31" s="664"/>
      <c r="F31" s="664"/>
      <c r="G31" s="664"/>
      <c r="H31" s="664"/>
      <c r="I31" s="664"/>
      <c r="J31" s="664"/>
      <c r="K31" s="664"/>
    </row>
    <row r="32" spans="2:17" x14ac:dyDescent="0.3">
      <c r="B32" s="664"/>
      <c r="C32" s="664"/>
      <c r="D32" s="664"/>
      <c r="E32" s="664"/>
      <c r="F32" s="664"/>
      <c r="G32" s="664"/>
      <c r="H32" s="664"/>
      <c r="I32" s="664"/>
      <c r="J32" s="664"/>
      <c r="K32" s="664"/>
    </row>
    <row r="33" spans="2:11" x14ac:dyDescent="0.3">
      <c r="B33" s="664"/>
      <c r="C33" s="664"/>
      <c r="D33" s="664"/>
      <c r="E33" s="664"/>
      <c r="F33" s="664"/>
      <c r="G33" s="664"/>
      <c r="H33" s="664"/>
      <c r="I33" s="664"/>
      <c r="J33" s="664"/>
      <c r="K33" s="664"/>
    </row>
    <row r="1048576" spans="17:17" ht="33.75" x14ac:dyDescent="0.3">
      <c r="Q1048576" s="655"/>
    </row>
  </sheetData>
  <sheetProtection algorithmName="SHA-512" hashValue="yL1/MeMIxk41iTIsYRWK4YqA9C8I3HpDXMdvVfReMX/pJEoqrv9bCLSwUbTpHd9VIBK6UdOsfxYaJpz7rekcEQ==" saltValue="Am9m4KX1C+BsfnJpLjdwjg==" spinCount="100000" sheet="1" objects="1" scenarios="1"/>
  <mergeCells count="14">
    <mergeCell ref="B4:K5"/>
    <mergeCell ref="B22:K33"/>
    <mergeCell ref="E20:J20"/>
    <mergeCell ref="E17:I17"/>
    <mergeCell ref="E15:J15"/>
    <mergeCell ref="E14:J14"/>
    <mergeCell ref="E13:J13"/>
    <mergeCell ref="E12:J12"/>
    <mergeCell ref="I11:J11"/>
    <mergeCell ref="F11:G11"/>
    <mergeCell ref="E10:J10"/>
    <mergeCell ref="F9:G9"/>
    <mergeCell ref="I9:J9"/>
    <mergeCell ref="E8:J8"/>
  </mergeCells>
  <phoneticPr fontId="2" type="noConversion"/>
  <pageMargins left="0.7" right="0.7" top="0.75" bottom="0.75" header="0.3" footer="0.3"/>
  <pageSetup paperSize="9" scale="62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34" r:id="rId4" name="ComboBox1">
          <controlPr defaultSize="0" autoLine="0" listFillRange="Q8:Q24" r:id="rId5">
            <anchor moveWithCells="1">
              <from>
                <xdr:col>4</xdr:col>
                <xdr:colOff>57150</xdr:colOff>
                <xdr:row>7</xdr:row>
                <xdr:rowOff>0</xdr:rowOff>
              </from>
              <to>
                <xdr:col>10</xdr:col>
                <xdr:colOff>19050</xdr:colOff>
                <xdr:row>7</xdr:row>
                <xdr:rowOff>581025</xdr:rowOff>
              </to>
            </anchor>
          </controlPr>
        </control>
      </mc:Choice>
      <mc:Fallback>
        <control shapeId="1034" r:id="rId4" name="Combo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tabColor theme="3"/>
    <pageSetUpPr fitToPage="1"/>
  </sheetPr>
  <dimension ref="A1:KL801"/>
  <sheetViews>
    <sheetView showGridLines="0" tabSelected="1" zoomScale="70" zoomScaleNormal="70" workbookViewId="0">
      <selection activeCell="BZ48" sqref="BZ48"/>
    </sheetView>
  </sheetViews>
  <sheetFormatPr defaultColWidth="8.75" defaultRowHeight="13.5" x14ac:dyDescent="0.3"/>
  <cols>
    <col min="1" max="1" width="1.625" style="22" customWidth="1"/>
    <col min="2" max="2" width="2.5" style="22" customWidth="1"/>
    <col min="3" max="3" width="1.625" style="22" customWidth="1"/>
    <col min="4" max="42" width="1.625" style="32" customWidth="1"/>
    <col min="43" max="43" width="0.75" style="32" customWidth="1"/>
    <col min="44" max="44" width="1.625" style="32" customWidth="1"/>
    <col min="45" max="75" width="1.625" style="22" customWidth="1"/>
    <col min="76" max="76" width="1.375" style="22" customWidth="1"/>
    <col min="77" max="77" width="13.75" style="168" customWidth="1"/>
    <col min="78" max="78" width="17.75" style="22" customWidth="1"/>
    <col min="79" max="79" width="1.625" style="22" customWidth="1"/>
    <col min="80" max="80" width="3.5" style="24" customWidth="1"/>
    <col min="81" max="81" width="10.375" style="25" hidden="1" customWidth="1"/>
    <col min="82" max="85" width="10.375" style="26" hidden="1" customWidth="1"/>
    <col min="86" max="86" width="20.5" style="27" hidden="1" customWidth="1"/>
    <col min="87" max="87" width="21.125" style="26" hidden="1" customWidth="1"/>
    <col min="88" max="88" width="10.25" style="26" hidden="1" customWidth="1"/>
    <col min="89" max="89" width="2.375" style="26" hidden="1" customWidth="1"/>
    <col min="90" max="90" width="7.75" style="28" hidden="1" customWidth="1"/>
    <col min="91" max="91" width="16.75" style="28" hidden="1" customWidth="1"/>
    <col min="92" max="92" width="3" style="26" hidden="1" customWidth="1"/>
    <col min="93" max="93" width="19.625" style="29" hidden="1" customWidth="1"/>
    <col min="94" max="94" width="14" style="28" hidden="1" customWidth="1"/>
    <col min="95" max="95" width="35.875" style="28" hidden="1" customWidth="1"/>
    <col min="96" max="96" width="13" style="28" hidden="1" customWidth="1"/>
    <col min="97" max="99" width="14" style="28" hidden="1" customWidth="1"/>
    <col min="100" max="100" width="2.125" style="26" hidden="1" customWidth="1"/>
    <col min="101" max="101" width="5.25" style="26" hidden="1" customWidth="1"/>
    <col min="102" max="102" width="16.5" style="26" hidden="1" customWidth="1"/>
    <col min="103" max="107" width="9.625" style="26" hidden="1" customWidth="1"/>
    <col min="108" max="108" width="11.75" style="26" hidden="1" customWidth="1"/>
    <col min="109" max="109" width="5.125" style="26" hidden="1" customWidth="1"/>
    <col min="110" max="110" width="12.75" style="28" hidden="1" customWidth="1"/>
    <col min="111" max="111" width="12.875" style="30" hidden="1" customWidth="1"/>
    <col min="112" max="112" width="8.625" style="26" hidden="1" customWidth="1"/>
    <col min="113" max="113" width="13" style="282" hidden="1" customWidth="1"/>
    <col min="114" max="114" width="1.375" style="282" hidden="1" customWidth="1"/>
    <col min="115" max="115" width="11" style="282" hidden="1" customWidth="1"/>
    <col min="116" max="116" width="10.75" style="282" hidden="1" customWidth="1"/>
    <col min="117" max="117" width="3.625" style="24" customWidth="1"/>
    <col min="118" max="136" width="8.625" style="24" customWidth="1"/>
    <col min="137" max="298" width="9" style="24" customWidth="1"/>
    <col min="299" max="16384" width="8.75" style="25"/>
  </cols>
  <sheetData>
    <row r="1" spans="2:128" ht="15.95" customHeight="1" x14ac:dyDescent="0.3">
      <c r="B1" s="23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23"/>
      <c r="BY1" s="22"/>
      <c r="DI1" s="269"/>
      <c r="DJ1" s="269"/>
      <c r="DK1" s="269"/>
      <c r="DL1" s="269"/>
    </row>
    <row r="2" spans="2:128" ht="15.95" customHeight="1" x14ac:dyDescent="0.3"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31"/>
      <c r="X2" s="684" t="str">
        <f>IF($BD$30&gt;$BP$30,"CM수수료율 상한 확인필요","")</f>
        <v/>
      </c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BY2" s="22"/>
      <c r="DI2" s="270"/>
      <c r="DJ2" s="270"/>
      <c r="DK2" s="270"/>
      <c r="DL2" s="270"/>
      <c r="DM2" s="918" t="s">
        <v>1403</v>
      </c>
      <c r="DN2" s="919"/>
      <c r="DO2" s="919"/>
      <c r="DP2" s="919"/>
      <c r="DQ2" s="919"/>
      <c r="DR2" s="919"/>
      <c r="DS2" s="919"/>
      <c r="DT2" s="919"/>
      <c r="DU2" s="919"/>
      <c r="DV2" s="919"/>
      <c r="DW2" s="919"/>
      <c r="DX2" s="919"/>
    </row>
    <row r="3" spans="2:128" ht="30.75" customHeight="1" x14ac:dyDescent="0.3">
      <c r="C3" s="703" t="s">
        <v>373</v>
      </c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  <c r="AA3" s="703"/>
      <c r="AB3" s="703"/>
      <c r="AC3" s="703"/>
      <c r="AD3" s="703"/>
      <c r="AE3" s="703"/>
      <c r="AF3" s="703"/>
      <c r="AG3" s="703"/>
      <c r="AH3" s="703"/>
      <c r="AI3" s="703"/>
      <c r="AJ3" s="703"/>
      <c r="AK3" s="703"/>
      <c r="AL3" s="703"/>
      <c r="AM3" s="703"/>
      <c r="AN3" s="703"/>
      <c r="AO3" s="703"/>
      <c r="AP3" s="703"/>
      <c r="AQ3" s="703"/>
      <c r="AT3" s="741" t="s">
        <v>1421</v>
      </c>
      <c r="AU3" s="742"/>
      <c r="AV3" s="742"/>
      <c r="AW3" s="742"/>
      <c r="AX3" s="742"/>
      <c r="AY3" s="742"/>
      <c r="AZ3" s="742"/>
      <c r="BA3" s="742"/>
      <c r="BB3" s="742"/>
      <c r="BC3" s="742"/>
      <c r="BD3" s="742"/>
      <c r="BE3" s="742"/>
      <c r="BF3" s="742"/>
      <c r="BG3" s="742"/>
      <c r="BH3" s="742"/>
      <c r="BI3" s="742"/>
      <c r="BJ3" s="742"/>
      <c r="BK3" s="742"/>
      <c r="BL3" s="742"/>
      <c r="BM3" s="742"/>
      <c r="BN3" s="742"/>
      <c r="BO3" s="742"/>
      <c r="BP3" s="742"/>
      <c r="BQ3" s="742"/>
      <c r="BR3" s="742"/>
      <c r="BS3" s="742"/>
      <c r="BT3" s="742"/>
      <c r="BU3" s="742"/>
      <c r="BV3" s="742"/>
      <c r="BW3" s="742"/>
      <c r="BX3" s="742"/>
      <c r="BY3" s="33"/>
      <c r="BZ3" s="34"/>
      <c r="CS3" s="28" t="s">
        <v>197</v>
      </c>
      <c r="CT3" s="28" t="s">
        <v>198</v>
      </c>
      <c r="CW3" s="708" t="s">
        <v>112</v>
      </c>
      <c r="CX3" s="709"/>
      <c r="CY3" s="709"/>
      <c r="CZ3" s="709"/>
      <c r="DA3" s="709"/>
      <c r="DB3" s="709"/>
      <c r="DC3" s="709"/>
      <c r="DD3" s="709"/>
      <c r="DE3" s="709"/>
      <c r="DF3" s="709"/>
      <c r="DG3" s="710"/>
      <c r="DI3" s="269"/>
      <c r="DJ3" s="269"/>
      <c r="DK3" s="269"/>
      <c r="DL3" s="269"/>
      <c r="DM3" s="919"/>
      <c r="DN3" s="919"/>
      <c r="DO3" s="919"/>
      <c r="DP3" s="919"/>
      <c r="DQ3" s="919"/>
      <c r="DR3" s="919"/>
      <c r="DS3" s="919"/>
      <c r="DT3" s="919"/>
      <c r="DU3" s="919"/>
      <c r="DV3" s="919"/>
      <c r="DW3" s="919"/>
      <c r="DX3" s="919"/>
    </row>
    <row r="4" spans="2:128" ht="15.95" customHeight="1" thickBot="1" x14ac:dyDescent="0.35">
      <c r="C4" s="316"/>
      <c r="D4" s="317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318"/>
      <c r="AJ4" s="586"/>
      <c r="AK4" s="586"/>
      <c r="AL4" s="586"/>
      <c r="AM4" s="586"/>
      <c r="AN4" s="586"/>
      <c r="AO4" s="586"/>
      <c r="AP4" s="586"/>
      <c r="AQ4" s="318"/>
      <c r="AT4" s="744" t="s">
        <v>204</v>
      </c>
      <c r="AU4" s="744"/>
      <c r="AV4" s="744"/>
      <c r="AW4" s="744"/>
      <c r="AX4" s="744"/>
      <c r="AY4" s="744"/>
      <c r="AZ4" s="744"/>
      <c r="BA4" s="744"/>
      <c r="BB4" s="744"/>
      <c r="BC4" s="745"/>
      <c r="BD4" s="746" t="s">
        <v>205</v>
      </c>
      <c r="BE4" s="747"/>
      <c r="BF4" s="747"/>
      <c r="BG4" s="747"/>
      <c r="BH4" s="747"/>
      <c r="BI4" s="747"/>
      <c r="BJ4" s="747"/>
      <c r="BK4" s="747"/>
      <c r="BL4" s="747"/>
      <c r="BM4" s="747"/>
      <c r="BN4" s="747"/>
      <c r="BO4" s="747"/>
      <c r="BP4" s="747"/>
      <c r="BQ4" s="747"/>
      <c r="BR4" s="747"/>
      <c r="BS4" s="747"/>
      <c r="BT4" s="747"/>
      <c r="BU4" s="747"/>
      <c r="BV4" s="747"/>
      <c r="BW4" s="747"/>
      <c r="BY4" s="743"/>
      <c r="BZ4" s="743"/>
      <c r="CD4" s="288" t="s">
        <v>299</v>
      </c>
      <c r="CE4" s="289" t="b">
        <v>1</v>
      </c>
      <c r="CH4" s="35" t="s">
        <v>83</v>
      </c>
      <c r="CI4" s="36" t="str">
        <f>IF($BD$15="당사명의","부산",$BN$15)</f>
        <v>부산</v>
      </c>
      <c r="CL4" s="37" t="s">
        <v>206</v>
      </c>
      <c r="CM4" s="38">
        <f>IRR($CM$5:$CM$65,0)*12</f>
        <v>4.7996211988780679E-2</v>
      </c>
      <c r="CO4" s="39" t="s">
        <v>176</v>
      </c>
      <c r="CP4" s="40">
        <f>$CI$24</f>
        <v>60</v>
      </c>
      <c r="CQ4" s="41">
        <f>$CP$4</f>
        <v>60</v>
      </c>
      <c r="CR4" s="42"/>
      <c r="CS4" s="37">
        <f>$CQ$4</f>
        <v>60</v>
      </c>
      <c r="CT4" s="41">
        <f>$CQ$4</f>
        <v>60</v>
      </c>
      <c r="CU4" s="42"/>
      <c r="CW4" s="670" t="s">
        <v>82</v>
      </c>
      <c r="CX4" s="671"/>
      <c r="CY4" s="43">
        <v>0</v>
      </c>
      <c r="CZ4" s="43">
        <v>1000</v>
      </c>
      <c r="DA4" s="43">
        <v>1500</v>
      </c>
      <c r="DB4" s="43">
        <v>1600</v>
      </c>
      <c r="DC4" s="43">
        <v>2000</v>
      </c>
      <c r="DD4" s="44"/>
      <c r="DE4" s="45">
        <v>1</v>
      </c>
      <c r="DF4" s="46"/>
      <c r="DG4" s="47"/>
      <c r="DI4" s="269"/>
      <c r="DJ4" s="269"/>
      <c r="DK4" s="269"/>
      <c r="DL4" s="269"/>
      <c r="DM4" s="919"/>
      <c r="DN4" s="919"/>
      <c r="DO4" s="919"/>
      <c r="DP4" s="919"/>
      <c r="DQ4" s="919"/>
      <c r="DR4" s="919"/>
      <c r="DS4" s="919"/>
      <c r="DT4" s="919"/>
      <c r="DU4" s="919"/>
      <c r="DV4" s="919"/>
      <c r="DW4" s="919"/>
      <c r="DX4" s="919"/>
    </row>
    <row r="5" spans="2:128" ht="15.95" customHeight="1" thickTop="1" thickBot="1" x14ac:dyDescent="0.35">
      <c r="C5" s="316"/>
      <c r="D5" s="920" t="str">
        <f>IF($BD$4="","VVIP 고객님",$BD$4&amp;" 고객님")</f>
        <v>VVIP 고객님</v>
      </c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319"/>
      <c r="R5" s="319"/>
      <c r="S5" s="319"/>
      <c r="T5" s="319"/>
      <c r="U5" s="319"/>
      <c r="V5" s="318"/>
      <c r="W5" s="318"/>
      <c r="X5" s="318"/>
      <c r="Y5" s="318"/>
      <c r="Z5" s="323" t="s">
        <v>378</v>
      </c>
      <c r="AA5" s="323"/>
      <c r="AB5" s="323"/>
      <c r="AC5" s="324"/>
      <c r="AD5" s="323"/>
      <c r="AE5" s="325"/>
      <c r="AF5" s="323"/>
      <c r="AG5" s="325"/>
      <c r="AH5" s="323"/>
      <c r="AI5" s="921">
        <f ca="1">TODAY()</f>
        <v>45946</v>
      </c>
      <c r="AJ5" s="921"/>
      <c r="AK5" s="921"/>
      <c r="AL5" s="921"/>
      <c r="AM5" s="921"/>
      <c r="AN5" s="921"/>
      <c r="AO5" s="921"/>
      <c r="AP5" s="921"/>
      <c r="AQ5" s="318"/>
      <c r="AT5" s="827" t="s">
        <v>43</v>
      </c>
      <c r="AU5" s="828"/>
      <c r="AV5" s="828"/>
      <c r="AW5" s="828"/>
      <c r="AX5" s="828"/>
      <c r="AY5" s="828"/>
      <c r="AZ5" s="828"/>
      <c r="BA5" s="828"/>
      <c r="BB5" s="828"/>
      <c r="BC5" s="828"/>
      <c r="BD5" s="832" t="s">
        <v>343</v>
      </c>
      <c r="BE5" s="832"/>
      <c r="BF5" s="832"/>
      <c r="BG5" s="832"/>
      <c r="BH5" s="832"/>
      <c r="BI5" s="832"/>
      <c r="BJ5" s="832"/>
      <c r="BK5" s="832"/>
      <c r="BL5" s="832"/>
      <c r="BM5" s="832"/>
      <c r="BN5" s="832"/>
      <c r="BO5" s="832"/>
      <c r="BP5" s="832"/>
      <c r="BQ5" s="832"/>
      <c r="BR5" s="832"/>
      <c r="BS5" s="832"/>
      <c r="BT5" s="832"/>
      <c r="BU5" s="832"/>
      <c r="BV5" s="832"/>
      <c r="BW5" s="833"/>
      <c r="BY5" s="815" t="s">
        <v>646</v>
      </c>
      <c r="BZ5" s="816"/>
      <c r="CD5" s="288" t="s">
        <v>302</v>
      </c>
      <c r="CE5" s="289" t="b">
        <v>1</v>
      </c>
      <c r="CH5" s="35" t="s">
        <v>46</v>
      </c>
      <c r="CI5" s="48" t="str">
        <f>IF($BQ$7="DB자동연결",$BD$7,$BQ$7)</f>
        <v>승용SUV(7~10인)</v>
      </c>
      <c r="CL5" s="49">
        <v>0</v>
      </c>
      <c r="CM5" s="50">
        <f>-$CP$17+$CP$22</f>
        <v>-171873080</v>
      </c>
      <c r="CO5" s="51" t="s">
        <v>128</v>
      </c>
      <c r="CP5" s="52">
        <f>$CI$25</f>
        <v>4.8000000000000001E-2</v>
      </c>
      <c r="CQ5" s="53">
        <f>$CP$5</f>
        <v>4.8000000000000001E-2</v>
      </c>
      <c r="CR5" s="54"/>
      <c r="CS5" s="55">
        <f>$CQ$5</f>
        <v>4.8000000000000001E-2</v>
      </c>
      <c r="CT5" s="53">
        <f>$CQ$5</f>
        <v>4.8000000000000001E-2</v>
      </c>
      <c r="CU5" s="54"/>
      <c r="CW5" s="672"/>
      <c r="CX5" s="673"/>
      <c r="CY5" s="673"/>
      <c r="CZ5" s="673"/>
      <c r="DA5" s="673"/>
      <c r="DB5" s="673"/>
      <c r="DC5" s="673"/>
      <c r="DD5" s="674"/>
      <c r="DE5" s="56">
        <v>2</v>
      </c>
      <c r="DF5" s="46"/>
      <c r="DG5" s="47">
        <f>IF($CI$4="서울",$DG$6,IF($CI$4="부산",$DG$16,IF($CI$4="대구",$DG$26,IF($CI$4="인천",$DG$36,IF($CI$4="대전",$DG$46,IF($CI$4="광주",$DG$56,IF($CI$4="울산/강원/전남",$DG$66,IF($CI$4="제주",$DG$76,IF($CI$4="세종/경북",$DG$86,IF($CI$4="경기",$DG$96,IF($CI$4="충남",$DG$106,IF($CI$4="충북",$DG$116,IF($CI$4="전북",$DG$126,IF($CI$4="경남",$DG$136,0))))))))))))))</f>
        <v>0</v>
      </c>
      <c r="DI5" s="269"/>
      <c r="DJ5" s="269"/>
      <c r="DK5" s="269"/>
      <c r="DL5" s="269"/>
      <c r="DM5" s="919"/>
      <c r="DN5" s="919"/>
      <c r="DO5" s="919"/>
      <c r="DP5" s="919"/>
      <c r="DQ5" s="919"/>
      <c r="DR5" s="919"/>
      <c r="DS5" s="919"/>
      <c r="DT5" s="919"/>
      <c r="DU5" s="919"/>
      <c r="DV5" s="919"/>
      <c r="DW5" s="919"/>
      <c r="DX5" s="919"/>
    </row>
    <row r="6" spans="2:128" ht="15.95" customHeight="1" thickBot="1" x14ac:dyDescent="0.25">
      <c r="C6" s="167"/>
      <c r="D6" s="330"/>
      <c r="E6" s="320"/>
      <c r="F6" s="320"/>
      <c r="G6" s="320"/>
      <c r="H6" s="322"/>
      <c r="I6" s="322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19"/>
      <c r="U6" s="319"/>
      <c r="V6" s="319"/>
      <c r="W6" s="319"/>
      <c r="X6" s="319"/>
      <c r="Y6" s="319"/>
      <c r="Z6" s="320" t="s">
        <v>376</v>
      </c>
      <c r="AA6" s="320"/>
      <c r="AB6" s="320"/>
      <c r="AC6" s="321"/>
      <c r="AD6" s="320"/>
      <c r="AE6" s="319"/>
      <c r="AF6" s="320"/>
      <c r="AG6" s="319"/>
      <c r="AH6" s="320"/>
      <c r="AI6" s="922">
        <f ca="1">AI5+7</f>
        <v>45953</v>
      </c>
      <c r="AJ6" s="922"/>
      <c r="AK6" s="922"/>
      <c r="AL6" s="922"/>
      <c r="AM6" s="922"/>
      <c r="AN6" s="922"/>
      <c r="AO6" s="922"/>
      <c r="AP6" s="922"/>
      <c r="AQ6" s="313"/>
      <c r="AT6" s="748" t="s">
        <v>44</v>
      </c>
      <c r="AU6" s="749"/>
      <c r="AV6" s="749"/>
      <c r="AW6" s="749"/>
      <c r="AX6" s="749"/>
      <c r="AY6" s="749"/>
      <c r="AZ6" s="749"/>
      <c r="BA6" s="749"/>
      <c r="BB6" s="749"/>
      <c r="BC6" s="749"/>
      <c r="BD6" s="880" t="s">
        <v>827</v>
      </c>
      <c r="BE6" s="880"/>
      <c r="BF6" s="880"/>
      <c r="BG6" s="880"/>
      <c r="BH6" s="880"/>
      <c r="BI6" s="880"/>
      <c r="BJ6" s="880"/>
      <c r="BK6" s="880"/>
      <c r="BL6" s="880"/>
      <c r="BM6" s="880"/>
      <c r="BN6" s="880"/>
      <c r="BO6" s="880"/>
      <c r="BP6" s="880"/>
      <c r="BQ6" s="880"/>
      <c r="BR6" s="880"/>
      <c r="BS6" s="880"/>
      <c r="BT6" s="880"/>
      <c r="BU6" s="880"/>
      <c r="BV6" s="880"/>
      <c r="BW6" s="881"/>
      <c r="BY6" s="817"/>
      <c r="BZ6" s="817"/>
      <c r="CD6" s="286" t="s">
        <v>300</v>
      </c>
      <c r="CE6" s="287" t="b">
        <v>1</v>
      </c>
      <c r="CH6" s="35" t="s">
        <v>47</v>
      </c>
      <c r="CI6" s="57">
        <f>IF($BQ$8&gt;0,$BQ$8,$BD$8)</f>
        <v>2993</v>
      </c>
      <c r="CL6" s="49">
        <v>1</v>
      </c>
      <c r="CM6" s="50">
        <f>IF(CL6&lt;$CP$4,$CQ$32-$CQ$31,IF(CL6=$CP$4,$CQ$32-$CQ$31+$CQ$24-$CQ$20,0))</f>
        <v>1859558</v>
      </c>
      <c r="CW6" s="58" t="s">
        <v>81</v>
      </c>
      <c r="CX6" s="59" t="str">
        <f>견적관리자용!$S$8</f>
        <v>승용일반</v>
      </c>
      <c r="CY6" s="60">
        <v>0</v>
      </c>
      <c r="CZ6" s="61">
        <v>0.09</v>
      </c>
      <c r="DA6" s="61">
        <v>0.09</v>
      </c>
      <c r="DB6" s="61">
        <v>0.12</v>
      </c>
      <c r="DC6" s="61">
        <v>0.2</v>
      </c>
      <c r="DD6" s="62">
        <f>HLOOKUP($CI$6,$CY$4:$DC$145,DE6,TRUE)</f>
        <v>0.2</v>
      </c>
      <c r="DE6" s="63">
        <v>3</v>
      </c>
      <c r="DF6" s="62">
        <f t="shared" ref="DF6:DF12" si="0">IF($CI$5=CX6,DD6,0)</f>
        <v>0</v>
      </c>
      <c r="DG6" s="64">
        <f>SUM(DF6:DF15)</f>
        <v>390000</v>
      </c>
      <c r="DI6" s="271" t="s">
        <v>292</v>
      </c>
      <c r="DJ6" s="284">
        <f>(DK9-DK8)/CP8</f>
        <v>0.58329257749240837</v>
      </c>
      <c r="DK6" s="272" t="s">
        <v>293</v>
      </c>
      <c r="DL6" s="273"/>
      <c r="DM6" s="919"/>
      <c r="DN6" s="919"/>
      <c r="DO6" s="919"/>
      <c r="DP6" s="919"/>
      <c r="DQ6" s="919"/>
      <c r="DR6" s="919"/>
      <c r="DS6" s="919"/>
      <c r="DT6" s="919"/>
      <c r="DU6" s="919"/>
      <c r="DV6" s="919"/>
      <c r="DW6" s="919"/>
      <c r="DX6" s="919"/>
    </row>
    <row r="7" spans="2:128" ht="15.95" customHeight="1" thickTop="1" x14ac:dyDescent="0.2">
      <c r="C7" s="167"/>
      <c r="D7" s="330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26" t="s">
        <v>375</v>
      </c>
      <c r="AA7" s="326"/>
      <c r="AB7" s="326"/>
      <c r="AC7" s="327"/>
      <c r="AD7" s="326"/>
      <c r="AE7" s="328"/>
      <c r="AF7" s="924" t="str">
        <f>BD36</f>
        <v xml:space="preserve"> OOO</v>
      </c>
      <c r="AG7" s="924"/>
      <c r="AH7" s="924"/>
      <c r="AI7" s="924"/>
      <c r="AJ7" s="925" t="str">
        <f>BM36</f>
        <v>010-0000-0000</v>
      </c>
      <c r="AK7" s="925"/>
      <c r="AL7" s="925"/>
      <c r="AM7" s="925"/>
      <c r="AN7" s="925"/>
      <c r="AO7" s="925"/>
      <c r="AP7" s="925"/>
      <c r="AQ7" s="313"/>
      <c r="AT7" s="896" t="s">
        <v>46</v>
      </c>
      <c r="AU7" s="897"/>
      <c r="AV7" s="897"/>
      <c r="AW7" s="897"/>
      <c r="AX7" s="897"/>
      <c r="AY7" s="897"/>
      <c r="AZ7" s="897"/>
      <c r="BA7" s="897"/>
      <c r="BB7" s="897"/>
      <c r="BC7" s="897"/>
      <c r="BD7" s="890" t="str">
        <f>VLOOKUP($BD$6,차량DB!$F$5:$P$88845,3,FALSE)</f>
        <v>승용SUV(7~10인)</v>
      </c>
      <c r="BE7" s="890"/>
      <c r="BF7" s="890"/>
      <c r="BG7" s="890"/>
      <c r="BH7" s="890"/>
      <c r="BI7" s="890"/>
      <c r="BJ7" s="891"/>
      <c r="BK7" s="884" t="s">
        <v>49</v>
      </c>
      <c r="BL7" s="885"/>
      <c r="BM7" s="885"/>
      <c r="BN7" s="885"/>
      <c r="BO7" s="885"/>
      <c r="BP7" s="885"/>
      <c r="BQ7" s="892" t="s">
        <v>60</v>
      </c>
      <c r="BR7" s="892"/>
      <c r="BS7" s="892"/>
      <c r="BT7" s="892"/>
      <c r="BU7" s="892"/>
      <c r="BV7" s="892"/>
      <c r="BW7" s="893"/>
      <c r="BY7" s="557" t="s">
        <v>667</v>
      </c>
      <c r="BZ7" s="558"/>
      <c r="CD7" s="286" t="s">
        <v>333</v>
      </c>
      <c r="CE7" s="287" t="b">
        <v>0</v>
      </c>
      <c r="CH7" s="183" t="s">
        <v>327</v>
      </c>
      <c r="CI7" s="67">
        <f>+VLOOKUP(BD6,차량DB!F:Q,12,0)</f>
        <v>0</v>
      </c>
      <c r="CL7" s="49">
        <v>2</v>
      </c>
      <c r="CM7" s="50">
        <f t="shared" ref="CM7:CM65" si="1">IF(CL7&lt;$CP$4,$CQ$32-$CQ$31,IF(CL7=$CP$4,$CQ$32-$CQ$31+$CQ$24-$CQ$20,0))</f>
        <v>1859558</v>
      </c>
      <c r="CO7" s="39"/>
      <c r="CP7" s="40" t="s">
        <v>178</v>
      </c>
      <c r="CQ7" s="41" t="s">
        <v>179</v>
      </c>
      <c r="CR7" s="42"/>
      <c r="CS7" s="37"/>
      <c r="CT7" s="41"/>
      <c r="CU7" s="42"/>
      <c r="CW7" s="68"/>
      <c r="CX7" s="69" t="str">
        <f>견적관리자용!$S$9</f>
        <v>승용SUV(~5인)</v>
      </c>
      <c r="CY7" s="70">
        <v>0</v>
      </c>
      <c r="CZ7" s="71">
        <v>0.05</v>
      </c>
      <c r="DA7" s="71">
        <v>0.05</v>
      </c>
      <c r="DB7" s="71">
        <v>0.05</v>
      </c>
      <c r="DC7" s="71">
        <v>0.05</v>
      </c>
      <c r="DD7" s="72">
        <f>HLOOKUP($CI$6,$CY$4:$DC$145,DE7,TRUE)</f>
        <v>0.05</v>
      </c>
      <c r="DE7" s="73">
        <v>4</v>
      </c>
      <c r="DF7" s="72">
        <f t="shared" si="0"/>
        <v>0</v>
      </c>
      <c r="DG7" s="74"/>
      <c r="DI7" s="274"/>
      <c r="DJ7" s="275"/>
      <c r="DK7" s="275">
        <f>+CQ24</f>
        <v>92568000</v>
      </c>
      <c r="DL7" s="276" t="s">
        <v>294</v>
      </c>
      <c r="DM7" s="919"/>
      <c r="DN7" s="919"/>
      <c r="DO7" s="919"/>
      <c r="DP7" s="919"/>
      <c r="DQ7" s="919"/>
      <c r="DR7" s="919"/>
      <c r="DS7" s="919"/>
      <c r="DT7" s="919"/>
      <c r="DU7" s="919"/>
      <c r="DV7" s="919"/>
      <c r="DW7" s="919"/>
      <c r="DX7" s="919"/>
    </row>
    <row r="8" spans="2:128" ht="15.95" customHeight="1" x14ac:dyDescent="0.3">
      <c r="C8" s="167"/>
      <c r="D8" s="685" t="str">
        <f>IF(CE7=FALSE,$BD$6,BZ7)</f>
        <v>X5 30d M Sport xDrive (7인승)</v>
      </c>
      <c r="E8" s="685"/>
      <c r="F8" s="685"/>
      <c r="G8" s="685"/>
      <c r="H8" s="685"/>
      <c r="I8" s="685"/>
      <c r="J8" s="685"/>
      <c r="K8" s="685"/>
      <c r="L8" s="685"/>
      <c r="M8" s="685"/>
      <c r="N8" s="685"/>
      <c r="O8" s="685"/>
      <c r="P8" s="685"/>
      <c r="Q8" s="685"/>
      <c r="R8" s="685"/>
      <c r="S8" s="685"/>
      <c r="T8" s="685"/>
      <c r="U8" s="75"/>
      <c r="V8" s="75"/>
      <c r="W8" s="75"/>
      <c r="X8" s="75"/>
      <c r="Y8" s="75"/>
      <c r="Z8" s="874" t="str">
        <f>IF(BZ36="현가율미체크","",IF(BZ36&gt;=90%,"현가율 초과 취급불가",""))</f>
        <v/>
      </c>
      <c r="AA8" s="874"/>
      <c r="AB8" s="874"/>
      <c r="AC8" s="874"/>
      <c r="AD8" s="874"/>
      <c r="AE8" s="874"/>
      <c r="AF8" s="874"/>
      <c r="AG8" s="874"/>
      <c r="AH8" s="874"/>
      <c r="AI8" s="874"/>
      <c r="AJ8" s="874"/>
      <c r="AK8" s="874"/>
      <c r="AL8" s="874"/>
      <c r="AM8" s="874"/>
      <c r="AN8" s="874"/>
      <c r="AO8" s="874"/>
      <c r="AP8" s="874"/>
      <c r="AQ8" s="65"/>
      <c r="AT8" s="933" t="s">
        <v>47</v>
      </c>
      <c r="AU8" s="934"/>
      <c r="AV8" s="934"/>
      <c r="AW8" s="934"/>
      <c r="AX8" s="934"/>
      <c r="AY8" s="934"/>
      <c r="AZ8" s="934"/>
      <c r="BA8" s="934"/>
      <c r="BB8" s="934"/>
      <c r="BC8" s="934"/>
      <c r="BD8" s="882">
        <f>VLOOKUP($BD$6,차량DB!$F$5:$P$88845,2,FALSE)</f>
        <v>2993</v>
      </c>
      <c r="BE8" s="882"/>
      <c r="BF8" s="882"/>
      <c r="BG8" s="882"/>
      <c r="BH8" s="882"/>
      <c r="BI8" s="882"/>
      <c r="BJ8" s="883"/>
      <c r="BK8" s="886" t="s">
        <v>50</v>
      </c>
      <c r="BL8" s="887"/>
      <c r="BM8" s="887"/>
      <c r="BN8" s="887"/>
      <c r="BO8" s="887"/>
      <c r="BP8" s="887"/>
      <c r="BQ8" s="898"/>
      <c r="BR8" s="898"/>
      <c r="BS8" s="898"/>
      <c r="BT8" s="898"/>
      <c r="BU8" s="898"/>
      <c r="BV8" s="898"/>
      <c r="BW8" s="899"/>
      <c r="BY8" s="817" t="s">
        <v>666</v>
      </c>
      <c r="BZ8" s="817"/>
      <c r="CD8" s="548" t="s">
        <v>664</v>
      </c>
      <c r="CE8" s="549" t="b">
        <v>0</v>
      </c>
      <c r="CH8" s="35" t="s">
        <v>80</v>
      </c>
      <c r="CI8" s="76" t="str">
        <f>IFERROR(IF($CJ$8="모두가능","Y",IF($CJ$8="모두불가","",VLOOKUP($BD$6,차량DB!$F$5:$P$88845,11,FALSE))),"")</f>
        <v>Y</v>
      </c>
      <c r="CJ8" s="77" t="str">
        <f>견적관리자용!$Q$30</f>
        <v>DB적용</v>
      </c>
      <c r="CK8" s="78"/>
      <c r="CL8" s="49">
        <v>3</v>
      </c>
      <c r="CM8" s="50">
        <f t="shared" si="1"/>
        <v>1859558</v>
      </c>
      <c r="CN8" s="78"/>
      <c r="CO8" s="79" t="s">
        <v>177</v>
      </c>
      <c r="CP8" s="42">
        <f>IF(BD15="이용자명의",$CI$23-$CI$22,$CI$23)</f>
        <v>169756360</v>
      </c>
      <c r="CQ8" s="50">
        <f>$CP$8</f>
        <v>169756360</v>
      </c>
      <c r="CR8" s="42"/>
      <c r="CS8" s="49">
        <f>$CP$8</f>
        <v>169756360</v>
      </c>
      <c r="CT8" s="50">
        <f>$CP$8</f>
        <v>169756360</v>
      </c>
      <c r="CU8" s="42"/>
      <c r="CW8" s="68"/>
      <c r="CX8" s="69" t="str">
        <f>견적관리자용!$S$10</f>
        <v>승용SUV(7~10인)</v>
      </c>
      <c r="CY8" s="70">
        <v>0</v>
      </c>
      <c r="CZ8" s="70">
        <v>390000</v>
      </c>
      <c r="DA8" s="80">
        <v>390000</v>
      </c>
      <c r="DB8" s="80">
        <v>390000</v>
      </c>
      <c r="DC8" s="80">
        <v>390000</v>
      </c>
      <c r="DD8" s="72">
        <f t="shared" ref="DD8:DD37" si="2">HLOOKUP($CI$6,$CY$4:$DC$145,DE8,TRUE)</f>
        <v>390000</v>
      </c>
      <c r="DE8" s="73">
        <v>5</v>
      </c>
      <c r="DF8" s="72">
        <f t="shared" si="0"/>
        <v>390000</v>
      </c>
      <c r="DG8" s="74"/>
      <c r="DI8" s="274" t="s">
        <v>295</v>
      </c>
      <c r="DJ8" s="277">
        <f>IRR(DJ10:DJ70,0)</f>
        <v>4.0013736071524697E-3</v>
      </c>
      <c r="DK8" s="275">
        <f>DK7/(1+DJ8)^CP4</f>
        <v>72845455.229869932</v>
      </c>
      <c r="DL8" s="276" t="s">
        <v>296</v>
      </c>
      <c r="DM8" s="919"/>
      <c r="DN8" s="919"/>
      <c r="DO8" s="919"/>
      <c r="DP8" s="919"/>
      <c r="DQ8" s="919"/>
      <c r="DR8" s="919"/>
      <c r="DS8" s="919"/>
      <c r="DT8" s="919"/>
      <c r="DU8" s="919"/>
      <c r="DV8" s="919"/>
      <c r="DW8" s="919"/>
      <c r="DX8" s="919"/>
    </row>
    <row r="9" spans="2:128" ht="15.95" customHeight="1" thickBot="1" x14ac:dyDescent="0.35">
      <c r="C9" s="167"/>
      <c r="D9" s="686" t="s">
        <v>226</v>
      </c>
      <c r="E9" s="687"/>
      <c r="F9" s="687"/>
      <c r="G9" s="687"/>
      <c r="H9" s="687"/>
      <c r="I9" s="687"/>
      <c r="J9" s="687"/>
      <c r="K9" s="900">
        <f>$CI$6</f>
        <v>2993</v>
      </c>
      <c r="L9" s="900"/>
      <c r="M9" s="900"/>
      <c r="N9" s="900"/>
      <c r="O9" s="900"/>
      <c r="P9" s="900"/>
      <c r="Q9" s="900"/>
      <c r="R9" s="900"/>
      <c r="S9" s="900"/>
      <c r="T9" s="901"/>
      <c r="U9" s="65"/>
      <c r="V9" s="65"/>
      <c r="W9" s="65"/>
      <c r="X9" s="65"/>
      <c r="Y9" s="65"/>
      <c r="Z9" s="682" t="s">
        <v>218</v>
      </c>
      <c r="AA9" s="683"/>
      <c r="AB9" s="683"/>
      <c r="AC9" s="683"/>
      <c r="AD9" s="683"/>
      <c r="AE9" s="683"/>
      <c r="AF9" s="683"/>
      <c r="AG9" s="903">
        <f>$CI$24</f>
        <v>60</v>
      </c>
      <c r="AH9" s="903"/>
      <c r="AI9" s="903"/>
      <c r="AJ9" s="903"/>
      <c r="AK9" s="903"/>
      <c r="AL9" s="903"/>
      <c r="AM9" s="903"/>
      <c r="AN9" s="903"/>
      <c r="AO9" s="903"/>
      <c r="AP9" s="904"/>
      <c r="AQ9" s="65"/>
      <c r="AT9" s="829" t="s">
        <v>592</v>
      </c>
      <c r="AU9" s="830"/>
      <c r="AV9" s="830"/>
      <c r="AW9" s="830"/>
      <c r="AX9" s="830"/>
      <c r="AY9" s="830"/>
      <c r="AZ9" s="830"/>
      <c r="BA9" s="830"/>
      <c r="BB9" s="830"/>
      <c r="BC9" s="830"/>
      <c r="BD9" s="894">
        <v>159600000</v>
      </c>
      <c r="BE9" s="895"/>
      <c r="BF9" s="895"/>
      <c r="BG9" s="895"/>
      <c r="BH9" s="895"/>
      <c r="BI9" s="895"/>
      <c r="BJ9" s="895"/>
      <c r="BK9" s="895"/>
      <c r="BL9" s="895"/>
      <c r="BM9" s="895"/>
      <c r="BN9" s="895"/>
      <c r="BO9" s="895"/>
      <c r="BP9" s="895"/>
      <c r="BQ9" s="895"/>
      <c r="BR9" s="895"/>
      <c r="BS9" s="895"/>
      <c r="BT9" s="895"/>
      <c r="BU9" s="895"/>
      <c r="BV9" s="895"/>
      <c r="BW9" s="895"/>
      <c r="BY9" s="738" t="s">
        <v>1176</v>
      </c>
      <c r="BZ9" s="738"/>
      <c r="CH9" s="35" t="s">
        <v>54</v>
      </c>
      <c r="CI9" s="57">
        <f>$BD$14</f>
        <v>159600000</v>
      </c>
      <c r="CL9" s="49">
        <v>4</v>
      </c>
      <c r="CM9" s="50">
        <f t="shared" si="1"/>
        <v>1859558</v>
      </c>
      <c r="CO9" s="79" t="s">
        <v>180</v>
      </c>
      <c r="CP9" s="42">
        <f>$CI$56</f>
        <v>0</v>
      </c>
      <c r="CQ9" s="50">
        <f>$CP$9</f>
        <v>0</v>
      </c>
      <c r="CR9" s="42"/>
      <c r="CS9" s="49">
        <f>$CQ$9</f>
        <v>0</v>
      </c>
      <c r="CT9" s="50">
        <f>$CQ$9</f>
        <v>0</v>
      </c>
      <c r="CU9" s="42"/>
      <c r="CW9" s="68"/>
      <c r="CX9" s="69" t="str">
        <f>견적관리자용!$S$11</f>
        <v>승합(11~15인)</v>
      </c>
      <c r="CY9" s="70">
        <v>0</v>
      </c>
      <c r="CZ9" s="70">
        <v>390000</v>
      </c>
      <c r="DA9" s="80">
        <v>390000</v>
      </c>
      <c r="DB9" s="80">
        <v>390000</v>
      </c>
      <c r="DC9" s="80">
        <v>390000</v>
      </c>
      <c r="DD9" s="72">
        <f t="shared" si="2"/>
        <v>390000</v>
      </c>
      <c r="DE9" s="73">
        <v>6</v>
      </c>
      <c r="DF9" s="72">
        <f t="shared" si="0"/>
        <v>0</v>
      </c>
      <c r="DG9" s="74"/>
      <c r="DI9" s="274" t="s">
        <v>297</v>
      </c>
      <c r="DJ9" s="275">
        <f>SUM(DJ11:DJ70)</f>
        <v>204144000</v>
      </c>
      <c r="DK9" s="275">
        <f>SUM(DK11:DK70)</f>
        <v>171863079.99999911</v>
      </c>
      <c r="DL9" s="276" t="s">
        <v>298</v>
      </c>
      <c r="DM9" s="919"/>
      <c r="DN9" s="919"/>
      <c r="DO9" s="919"/>
      <c r="DP9" s="919"/>
      <c r="DQ9" s="919"/>
      <c r="DR9" s="919"/>
      <c r="DS9" s="919"/>
      <c r="DT9" s="919"/>
      <c r="DU9" s="919"/>
      <c r="DV9" s="919"/>
      <c r="DW9" s="919"/>
      <c r="DX9" s="919"/>
    </row>
    <row r="10" spans="2:128" ht="15.95" customHeight="1" thickTop="1" x14ac:dyDescent="0.3">
      <c r="C10" s="167"/>
      <c r="D10" s="332"/>
      <c r="E10" s="333"/>
      <c r="F10" s="688" t="s">
        <v>207</v>
      </c>
      <c r="G10" s="688"/>
      <c r="H10" s="688"/>
      <c r="I10" s="688"/>
      <c r="J10" s="688"/>
      <c r="K10" s="706">
        <f>$BD$10</f>
        <v>159600000</v>
      </c>
      <c r="L10" s="706"/>
      <c r="M10" s="706"/>
      <c r="N10" s="706"/>
      <c r="O10" s="706"/>
      <c r="P10" s="706"/>
      <c r="Q10" s="706"/>
      <c r="R10" s="706"/>
      <c r="S10" s="706"/>
      <c r="T10" s="707"/>
      <c r="U10" s="65"/>
      <c r="V10" s="65"/>
      <c r="W10" s="65"/>
      <c r="X10" s="65"/>
      <c r="Y10" s="65"/>
      <c r="Z10" s="332"/>
      <c r="AA10" s="910" t="s">
        <v>219</v>
      </c>
      <c r="AB10" s="910"/>
      <c r="AC10" s="910"/>
      <c r="AD10" s="910"/>
      <c r="AE10" s="910"/>
      <c r="AF10" s="910"/>
      <c r="AG10" s="905">
        <f>ROUNDUP($CQ$32,-2)</f>
        <v>1859600</v>
      </c>
      <c r="AH10" s="906"/>
      <c r="AI10" s="906"/>
      <c r="AJ10" s="906"/>
      <c r="AK10" s="906"/>
      <c r="AL10" s="906"/>
      <c r="AM10" s="906"/>
      <c r="AN10" s="906"/>
      <c r="AO10" s="906"/>
      <c r="AP10" s="907"/>
      <c r="AQ10" s="65"/>
      <c r="AT10" s="503"/>
      <c r="AU10" s="813" t="s">
        <v>48</v>
      </c>
      <c r="AV10" s="813"/>
      <c r="AW10" s="813"/>
      <c r="AX10" s="813"/>
      <c r="AY10" s="813"/>
      <c r="AZ10" s="813"/>
      <c r="BA10" s="813"/>
      <c r="BB10" s="813"/>
      <c r="BC10" s="813"/>
      <c r="BD10" s="820">
        <f>BD9</f>
        <v>159600000</v>
      </c>
      <c r="BE10" s="820"/>
      <c r="BF10" s="820"/>
      <c r="BG10" s="820"/>
      <c r="BH10" s="820"/>
      <c r="BI10" s="820"/>
      <c r="BJ10" s="820"/>
      <c r="BK10" s="820"/>
      <c r="BL10" s="820"/>
      <c r="BM10" s="820"/>
      <c r="BN10" s="820"/>
      <c r="BO10" s="820"/>
      <c r="BP10" s="820"/>
      <c r="BQ10" s="820"/>
      <c r="BR10" s="820"/>
      <c r="BS10" s="820"/>
      <c r="BT10" s="820"/>
      <c r="BU10" s="820"/>
      <c r="BV10" s="820"/>
      <c r="BW10" s="821"/>
      <c r="BY10" s="676"/>
      <c r="BZ10" s="676"/>
      <c r="CH10" s="81" t="s">
        <v>84</v>
      </c>
      <c r="CI10" s="82">
        <f>IF($DG$5&gt;1,$DG$5,$CI$9/1.1*$DG$5)</f>
        <v>0</v>
      </c>
      <c r="CL10" s="49">
        <v>5</v>
      </c>
      <c r="CM10" s="50">
        <f t="shared" si="1"/>
        <v>1859558</v>
      </c>
      <c r="CO10" s="79" t="s">
        <v>181</v>
      </c>
      <c r="CP10" s="42">
        <f>$CI$57</f>
        <v>0</v>
      </c>
      <c r="CQ10" s="50">
        <f>$CP$10</f>
        <v>0</v>
      </c>
      <c r="CR10" s="42"/>
      <c r="CS10" s="49">
        <f>$CQ$10</f>
        <v>0</v>
      </c>
      <c r="CT10" s="50">
        <f>$CQ$10</f>
        <v>0</v>
      </c>
      <c r="CU10" s="42"/>
      <c r="CW10" s="68"/>
      <c r="CX10" s="69" t="str">
        <f>견적관리자용!$S$12</f>
        <v>화물(1000cc 미만)</v>
      </c>
      <c r="CY10" s="70">
        <v>0</v>
      </c>
      <c r="CZ10" s="70">
        <v>0</v>
      </c>
      <c r="DA10" s="80">
        <v>0</v>
      </c>
      <c r="DB10" s="80">
        <v>0</v>
      </c>
      <c r="DC10" s="80">
        <v>0</v>
      </c>
      <c r="DD10" s="72">
        <f t="shared" si="2"/>
        <v>0</v>
      </c>
      <c r="DE10" s="73">
        <v>7</v>
      </c>
      <c r="DF10" s="72">
        <f t="shared" si="0"/>
        <v>0</v>
      </c>
      <c r="DG10" s="74"/>
      <c r="DI10" s="274">
        <v>0</v>
      </c>
      <c r="DJ10" s="275">
        <f>-CI23-CI55-CI56-CI62-CI71-CI80-CI84+CP19</f>
        <v>-171863080</v>
      </c>
      <c r="DK10" s="275"/>
      <c r="DL10" s="276"/>
      <c r="DM10" s="919"/>
      <c r="DN10" s="919"/>
      <c r="DO10" s="919"/>
      <c r="DP10" s="919"/>
      <c r="DQ10" s="919"/>
      <c r="DR10" s="919"/>
      <c r="DS10" s="919"/>
      <c r="DT10" s="919"/>
      <c r="DU10" s="919"/>
      <c r="DV10" s="919"/>
      <c r="DW10" s="919"/>
      <c r="DX10" s="919"/>
    </row>
    <row r="11" spans="2:128" ht="15.95" customHeight="1" x14ac:dyDescent="0.3">
      <c r="C11" s="167"/>
      <c r="D11" s="334"/>
      <c r="E11" s="335"/>
      <c r="F11" s="689" t="s">
        <v>208</v>
      </c>
      <c r="G11" s="689"/>
      <c r="H11" s="689"/>
      <c r="I11" s="689"/>
      <c r="J11" s="689"/>
      <c r="K11" s="914">
        <f>$BD$11</f>
        <v>0</v>
      </c>
      <c r="L11" s="914"/>
      <c r="M11" s="914"/>
      <c r="N11" s="914"/>
      <c r="O11" s="914"/>
      <c r="P11" s="914"/>
      <c r="Q11" s="914"/>
      <c r="R11" s="914"/>
      <c r="S11" s="914"/>
      <c r="T11" s="915"/>
      <c r="U11" s="65"/>
      <c r="V11" s="65"/>
      <c r="W11" s="65"/>
      <c r="X11" s="65"/>
      <c r="Y11" s="65"/>
      <c r="Z11" s="334"/>
      <c r="AA11" s="689" t="s">
        <v>220</v>
      </c>
      <c r="AB11" s="689"/>
      <c r="AC11" s="689"/>
      <c r="AD11" s="689"/>
      <c r="AE11" s="689"/>
      <c r="AF11" s="689"/>
      <c r="AG11" s="908">
        <f>-$CQ$31</f>
        <v>0</v>
      </c>
      <c r="AH11" s="908"/>
      <c r="AI11" s="908"/>
      <c r="AJ11" s="908"/>
      <c r="AK11" s="908"/>
      <c r="AL11" s="908"/>
      <c r="AM11" s="908"/>
      <c r="AN11" s="908"/>
      <c r="AO11" s="908"/>
      <c r="AP11" s="909"/>
      <c r="AQ11" s="65"/>
      <c r="AT11" s="504"/>
      <c r="AU11" s="814" t="s">
        <v>51</v>
      </c>
      <c r="AV11" s="814"/>
      <c r="AW11" s="814"/>
      <c r="AX11" s="814"/>
      <c r="AY11" s="814"/>
      <c r="AZ11" s="814"/>
      <c r="BA11" s="814"/>
      <c r="BB11" s="814"/>
      <c r="BC11" s="814"/>
      <c r="BD11" s="888">
        <v>0</v>
      </c>
      <c r="BE11" s="888"/>
      <c r="BF11" s="888"/>
      <c r="BG11" s="888"/>
      <c r="BH11" s="888"/>
      <c r="BI11" s="888"/>
      <c r="BJ11" s="888"/>
      <c r="BK11" s="888"/>
      <c r="BL11" s="888"/>
      <c r="BM11" s="888"/>
      <c r="BN11" s="888"/>
      <c r="BO11" s="888"/>
      <c r="BP11" s="888"/>
      <c r="BQ11" s="888"/>
      <c r="BR11" s="888"/>
      <c r="BS11" s="888"/>
      <c r="BT11" s="888"/>
      <c r="BU11" s="888"/>
      <c r="BV11" s="888"/>
      <c r="BW11" s="889"/>
      <c r="BY11" s="676"/>
      <c r="BZ11" s="676"/>
      <c r="CD11" s="83" t="s">
        <v>72</v>
      </c>
      <c r="CE11" s="84" t="b">
        <f>IF($BD$12="비율입력",TRUE,FALSE)</f>
        <v>0</v>
      </c>
      <c r="CH11" s="35" t="s">
        <v>85</v>
      </c>
      <c r="CI11" s="57">
        <f>IF($BQ$16&gt;0,$BQ$16,ROUNDDOWN($CI$10*$BD$16,-2))</f>
        <v>0</v>
      </c>
      <c r="CL11" s="49">
        <v>6</v>
      </c>
      <c r="CM11" s="50">
        <f t="shared" si="1"/>
        <v>1859558</v>
      </c>
      <c r="CO11" s="79" t="s">
        <v>182</v>
      </c>
      <c r="CP11" s="42">
        <f>$CI$71</f>
        <v>0</v>
      </c>
      <c r="CQ11" s="50">
        <f>IF(견적관리자용!$M$9="반영",$CP$11,0)</f>
        <v>0</v>
      </c>
      <c r="CR11" s="42"/>
      <c r="CS11" s="49">
        <f>$CQ$11</f>
        <v>0</v>
      </c>
      <c r="CT11" s="50">
        <f>$CQ$11</f>
        <v>0</v>
      </c>
      <c r="CU11" s="42"/>
      <c r="CW11" s="85"/>
      <c r="CX11" s="69" t="str">
        <f>견적관리자용!$S$13</f>
        <v>화물(0.6톤 미만)</v>
      </c>
      <c r="CY11" s="70">
        <v>0</v>
      </c>
      <c r="CZ11" s="70">
        <v>195000</v>
      </c>
      <c r="DA11" s="70">
        <v>195000</v>
      </c>
      <c r="DB11" s="70">
        <v>195000</v>
      </c>
      <c r="DC11" s="86">
        <v>195000</v>
      </c>
      <c r="DD11" s="72">
        <f t="shared" si="2"/>
        <v>195000</v>
      </c>
      <c r="DE11" s="73">
        <v>8</v>
      </c>
      <c r="DF11" s="72">
        <f t="shared" si="0"/>
        <v>0</v>
      </c>
      <c r="DG11" s="74"/>
      <c r="DI11" s="274">
        <v>1</v>
      </c>
      <c r="DJ11" s="275">
        <f t="shared" ref="DJ11:DJ42" si="3">IF(DI11&lt;$CP$4,$AG$10,IF(DI11=$CP$4,$AG$10+$CI$42,0))</f>
        <v>1859600</v>
      </c>
      <c r="DK11" s="275">
        <f>DJ11/(1+$DJ$8)^DI11</f>
        <v>1852188.7010162873</v>
      </c>
      <c r="DL11" s="276"/>
      <c r="DM11" s="919"/>
      <c r="DN11" s="919"/>
      <c r="DO11" s="919"/>
      <c r="DP11" s="919"/>
      <c r="DQ11" s="919"/>
      <c r="DR11" s="919"/>
      <c r="DS11" s="919"/>
      <c r="DT11" s="919"/>
      <c r="DU11" s="919"/>
      <c r="DV11" s="919"/>
      <c r="DW11" s="919"/>
      <c r="DX11" s="919"/>
    </row>
    <row r="12" spans="2:128" ht="15.95" customHeight="1" x14ac:dyDescent="0.3">
      <c r="C12" s="167"/>
      <c r="D12" s="334"/>
      <c r="E12" s="335"/>
      <c r="F12" s="689" t="s">
        <v>209</v>
      </c>
      <c r="G12" s="689"/>
      <c r="H12" s="689"/>
      <c r="I12" s="689"/>
      <c r="J12" s="689"/>
      <c r="K12" s="914">
        <f>-$CE$13</f>
        <v>0</v>
      </c>
      <c r="L12" s="914"/>
      <c r="M12" s="914"/>
      <c r="N12" s="914"/>
      <c r="O12" s="914"/>
      <c r="P12" s="914"/>
      <c r="Q12" s="914"/>
      <c r="R12" s="914"/>
      <c r="S12" s="914"/>
      <c r="T12" s="915"/>
      <c r="U12" s="65"/>
      <c r="V12" s="65"/>
      <c r="W12" s="65"/>
      <c r="X12" s="65"/>
      <c r="Y12" s="65"/>
      <c r="Z12" s="334"/>
      <c r="AA12" s="689" t="s">
        <v>221</v>
      </c>
      <c r="AB12" s="689"/>
      <c r="AC12" s="689"/>
      <c r="AD12" s="689"/>
      <c r="AE12" s="689"/>
      <c r="AF12" s="689"/>
      <c r="AG12" s="704">
        <f>$CQ$30</f>
        <v>0</v>
      </c>
      <c r="AH12" s="704"/>
      <c r="AI12" s="704"/>
      <c r="AJ12" s="704"/>
      <c r="AK12" s="704"/>
      <c r="AL12" s="704"/>
      <c r="AM12" s="704"/>
      <c r="AN12" s="704"/>
      <c r="AO12" s="704"/>
      <c r="AP12" s="705"/>
      <c r="AQ12" s="65"/>
      <c r="AT12" s="504"/>
      <c r="AU12" s="814" t="s">
        <v>52</v>
      </c>
      <c r="AV12" s="814"/>
      <c r="AW12" s="814"/>
      <c r="AX12" s="814"/>
      <c r="AY12" s="814"/>
      <c r="AZ12" s="814"/>
      <c r="BA12" s="814"/>
      <c r="BB12" s="814"/>
      <c r="BC12" s="814"/>
      <c r="BD12" s="716" t="s">
        <v>74</v>
      </c>
      <c r="BE12" s="717"/>
      <c r="BF12" s="717"/>
      <c r="BG12" s="717"/>
      <c r="BH12" s="717"/>
      <c r="BI12" s="717"/>
      <c r="BJ12" s="717"/>
      <c r="BK12" s="718">
        <v>0</v>
      </c>
      <c r="BL12" s="718"/>
      <c r="BM12" s="718"/>
      <c r="BN12" s="718"/>
      <c r="BO12" s="718"/>
      <c r="BP12" s="718"/>
      <c r="BQ12" s="719">
        <v>0</v>
      </c>
      <c r="BR12" s="719"/>
      <c r="BS12" s="719"/>
      <c r="BT12" s="719"/>
      <c r="BU12" s="719"/>
      <c r="BV12" s="719"/>
      <c r="BW12" s="720"/>
      <c r="BY12" s="676"/>
      <c r="BZ12" s="676"/>
      <c r="CD12" s="83" t="s">
        <v>73</v>
      </c>
      <c r="CE12" s="84" t="b">
        <f>IF($BD$12="금액입력",TRUE,FALSE)</f>
        <v>1</v>
      </c>
      <c r="CH12" s="81" t="s">
        <v>99</v>
      </c>
      <c r="CI12" s="87" t="str">
        <f>LEFT($CI$5,2)</f>
        <v>승용</v>
      </c>
      <c r="CL12" s="49">
        <v>7</v>
      </c>
      <c r="CM12" s="50">
        <f t="shared" si="1"/>
        <v>1859558</v>
      </c>
      <c r="CO12" s="79" t="s">
        <v>183</v>
      </c>
      <c r="CP12" s="42">
        <f>$CI$80</f>
        <v>0</v>
      </c>
      <c r="CQ12" s="50">
        <f>IF(견적관리자용!$M$17="반영",$CP$12,0)</f>
        <v>0</v>
      </c>
      <c r="CR12" s="42"/>
      <c r="CS12" s="49">
        <f>$CQ$12</f>
        <v>0</v>
      </c>
      <c r="CT12" s="50">
        <f>$CQ$12</f>
        <v>0</v>
      </c>
      <c r="CU12" s="42"/>
      <c r="CW12" s="85"/>
      <c r="CX12" s="69" t="str">
        <f>견적관리자용!$S$14</f>
        <v>화물(0.6~1톤 미만)</v>
      </c>
      <c r="CY12" s="70">
        <v>0</v>
      </c>
      <c r="CZ12" s="70">
        <v>195000</v>
      </c>
      <c r="DA12" s="70">
        <v>195000</v>
      </c>
      <c r="DB12" s="70">
        <v>195000</v>
      </c>
      <c r="DC12" s="86">
        <v>195000</v>
      </c>
      <c r="DD12" s="72">
        <f t="shared" si="2"/>
        <v>195000</v>
      </c>
      <c r="DE12" s="73">
        <v>9</v>
      </c>
      <c r="DF12" s="72">
        <f t="shared" si="0"/>
        <v>0</v>
      </c>
      <c r="DG12" s="74"/>
      <c r="DI12" s="274">
        <v>2</v>
      </c>
      <c r="DJ12" s="275">
        <f t="shared" si="3"/>
        <v>1859600</v>
      </c>
      <c r="DK12" s="275">
        <f t="shared" ref="DK12:DK70" si="4">DJ12/(1+$DJ$8)^DI12</f>
        <v>1844806.9392194031</v>
      </c>
      <c r="DL12" s="276"/>
      <c r="DM12" s="919"/>
      <c r="DN12" s="919"/>
      <c r="DO12" s="919"/>
      <c r="DP12" s="919"/>
      <c r="DQ12" s="919"/>
      <c r="DR12" s="919"/>
      <c r="DS12" s="919"/>
      <c r="DT12" s="919"/>
      <c r="DU12" s="919"/>
      <c r="DV12" s="919"/>
      <c r="DW12" s="919"/>
      <c r="DX12" s="919"/>
    </row>
    <row r="13" spans="2:128" ht="15.95" customHeight="1" thickBot="1" x14ac:dyDescent="0.35">
      <c r="C13" s="167"/>
      <c r="D13" s="334"/>
      <c r="E13" s="335"/>
      <c r="F13" s="690" t="str">
        <f>IF($BD$13&gt;0,"탁송료","")</f>
        <v/>
      </c>
      <c r="G13" s="690"/>
      <c r="H13" s="690"/>
      <c r="I13" s="690"/>
      <c r="J13" s="690"/>
      <c r="K13" s="916" t="str">
        <f>IF($BD$13&gt;0,$BD$13,"")</f>
        <v/>
      </c>
      <c r="L13" s="916"/>
      <c r="M13" s="916"/>
      <c r="N13" s="916"/>
      <c r="O13" s="916"/>
      <c r="P13" s="916"/>
      <c r="Q13" s="916"/>
      <c r="R13" s="916"/>
      <c r="S13" s="916"/>
      <c r="T13" s="917"/>
      <c r="U13" s="65"/>
      <c r="V13" s="65"/>
      <c r="W13" s="65"/>
      <c r="X13" s="65"/>
      <c r="Y13" s="65"/>
      <c r="Z13" s="334"/>
      <c r="AA13" s="689" t="str">
        <f>IF(BD33&gt;0,"보험료","")</f>
        <v/>
      </c>
      <c r="AB13" s="689"/>
      <c r="AC13" s="689"/>
      <c r="AD13" s="689"/>
      <c r="AE13" s="689"/>
      <c r="AF13" s="689"/>
      <c r="AG13" s="704">
        <f>CQ33</f>
        <v>0</v>
      </c>
      <c r="AH13" s="704"/>
      <c r="AI13" s="704"/>
      <c r="AJ13" s="704"/>
      <c r="AK13" s="704"/>
      <c r="AL13" s="704"/>
      <c r="AM13" s="704"/>
      <c r="AN13" s="704"/>
      <c r="AO13" s="704"/>
      <c r="AP13" s="705"/>
      <c r="AQ13" s="65"/>
      <c r="AT13" s="504"/>
      <c r="AU13" s="831" t="s">
        <v>53</v>
      </c>
      <c r="AV13" s="831"/>
      <c r="AW13" s="831"/>
      <c r="AX13" s="831"/>
      <c r="AY13" s="831"/>
      <c r="AZ13" s="831"/>
      <c r="BA13" s="831"/>
      <c r="BB13" s="831"/>
      <c r="BC13" s="831"/>
      <c r="BD13" s="734">
        <v>0</v>
      </c>
      <c r="BE13" s="734"/>
      <c r="BF13" s="734"/>
      <c r="BG13" s="734"/>
      <c r="BH13" s="734"/>
      <c r="BI13" s="734"/>
      <c r="BJ13" s="734"/>
      <c r="BK13" s="734"/>
      <c r="BL13" s="734"/>
      <c r="BM13" s="734"/>
      <c r="BN13" s="734"/>
      <c r="BO13" s="734"/>
      <c r="BP13" s="734"/>
      <c r="BQ13" s="734"/>
      <c r="BR13" s="734"/>
      <c r="BS13" s="734"/>
      <c r="BT13" s="734"/>
      <c r="BU13" s="734"/>
      <c r="BV13" s="734"/>
      <c r="BW13" s="735"/>
      <c r="BY13" s="676" t="s">
        <v>636</v>
      </c>
      <c r="BZ13" s="676"/>
      <c r="CD13" s="83" t="s">
        <v>78</v>
      </c>
      <c r="CE13" s="82">
        <f>IF($BD$12="금액입력",$BQ$12,TRUNC(($BD$10+$BD$11)*$BK$12,-1))</f>
        <v>0</v>
      </c>
      <c r="CH13" s="66" t="s">
        <v>122</v>
      </c>
      <c r="CI13" s="88">
        <f>IF($CI$12="승용",7%,IF($CI$12="승합",5%,IF($CI$12="화물",5%,7%)))</f>
        <v>7.0000000000000007E-2</v>
      </c>
      <c r="CL13" s="49">
        <v>8</v>
      </c>
      <c r="CM13" s="50">
        <f t="shared" si="1"/>
        <v>1859558</v>
      </c>
      <c r="CO13" s="79" t="s">
        <v>184</v>
      </c>
      <c r="CP13" s="42">
        <f>$CI$85</f>
        <v>0</v>
      </c>
      <c r="CQ13" s="50">
        <f>$CP$13</f>
        <v>0</v>
      </c>
      <c r="CR13" s="42"/>
      <c r="CS13" s="49">
        <f>$CQ$13</f>
        <v>0</v>
      </c>
      <c r="CT13" s="50">
        <f>$CQ$13</f>
        <v>0</v>
      </c>
      <c r="CU13" s="42"/>
      <c r="CW13" s="85"/>
      <c r="CX13" s="69" t="str">
        <f>견적관리자용!$S$15</f>
        <v>화물(1~2.5톤 미만)</v>
      </c>
      <c r="CY13" s="70">
        <v>0</v>
      </c>
      <c r="CZ13" s="70">
        <v>390000</v>
      </c>
      <c r="DA13" s="80">
        <v>390000</v>
      </c>
      <c r="DB13" s="80">
        <v>390000</v>
      </c>
      <c r="DC13" s="80">
        <v>390000</v>
      </c>
      <c r="DD13" s="72">
        <f t="shared" si="2"/>
        <v>390000</v>
      </c>
      <c r="DE13" s="73">
        <v>10</v>
      </c>
      <c r="DF13" s="72">
        <f t="shared" ref="DF13:DF65" si="5">IF($CI$5=CX13,DD13,0)</f>
        <v>0</v>
      </c>
      <c r="DG13" s="74"/>
      <c r="DI13" s="274">
        <v>3</v>
      </c>
      <c r="DJ13" s="275">
        <f t="shared" si="3"/>
        <v>1859600</v>
      </c>
      <c r="DK13" s="275">
        <f t="shared" si="4"/>
        <v>1837454.5968910621</v>
      </c>
      <c r="DL13" s="276"/>
      <c r="DM13" s="919"/>
      <c r="DN13" s="919"/>
      <c r="DO13" s="919"/>
      <c r="DP13" s="919"/>
      <c r="DQ13" s="919"/>
      <c r="DR13" s="919"/>
      <c r="DS13" s="919"/>
      <c r="DT13" s="919"/>
      <c r="DU13" s="919"/>
      <c r="DV13" s="919"/>
      <c r="DW13" s="919"/>
      <c r="DX13" s="919"/>
    </row>
    <row r="14" spans="2:128" ht="15.95" customHeight="1" thickBot="1" x14ac:dyDescent="0.35">
      <c r="C14" s="167"/>
      <c r="D14" s="331"/>
      <c r="E14" s="691" t="s">
        <v>210</v>
      </c>
      <c r="F14" s="692"/>
      <c r="G14" s="692"/>
      <c r="H14" s="692"/>
      <c r="I14" s="692"/>
      <c r="J14" s="692"/>
      <c r="K14" s="937">
        <f>$CI$9</f>
        <v>159600000</v>
      </c>
      <c r="L14" s="937"/>
      <c r="M14" s="937"/>
      <c r="N14" s="937"/>
      <c r="O14" s="937"/>
      <c r="P14" s="937"/>
      <c r="Q14" s="937"/>
      <c r="R14" s="937"/>
      <c r="S14" s="937"/>
      <c r="T14" s="938"/>
      <c r="U14" s="65"/>
      <c r="V14" s="65"/>
      <c r="W14" s="65"/>
      <c r="X14" s="65"/>
      <c r="Y14" s="65"/>
      <c r="Z14" s="911" t="s">
        <v>227</v>
      </c>
      <c r="AA14" s="912"/>
      <c r="AB14" s="912"/>
      <c r="AC14" s="912"/>
      <c r="AD14" s="912"/>
      <c r="AE14" s="912"/>
      <c r="AF14" s="912"/>
      <c r="AG14" s="869">
        <f>IF(BD37&gt;19.5%,"금리기준초과",$AG$10+$AG$11+$AG$12+$AG$13)</f>
        <v>1859600</v>
      </c>
      <c r="AH14" s="870"/>
      <c r="AI14" s="870"/>
      <c r="AJ14" s="870"/>
      <c r="AK14" s="870"/>
      <c r="AL14" s="870"/>
      <c r="AM14" s="870"/>
      <c r="AN14" s="870"/>
      <c r="AO14" s="870"/>
      <c r="AP14" s="871"/>
      <c r="AQ14" s="65"/>
      <c r="AT14" s="677" t="s">
        <v>54</v>
      </c>
      <c r="AU14" s="678"/>
      <c r="AV14" s="678"/>
      <c r="AW14" s="678"/>
      <c r="AX14" s="678"/>
      <c r="AY14" s="678"/>
      <c r="AZ14" s="678"/>
      <c r="BA14" s="678"/>
      <c r="BB14" s="678"/>
      <c r="BC14" s="679"/>
      <c r="BD14" s="822">
        <f>$BD$10+$BD$11-$CE$13+$BD$13</f>
        <v>159600000</v>
      </c>
      <c r="BE14" s="822"/>
      <c r="BF14" s="822"/>
      <c r="BG14" s="822"/>
      <c r="BH14" s="822"/>
      <c r="BI14" s="822"/>
      <c r="BJ14" s="822"/>
      <c r="BK14" s="822"/>
      <c r="BL14" s="822"/>
      <c r="BM14" s="822"/>
      <c r="BN14" s="822"/>
      <c r="BO14" s="822"/>
      <c r="BP14" s="822"/>
      <c r="BQ14" s="822"/>
      <c r="BR14" s="822"/>
      <c r="BS14" s="822"/>
      <c r="BT14" s="822"/>
      <c r="BU14" s="822"/>
      <c r="BV14" s="822"/>
      <c r="BW14" s="823"/>
      <c r="BY14" s="676"/>
      <c r="BZ14" s="676"/>
      <c r="CD14" s="83" t="s">
        <v>61</v>
      </c>
      <c r="CE14" s="84" t="b">
        <f>IF($BD$15="당사명의",TRUE,FALSE)</f>
        <v>1</v>
      </c>
      <c r="CH14" s="89" t="s">
        <v>120</v>
      </c>
      <c r="CI14" s="50">
        <f>ROUNDDOWN($CI$9/1.1*$CI$13,-1)</f>
        <v>10156360</v>
      </c>
      <c r="CL14" s="49">
        <v>9</v>
      </c>
      <c r="CM14" s="50">
        <f t="shared" si="1"/>
        <v>1859558</v>
      </c>
      <c r="CO14" s="79" t="s">
        <v>185</v>
      </c>
      <c r="CP14" s="42">
        <f>$CI$55</f>
        <v>2106720</v>
      </c>
      <c r="CQ14" s="50">
        <f>$CP$14</f>
        <v>2106720</v>
      </c>
      <c r="CR14" s="42"/>
      <c r="CS14" s="49">
        <f>$CQ$14</f>
        <v>2106720</v>
      </c>
      <c r="CT14" s="50">
        <f>$CQ$14</f>
        <v>2106720</v>
      </c>
      <c r="CU14" s="42"/>
      <c r="CW14" s="85"/>
      <c r="CX14" s="69" t="str">
        <f>견적관리자용!$S$16</f>
        <v>화물(2.5~4.6톤 미만)</v>
      </c>
      <c r="CY14" s="70">
        <v>0</v>
      </c>
      <c r="CZ14" s="70">
        <v>390000</v>
      </c>
      <c r="DA14" s="80">
        <v>390000</v>
      </c>
      <c r="DB14" s="80">
        <v>390000</v>
      </c>
      <c r="DC14" s="80">
        <v>390000</v>
      </c>
      <c r="DD14" s="72">
        <f t="shared" si="2"/>
        <v>390000</v>
      </c>
      <c r="DE14" s="73">
        <v>11</v>
      </c>
      <c r="DF14" s="72">
        <f t="shared" si="5"/>
        <v>0</v>
      </c>
      <c r="DG14" s="74"/>
      <c r="DI14" s="274">
        <v>4</v>
      </c>
      <c r="DJ14" s="275">
        <f t="shared" si="3"/>
        <v>1859600</v>
      </c>
      <c r="DK14" s="275">
        <f t="shared" si="4"/>
        <v>1830131.5567821369</v>
      </c>
      <c r="DL14" s="276"/>
      <c r="DM14" s="919"/>
      <c r="DN14" s="919"/>
      <c r="DO14" s="919"/>
      <c r="DP14" s="919"/>
      <c r="DQ14" s="919"/>
      <c r="DR14" s="919"/>
      <c r="DS14" s="919"/>
      <c r="DT14" s="919"/>
      <c r="DU14" s="919"/>
      <c r="DV14" s="919"/>
      <c r="DW14" s="919"/>
      <c r="DX14" s="919"/>
    </row>
    <row r="15" spans="2:128" ht="15.95" customHeight="1" x14ac:dyDescent="0.3">
      <c r="C15" s="167"/>
      <c r="D15" s="331"/>
      <c r="E15" s="926" t="s">
        <v>211</v>
      </c>
      <c r="F15" s="926"/>
      <c r="G15" s="926"/>
      <c r="H15" s="926"/>
      <c r="I15" s="926"/>
      <c r="J15" s="926"/>
      <c r="K15" s="878">
        <f>$CI$21</f>
        <v>10156360</v>
      </c>
      <c r="L15" s="878"/>
      <c r="M15" s="878"/>
      <c r="N15" s="878"/>
      <c r="O15" s="878"/>
      <c r="P15" s="878"/>
      <c r="Q15" s="878"/>
      <c r="R15" s="878"/>
      <c r="S15" s="878"/>
      <c r="T15" s="879"/>
      <c r="U15" s="65"/>
      <c r="V15" s="65"/>
      <c r="W15" s="65"/>
      <c r="X15" s="65"/>
      <c r="Y15" s="65"/>
      <c r="Z15" s="935" t="s">
        <v>232</v>
      </c>
      <c r="AA15" s="778"/>
      <c r="AB15" s="778"/>
      <c r="AC15" s="778"/>
      <c r="AD15" s="778"/>
      <c r="AE15" s="778"/>
      <c r="AF15" s="778"/>
      <c r="AG15" s="872">
        <f>$BD$26</f>
        <v>20000</v>
      </c>
      <c r="AH15" s="872"/>
      <c r="AI15" s="872"/>
      <c r="AJ15" s="872"/>
      <c r="AK15" s="872"/>
      <c r="AL15" s="872"/>
      <c r="AM15" s="872"/>
      <c r="AN15" s="872"/>
      <c r="AO15" s="872"/>
      <c r="AP15" s="873"/>
      <c r="AQ15" s="65"/>
      <c r="AT15" s="774" t="s">
        <v>589</v>
      </c>
      <c r="AU15" s="774"/>
      <c r="AV15" s="774"/>
      <c r="AW15" s="774"/>
      <c r="AX15" s="774"/>
      <c r="AY15" s="774"/>
      <c r="AZ15" s="774"/>
      <c r="BA15" s="774"/>
      <c r="BB15" s="774"/>
      <c r="BC15" s="779"/>
      <c r="BD15" s="824" t="s">
        <v>11</v>
      </c>
      <c r="BE15" s="825"/>
      <c r="BF15" s="825"/>
      <c r="BG15" s="825"/>
      <c r="BH15" s="825"/>
      <c r="BI15" s="825"/>
      <c r="BJ15" s="825"/>
      <c r="BK15" s="825"/>
      <c r="BL15" s="825"/>
      <c r="BM15" s="826"/>
      <c r="BN15" s="818" t="s">
        <v>111</v>
      </c>
      <c r="BO15" s="819"/>
      <c r="BP15" s="819"/>
      <c r="BQ15" s="819"/>
      <c r="BR15" s="819"/>
      <c r="BS15" s="819"/>
      <c r="BT15" s="819"/>
      <c r="BU15" s="819"/>
      <c r="BV15" s="819"/>
      <c r="BW15" s="819"/>
      <c r="BY15" s="738" t="s">
        <v>637</v>
      </c>
      <c r="BZ15" s="738"/>
      <c r="CD15" s="83" t="s">
        <v>62</v>
      </c>
      <c r="CE15" s="84" t="b">
        <f>IF($BD$15="이용자명의",TRUE,FALSE)</f>
        <v>0</v>
      </c>
      <c r="CH15" s="89" t="s">
        <v>684</v>
      </c>
      <c r="CI15" s="50">
        <f>IF($CI$14&lt;750000,0,$CI$14)</f>
        <v>10156360</v>
      </c>
      <c r="CJ15" s="26" t="s">
        <v>616</v>
      </c>
      <c r="CL15" s="49">
        <v>10</v>
      </c>
      <c r="CM15" s="50">
        <f t="shared" si="1"/>
        <v>1859558</v>
      </c>
      <c r="CO15" s="79" t="s">
        <v>186</v>
      </c>
      <c r="CP15" s="42">
        <f>$CI$84</f>
        <v>0</v>
      </c>
      <c r="CQ15" s="50">
        <f>IF(견적관리자용!$Q$25="반영",$CP$15,0)</f>
        <v>0</v>
      </c>
      <c r="CR15" s="42"/>
      <c r="CS15" s="49">
        <f>$CQ$15</f>
        <v>0</v>
      </c>
      <c r="CT15" s="50">
        <f>$CQ$15</f>
        <v>0</v>
      </c>
      <c r="CU15" s="42"/>
      <c r="CW15" s="90"/>
      <c r="CX15" s="91" t="str">
        <f>견적관리자용!$S$17</f>
        <v>화물(4.6톤 이상)</v>
      </c>
      <c r="CY15" s="92">
        <v>0</v>
      </c>
      <c r="CZ15" s="92">
        <v>650000</v>
      </c>
      <c r="DA15" s="92">
        <v>650000</v>
      </c>
      <c r="DB15" s="92">
        <v>650000</v>
      </c>
      <c r="DC15" s="92">
        <v>650000</v>
      </c>
      <c r="DD15" s="93">
        <f t="shared" si="2"/>
        <v>650000</v>
      </c>
      <c r="DE15" s="94">
        <v>12</v>
      </c>
      <c r="DF15" s="93">
        <f t="shared" si="5"/>
        <v>0</v>
      </c>
      <c r="DG15" s="95"/>
      <c r="DI15" s="274">
        <v>5</v>
      </c>
      <c r="DJ15" s="275">
        <f t="shared" si="3"/>
        <v>1859600</v>
      </c>
      <c r="DK15" s="275">
        <f t="shared" si="4"/>
        <v>1822837.7021107883</v>
      </c>
      <c r="DL15" s="276"/>
      <c r="DM15" s="919"/>
      <c r="DN15" s="919"/>
      <c r="DO15" s="919"/>
      <c r="DP15" s="919"/>
      <c r="DQ15" s="919"/>
      <c r="DR15" s="919"/>
      <c r="DS15" s="919"/>
      <c r="DT15" s="919"/>
      <c r="DU15" s="919"/>
      <c r="DV15" s="919"/>
      <c r="DW15" s="919"/>
      <c r="DX15" s="919"/>
    </row>
    <row r="16" spans="2:128" ht="15.95" customHeight="1" x14ac:dyDescent="0.3">
      <c r="C16" s="167"/>
      <c r="D16" s="331"/>
      <c r="E16" s="926" t="s">
        <v>212</v>
      </c>
      <c r="F16" s="926"/>
      <c r="G16" s="926"/>
      <c r="H16" s="926"/>
      <c r="I16" s="926"/>
      <c r="J16" s="926"/>
      <c r="K16" s="878">
        <f>$CI$11</f>
        <v>0</v>
      </c>
      <c r="L16" s="878"/>
      <c r="M16" s="878"/>
      <c r="N16" s="878"/>
      <c r="O16" s="878"/>
      <c r="P16" s="878"/>
      <c r="Q16" s="878"/>
      <c r="R16" s="878"/>
      <c r="S16" s="878"/>
      <c r="T16" s="879"/>
      <c r="U16" s="913"/>
      <c r="V16" s="913"/>
      <c r="W16" s="65"/>
      <c r="X16" s="65"/>
      <c r="Y16" s="65"/>
      <c r="Z16" s="936" t="s">
        <v>223</v>
      </c>
      <c r="AA16" s="926"/>
      <c r="AB16" s="926"/>
      <c r="AC16" s="926"/>
      <c r="AD16" s="926"/>
      <c r="AE16" s="926"/>
      <c r="AF16" s="926"/>
      <c r="AG16" s="693">
        <f>IF($CE$40=TRUE,$CI$42/$CI$9,$CI$42/$CP$8)</f>
        <v>0.57999999999999996</v>
      </c>
      <c r="AH16" s="693"/>
      <c r="AI16" s="694"/>
      <c r="AJ16" s="697">
        <f>$CI$42</f>
        <v>92568000</v>
      </c>
      <c r="AK16" s="698"/>
      <c r="AL16" s="698"/>
      <c r="AM16" s="698"/>
      <c r="AN16" s="698"/>
      <c r="AO16" s="698"/>
      <c r="AP16" s="699"/>
      <c r="AQ16" s="65"/>
      <c r="AT16" s="764" t="s">
        <v>301</v>
      </c>
      <c r="AU16" s="764"/>
      <c r="AV16" s="764"/>
      <c r="AW16" s="764"/>
      <c r="AX16" s="764"/>
      <c r="AY16" s="501"/>
      <c r="AZ16" s="765" t="str">
        <f>+IF($CE$4=TRUE, "포함","미포함")</f>
        <v>포함</v>
      </c>
      <c r="BA16" s="765"/>
      <c r="BB16" s="765"/>
      <c r="BC16" s="766"/>
      <c r="BD16" s="728">
        <v>0</v>
      </c>
      <c r="BE16" s="728"/>
      <c r="BF16" s="728"/>
      <c r="BG16" s="728"/>
      <c r="BH16" s="728"/>
      <c r="BI16" s="728"/>
      <c r="BJ16" s="729"/>
      <c r="BK16" s="730" t="s">
        <v>50</v>
      </c>
      <c r="BL16" s="731"/>
      <c r="BM16" s="731"/>
      <c r="BN16" s="731"/>
      <c r="BO16" s="731"/>
      <c r="BP16" s="731"/>
      <c r="BQ16" s="732"/>
      <c r="BR16" s="732"/>
      <c r="BS16" s="732"/>
      <c r="BT16" s="732"/>
      <c r="BU16" s="732"/>
      <c r="BV16" s="732"/>
      <c r="BW16" s="733"/>
      <c r="BY16" s="675"/>
      <c r="BZ16" s="675"/>
      <c r="CH16" s="89" t="s">
        <v>329</v>
      </c>
      <c r="CI16" s="50"/>
      <c r="CL16" s="49">
        <v>11</v>
      </c>
      <c r="CM16" s="50">
        <f t="shared" si="1"/>
        <v>1859558</v>
      </c>
      <c r="CO16" s="79" t="s">
        <v>168</v>
      </c>
      <c r="CP16" s="42">
        <f>$CI$81</f>
        <v>10000</v>
      </c>
      <c r="CQ16" s="50">
        <f>IF(견적관리자용!$Q$24="반영",$CP$16,0)</f>
        <v>10000</v>
      </c>
      <c r="CR16" s="42"/>
      <c r="CS16" s="49">
        <f>$CQ$16</f>
        <v>10000</v>
      </c>
      <c r="CT16" s="50">
        <f>$CQ$16</f>
        <v>10000</v>
      </c>
      <c r="CU16" s="42"/>
      <c r="CW16" s="58" t="s">
        <v>93</v>
      </c>
      <c r="CX16" s="59" t="str">
        <f>견적관리자용!$S$8</f>
        <v>승용일반</v>
      </c>
      <c r="CY16" s="60">
        <v>0</v>
      </c>
      <c r="CZ16" s="61">
        <v>0</v>
      </c>
      <c r="DA16" s="61">
        <v>0</v>
      </c>
      <c r="DB16" s="61">
        <v>0</v>
      </c>
      <c r="DC16" s="61">
        <v>0.05</v>
      </c>
      <c r="DD16" s="62">
        <f>HLOOKUP($CI$6,$CY$4:$DC$145,DE16,TRUE)</f>
        <v>0.05</v>
      </c>
      <c r="DE16" s="63">
        <v>13</v>
      </c>
      <c r="DF16" s="62">
        <f>IF($CI$5=CX16,DD16,0)</f>
        <v>0</v>
      </c>
      <c r="DG16" s="64">
        <f>SUM(DF16:DF25)</f>
        <v>0</v>
      </c>
      <c r="DI16" s="274">
        <v>6</v>
      </c>
      <c r="DJ16" s="275">
        <f t="shared" si="3"/>
        <v>1859600</v>
      </c>
      <c r="DK16" s="275">
        <f t="shared" si="4"/>
        <v>1815572.9165606019</v>
      </c>
      <c r="DL16" s="276"/>
      <c r="DM16" s="919"/>
      <c r="DN16" s="919"/>
      <c r="DO16" s="919"/>
      <c r="DP16" s="919"/>
      <c r="DQ16" s="919"/>
      <c r="DR16" s="919"/>
      <c r="DS16" s="919"/>
      <c r="DT16" s="919"/>
      <c r="DU16" s="919"/>
      <c r="DV16" s="919"/>
      <c r="DW16" s="919"/>
      <c r="DX16" s="919"/>
    </row>
    <row r="17" spans="3:128" ht="15.95" customHeight="1" x14ac:dyDescent="0.3">
      <c r="C17" s="167"/>
      <c r="D17" s="331"/>
      <c r="E17" s="926" t="s">
        <v>213</v>
      </c>
      <c r="F17" s="926"/>
      <c r="G17" s="926"/>
      <c r="H17" s="926"/>
      <c r="I17" s="926"/>
      <c r="J17" s="926"/>
      <c r="K17" s="878">
        <f>$BD$17</f>
        <v>0</v>
      </c>
      <c r="L17" s="878"/>
      <c r="M17" s="878"/>
      <c r="N17" s="878"/>
      <c r="O17" s="878"/>
      <c r="P17" s="878"/>
      <c r="Q17" s="878"/>
      <c r="R17" s="878"/>
      <c r="S17" s="878"/>
      <c r="T17" s="879"/>
      <c r="U17" s="913"/>
      <c r="V17" s="913"/>
      <c r="W17" s="65"/>
      <c r="X17" s="65"/>
      <c r="Y17" s="65"/>
      <c r="Z17" s="344"/>
      <c r="AA17" s="902" t="s">
        <v>224</v>
      </c>
      <c r="AB17" s="902"/>
      <c r="AC17" s="902"/>
      <c r="AD17" s="902"/>
      <c r="AE17" s="902"/>
      <c r="AF17" s="902"/>
      <c r="AG17" s="695">
        <f>IF($CE$40=TRUE,$CI$28/$CI$9,$CI$28/$CP$8)</f>
        <v>0</v>
      </c>
      <c r="AH17" s="695"/>
      <c r="AI17" s="696"/>
      <c r="AJ17" s="700">
        <f>$CI$28</f>
        <v>0</v>
      </c>
      <c r="AK17" s="701"/>
      <c r="AL17" s="701"/>
      <c r="AM17" s="701"/>
      <c r="AN17" s="701"/>
      <c r="AO17" s="701"/>
      <c r="AP17" s="702"/>
      <c r="AQ17" s="65"/>
      <c r="AT17" s="764" t="s">
        <v>63</v>
      </c>
      <c r="AU17" s="764"/>
      <c r="AV17" s="764"/>
      <c r="AW17" s="764"/>
      <c r="AX17" s="764"/>
      <c r="AY17" s="501"/>
      <c r="AZ17" s="765" t="str">
        <f>+IF($CE$5=TRUE, "포함","미포함")</f>
        <v>포함</v>
      </c>
      <c r="BA17" s="765"/>
      <c r="BB17" s="765"/>
      <c r="BC17" s="766"/>
      <c r="BD17" s="857">
        <v>0</v>
      </c>
      <c r="BE17" s="858"/>
      <c r="BF17" s="858"/>
      <c r="BG17" s="858"/>
      <c r="BH17" s="858"/>
      <c r="BI17" s="858"/>
      <c r="BJ17" s="858"/>
      <c r="BK17" s="858"/>
      <c r="BL17" s="858"/>
      <c r="BM17" s="858"/>
      <c r="BN17" s="739" t="s">
        <v>70</v>
      </c>
      <c r="BO17" s="740"/>
      <c r="BP17" s="680">
        <f>견적관리자용!$T$35</f>
        <v>0</v>
      </c>
      <c r="BQ17" s="680"/>
      <c r="BR17" s="680"/>
      <c r="BS17" s="680"/>
      <c r="BT17" s="680"/>
      <c r="BU17" s="680"/>
      <c r="BV17" s="680"/>
      <c r="BW17" s="680"/>
      <c r="BY17" s="738"/>
      <c r="BZ17" s="738"/>
      <c r="CH17" s="89" t="s">
        <v>328</v>
      </c>
      <c r="CI17" s="50">
        <f>IF($CI$6&lt;1000,$CI$15,IF(CI7="하이브리드",CI16,$CI$14))</f>
        <v>10156360</v>
      </c>
      <c r="CL17" s="49">
        <v>12</v>
      </c>
      <c r="CM17" s="50">
        <f t="shared" si="1"/>
        <v>1859558</v>
      </c>
      <c r="CO17" s="51" t="s">
        <v>188</v>
      </c>
      <c r="CP17" s="96">
        <f>SUM($CP$8:$CP$16)</f>
        <v>171873080</v>
      </c>
      <c r="CQ17" s="97">
        <f>SUM($CQ$8:$CQ$16)</f>
        <v>171873080</v>
      </c>
      <c r="CR17" s="42"/>
      <c r="CS17" s="98">
        <f>$CQ$17</f>
        <v>171873080</v>
      </c>
      <c r="CT17" s="97">
        <f>$CQ$17</f>
        <v>171873080</v>
      </c>
      <c r="CU17" s="42"/>
      <c r="CW17" s="68"/>
      <c r="CX17" s="69" t="str">
        <f>견적관리자용!$S$9</f>
        <v>승용SUV(~5인)</v>
      </c>
      <c r="CY17" s="70">
        <v>0</v>
      </c>
      <c r="CZ17" s="71">
        <v>0</v>
      </c>
      <c r="DA17" s="71">
        <v>0</v>
      </c>
      <c r="DB17" s="71">
        <v>0</v>
      </c>
      <c r="DC17" s="71">
        <v>0</v>
      </c>
      <c r="DD17" s="72">
        <f t="shared" si="2"/>
        <v>0</v>
      </c>
      <c r="DE17" s="73">
        <v>14</v>
      </c>
      <c r="DF17" s="72">
        <f t="shared" si="5"/>
        <v>0</v>
      </c>
      <c r="DG17" s="74"/>
      <c r="DI17" s="274">
        <v>7</v>
      </c>
      <c r="DJ17" s="275">
        <f t="shared" si="3"/>
        <v>1859600</v>
      </c>
      <c r="DK17" s="275">
        <f t="shared" si="4"/>
        <v>1808337.0842787337</v>
      </c>
      <c r="DL17" s="276"/>
      <c r="DM17" s="919"/>
      <c r="DN17" s="919"/>
      <c r="DO17" s="919"/>
      <c r="DP17" s="919"/>
      <c r="DQ17" s="919"/>
      <c r="DR17" s="919"/>
      <c r="DS17" s="919"/>
      <c r="DT17" s="919"/>
      <c r="DU17" s="919"/>
      <c r="DV17" s="919"/>
      <c r="DW17" s="919"/>
      <c r="DX17" s="919"/>
    </row>
    <row r="18" spans="3:128" ht="15.95" customHeight="1" x14ac:dyDescent="0.3">
      <c r="C18" s="167"/>
      <c r="D18" s="331"/>
      <c r="E18" s="926" t="str">
        <f>IF($BD$18&gt;0,"탁송료","")</f>
        <v/>
      </c>
      <c r="F18" s="926"/>
      <c r="G18" s="926"/>
      <c r="H18" s="926"/>
      <c r="I18" s="926"/>
      <c r="J18" s="926"/>
      <c r="K18" s="878" t="str">
        <f>IF($BD$18&gt;0,$BD$18,"")</f>
        <v/>
      </c>
      <c r="L18" s="878"/>
      <c r="M18" s="878"/>
      <c r="N18" s="878"/>
      <c r="O18" s="878"/>
      <c r="P18" s="878"/>
      <c r="Q18" s="878"/>
      <c r="R18" s="878"/>
      <c r="S18" s="878"/>
      <c r="T18" s="879"/>
      <c r="U18" s="913"/>
      <c r="V18" s="913"/>
      <c r="W18" s="65"/>
      <c r="X18" s="65"/>
      <c r="Y18" s="65"/>
      <c r="Z18" s="331"/>
      <c r="AA18" s="877" t="s">
        <v>368</v>
      </c>
      <c r="AB18" s="877"/>
      <c r="AC18" s="877"/>
      <c r="AD18" s="877"/>
      <c r="AE18" s="877"/>
      <c r="AF18" s="877"/>
      <c r="AG18" s="928">
        <f>IF($CE$40=TRUE,$CI$26/$CI$9,$CI$26/$CP$8)</f>
        <v>0</v>
      </c>
      <c r="AH18" s="928"/>
      <c r="AI18" s="929"/>
      <c r="AJ18" s="927">
        <f>$CI$26</f>
        <v>0</v>
      </c>
      <c r="AK18" s="927"/>
      <c r="AL18" s="927"/>
      <c r="AM18" s="927"/>
      <c r="AN18" s="927"/>
      <c r="AO18" s="927"/>
      <c r="AP18" s="927"/>
      <c r="AQ18" s="65"/>
      <c r="AT18" s="764" t="s">
        <v>303</v>
      </c>
      <c r="AU18" s="764"/>
      <c r="AV18" s="764"/>
      <c r="AW18" s="764"/>
      <c r="AX18" s="764"/>
      <c r="AY18" s="501"/>
      <c r="AZ18" s="765" t="str">
        <f>+IF($CE$6=TRUE, "포함","미포함")</f>
        <v>포함</v>
      </c>
      <c r="BA18" s="765"/>
      <c r="BB18" s="765"/>
      <c r="BC18" s="766"/>
      <c r="BD18" s="857">
        <v>0</v>
      </c>
      <c r="BE18" s="858"/>
      <c r="BF18" s="858"/>
      <c r="BG18" s="858"/>
      <c r="BH18" s="858"/>
      <c r="BI18" s="858"/>
      <c r="BJ18" s="858"/>
      <c r="BK18" s="858"/>
      <c r="BL18" s="858"/>
      <c r="BM18" s="858"/>
      <c r="BN18" s="739" t="s">
        <v>70</v>
      </c>
      <c r="BO18" s="740"/>
      <c r="BP18" s="680">
        <f>견적관리자용!$T$36</f>
        <v>500000</v>
      </c>
      <c r="BQ18" s="680"/>
      <c r="BR18" s="680"/>
      <c r="BS18" s="680"/>
      <c r="BT18" s="680"/>
      <c r="BU18" s="680"/>
      <c r="BV18" s="680"/>
      <c r="BW18" s="680"/>
      <c r="BY18" s="932"/>
      <c r="BZ18" s="932"/>
      <c r="CD18" s="83" t="s">
        <v>114</v>
      </c>
      <c r="CE18" s="84" t="b">
        <f>IF($BD$19="비율입력",TRUE,FALSE)</f>
        <v>0</v>
      </c>
      <c r="CH18" s="89" t="s">
        <v>117</v>
      </c>
      <c r="CI18" s="50">
        <f>ROUNDDOWN($CI$9/1.1*$BK$19,-1)</f>
        <v>10156360</v>
      </c>
      <c r="CL18" s="49">
        <v>13</v>
      </c>
      <c r="CM18" s="50">
        <f t="shared" si="1"/>
        <v>1859558</v>
      </c>
      <c r="CW18" s="68"/>
      <c r="CX18" s="69" t="str">
        <f>견적관리자용!$S$10</f>
        <v>승용SUV(7~10인)</v>
      </c>
      <c r="CY18" s="70">
        <v>0</v>
      </c>
      <c r="CZ18" s="71">
        <v>0</v>
      </c>
      <c r="DA18" s="71">
        <v>0</v>
      </c>
      <c r="DB18" s="71">
        <v>0</v>
      </c>
      <c r="DC18" s="71">
        <v>0</v>
      </c>
      <c r="DD18" s="72">
        <f t="shared" si="2"/>
        <v>0</v>
      </c>
      <c r="DE18" s="73">
        <v>15</v>
      </c>
      <c r="DF18" s="72">
        <f t="shared" si="5"/>
        <v>0</v>
      </c>
      <c r="DG18" s="74"/>
      <c r="DI18" s="274">
        <v>8</v>
      </c>
      <c r="DJ18" s="275">
        <f t="shared" si="3"/>
        <v>1859600</v>
      </c>
      <c r="DK18" s="275">
        <f t="shared" si="4"/>
        <v>1801130.0898740632</v>
      </c>
      <c r="DL18" s="276"/>
      <c r="DM18" s="919"/>
      <c r="DN18" s="919"/>
      <c r="DO18" s="919"/>
      <c r="DP18" s="919"/>
      <c r="DQ18" s="919"/>
      <c r="DR18" s="919"/>
      <c r="DS18" s="919"/>
      <c r="DT18" s="919"/>
      <c r="DU18" s="919"/>
      <c r="DV18" s="919"/>
      <c r="DW18" s="919"/>
      <c r="DX18" s="919"/>
    </row>
    <row r="19" spans="3:128" ht="16.899999999999999" customHeight="1" x14ac:dyDescent="0.3">
      <c r="C19" s="167"/>
      <c r="D19" s="774" t="s">
        <v>413</v>
      </c>
      <c r="E19" s="774"/>
      <c r="F19" s="774"/>
      <c r="G19" s="774"/>
      <c r="H19" s="774"/>
      <c r="I19" s="774"/>
      <c r="J19" s="775"/>
      <c r="K19" s="875">
        <f>$CI$23</f>
        <v>169756360</v>
      </c>
      <c r="L19" s="875"/>
      <c r="M19" s="875"/>
      <c r="N19" s="875"/>
      <c r="O19" s="875"/>
      <c r="P19" s="875"/>
      <c r="Q19" s="875"/>
      <c r="R19" s="875"/>
      <c r="S19" s="875"/>
      <c r="T19" s="876"/>
      <c r="U19" s="65"/>
      <c r="V19" s="65"/>
      <c r="W19" s="65"/>
      <c r="X19" s="65"/>
      <c r="Y19" s="65"/>
      <c r="Z19" s="331"/>
      <c r="AA19" s="778" t="str">
        <f>+IF(AND($BD$15="이용자명의",$CE$5=FALSE),"부가세+등록비", IF(AND($BD$15="이용자명의",$CE$6=FALSE),"부가세+등록비",IF(BD15="당사명의","등록비","부가세")))</f>
        <v>등록비</v>
      </c>
      <c r="AB19" s="778"/>
      <c r="AC19" s="778"/>
      <c r="AD19" s="778"/>
      <c r="AE19" s="778"/>
      <c r="AF19" s="778"/>
      <c r="AG19" s="930">
        <f>+IF(CE4=FALSE,CI11,0)+IF(CE5=FALSE,BD17,0)+IF(CE6=FALSE,BD18,0)+IF(BD15="이용자명의",CI22,0)</f>
        <v>0</v>
      </c>
      <c r="AH19" s="930"/>
      <c r="AI19" s="930"/>
      <c r="AJ19" s="930"/>
      <c r="AK19" s="930"/>
      <c r="AL19" s="930"/>
      <c r="AM19" s="930"/>
      <c r="AN19" s="930"/>
      <c r="AO19" s="930"/>
      <c r="AP19" s="931"/>
      <c r="AQ19" s="65"/>
      <c r="AT19" s="769" t="s">
        <v>276</v>
      </c>
      <c r="AU19" s="759"/>
      <c r="AV19" s="759"/>
      <c r="AW19" s="759"/>
      <c r="AX19" s="759"/>
      <c r="AY19" s="759"/>
      <c r="AZ19" s="759"/>
      <c r="BA19" s="759"/>
      <c r="BB19" s="759"/>
      <c r="BC19" s="760"/>
      <c r="BD19" s="863" t="s">
        <v>113</v>
      </c>
      <c r="BE19" s="864"/>
      <c r="BF19" s="864"/>
      <c r="BG19" s="864"/>
      <c r="BH19" s="864"/>
      <c r="BI19" s="864"/>
      <c r="BJ19" s="864"/>
      <c r="BK19" s="856">
        <v>7.0000000000000007E-2</v>
      </c>
      <c r="BL19" s="856"/>
      <c r="BM19" s="856"/>
      <c r="BN19" s="856"/>
      <c r="BO19" s="856"/>
      <c r="BP19" s="856"/>
      <c r="BQ19" s="861">
        <v>0</v>
      </c>
      <c r="BR19" s="861"/>
      <c r="BS19" s="861"/>
      <c r="BT19" s="861"/>
      <c r="BU19" s="861"/>
      <c r="BV19" s="861"/>
      <c r="BW19" s="862"/>
      <c r="BY19" s="817" t="s">
        <v>687</v>
      </c>
      <c r="BZ19" s="817"/>
      <c r="CA19" s="523"/>
      <c r="CC19" s="523"/>
      <c r="CD19" s="83" t="s">
        <v>115</v>
      </c>
      <c r="CE19" s="84" t="b">
        <f>IF($BD$19="감면액입력",TRUE,FALSE)</f>
        <v>0</v>
      </c>
      <c r="CH19" s="89" t="s">
        <v>118</v>
      </c>
      <c r="CI19" s="99">
        <f>$CI$17-$BQ$19</f>
        <v>10156360</v>
      </c>
      <c r="CL19" s="49">
        <v>14</v>
      </c>
      <c r="CM19" s="50">
        <f t="shared" si="1"/>
        <v>1859558</v>
      </c>
      <c r="CO19" s="39" t="s">
        <v>129</v>
      </c>
      <c r="CP19" s="40">
        <f>$CI$26</f>
        <v>0</v>
      </c>
      <c r="CQ19" s="41">
        <f>$CP$19</f>
        <v>0</v>
      </c>
      <c r="CR19" s="42"/>
      <c r="CS19" s="37">
        <f>$CQ$19</f>
        <v>0</v>
      </c>
      <c r="CT19" s="100">
        <v>0</v>
      </c>
      <c r="CU19" s="101"/>
      <c r="CW19" s="68"/>
      <c r="CX19" s="69" t="str">
        <f>견적관리자용!$S$11</f>
        <v>승합(11~15인)</v>
      </c>
      <c r="CY19" s="70">
        <v>0</v>
      </c>
      <c r="CZ19" s="71">
        <v>0</v>
      </c>
      <c r="DA19" s="71">
        <v>0</v>
      </c>
      <c r="DB19" s="71">
        <v>0</v>
      </c>
      <c r="DC19" s="71">
        <v>0</v>
      </c>
      <c r="DD19" s="72">
        <f t="shared" si="2"/>
        <v>0</v>
      </c>
      <c r="DE19" s="73">
        <v>16</v>
      </c>
      <c r="DF19" s="72">
        <f t="shared" si="5"/>
        <v>0</v>
      </c>
      <c r="DG19" s="74"/>
      <c r="DI19" s="274">
        <v>9</v>
      </c>
      <c r="DJ19" s="275">
        <f t="shared" si="3"/>
        <v>1859600</v>
      </c>
      <c r="DK19" s="275">
        <f t="shared" si="4"/>
        <v>1793951.8184153528</v>
      </c>
      <c r="DL19" s="276"/>
      <c r="DM19" s="919"/>
      <c r="DN19" s="919"/>
      <c r="DO19" s="919"/>
      <c r="DP19" s="919"/>
      <c r="DQ19" s="919"/>
      <c r="DR19" s="919"/>
      <c r="DS19" s="919"/>
      <c r="DT19" s="919"/>
      <c r="DU19" s="919"/>
      <c r="DV19" s="919"/>
      <c r="DW19" s="919"/>
      <c r="DX19" s="919"/>
    </row>
    <row r="20" spans="3:128" ht="15.95" customHeight="1" x14ac:dyDescent="0.2">
      <c r="C20" s="167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310"/>
      <c r="W20" s="102"/>
      <c r="X20" s="102"/>
      <c r="Y20" s="65"/>
      <c r="Z20" s="774" t="s">
        <v>225</v>
      </c>
      <c r="AA20" s="774"/>
      <c r="AB20" s="774"/>
      <c r="AC20" s="774"/>
      <c r="AD20" s="774"/>
      <c r="AE20" s="774"/>
      <c r="AF20" s="775"/>
      <c r="AG20" s="776">
        <f>$AJ$17+$AJ$18+$AG$19</f>
        <v>0</v>
      </c>
      <c r="AH20" s="777"/>
      <c r="AI20" s="777"/>
      <c r="AJ20" s="777"/>
      <c r="AK20" s="777"/>
      <c r="AL20" s="777"/>
      <c r="AM20" s="777"/>
      <c r="AN20" s="777"/>
      <c r="AO20" s="777"/>
      <c r="AP20" s="777"/>
      <c r="AQ20" s="65"/>
      <c r="AT20" s="770"/>
      <c r="AU20" s="770"/>
      <c r="AV20" s="770"/>
      <c r="AW20" s="770"/>
      <c r="AX20" s="770"/>
      <c r="AY20" s="770"/>
      <c r="AZ20" s="770"/>
      <c r="BA20" s="770"/>
      <c r="BB20" s="770"/>
      <c r="BC20" s="771"/>
      <c r="BD20" s="865"/>
      <c r="BE20" s="866"/>
      <c r="BF20" s="866"/>
      <c r="BG20" s="866"/>
      <c r="BH20" s="866"/>
      <c r="BI20" s="866"/>
      <c r="BJ20" s="866"/>
      <c r="BK20" s="859"/>
      <c r="BL20" s="860"/>
      <c r="BM20" s="860"/>
      <c r="BN20" s="860"/>
      <c r="BO20" s="860"/>
      <c r="BP20" s="860"/>
      <c r="BQ20" s="860"/>
      <c r="BR20" s="860"/>
      <c r="BS20" s="860"/>
      <c r="BT20" s="860"/>
      <c r="BU20" s="860"/>
      <c r="BV20" s="860"/>
      <c r="BW20" s="860"/>
      <c r="BY20" s="676"/>
      <c r="BZ20" s="676"/>
      <c r="CD20" s="83" t="s">
        <v>116</v>
      </c>
      <c r="CE20" s="84" t="b">
        <f>IF($BD$19="금액입력",TRUE,FALSE)</f>
        <v>0</v>
      </c>
      <c r="CH20" s="89" t="s">
        <v>119</v>
      </c>
      <c r="CI20" s="99">
        <f>$BK$20</f>
        <v>0</v>
      </c>
      <c r="CL20" s="49">
        <v>15</v>
      </c>
      <c r="CM20" s="50">
        <f t="shared" si="1"/>
        <v>1859558</v>
      </c>
      <c r="CO20" s="79" t="s">
        <v>130</v>
      </c>
      <c r="CP20" s="42">
        <f>$CI$28</f>
        <v>0</v>
      </c>
      <c r="CQ20" s="50">
        <f>$CP$20</f>
        <v>0</v>
      </c>
      <c r="CR20" s="42"/>
      <c r="CS20" s="105">
        <v>0</v>
      </c>
      <c r="CT20" s="50">
        <f>$CQ$20</f>
        <v>0</v>
      </c>
      <c r="CU20" s="42"/>
      <c r="CW20" s="68"/>
      <c r="CX20" s="69" t="str">
        <f>견적관리자용!$S$12</f>
        <v>화물(1000cc 미만)</v>
      </c>
      <c r="CY20" s="70">
        <v>0</v>
      </c>
      <c r="CZ20" s="70">
        <v>0</v>
      </c>
      <c r="DA20" s="80">
        <v>0</v>
      </c>
      <c r="DB20" s="80">
        <v>0</v>
      </c>
      <c r="DC20" s="80">
        <v>0</v>
      </c>
      <c r="DD20" s="72">
        <f t="shared" si="2"/>
        <v>0</v>
      </c>
      <c r="DE20" s="73">
        <v>17</v>
      </c>
      <c r="DF20" s="72">
        <f t="shared" si="5"/>
        <v>0</v>
      </c>
      <c r="DG20" s="74"/>
      <c r="DI20" s="274">
        <v>10</v>
      </c>
      <c r="DJ20" s="275">
        <f t="shared" si="3"/>
        <v>1859600</v>
      </c>
      <c r="DK20" s="275">
        <f t="shared" si="4"/>
        <v>1786802.1554294142</v>
      </c>
      <c r="DL20" s="276"/>
      <c r="DM20" s="919"/>
      <c r="DN20" s="919"/>
      <c r="DO20" s="919"/>
      <c r="DP20" s="919"/>
      <c r="DQ20" s="919"/>
      <c r="DR20" s="919"/>
      <c r="DS20" s="919"/>
      <c r="DT20" s="919"/>
      <c r="DU20" s="919"/>
      <c r="DV20" s="919"/>
      <c r="DW20" s="919"/>
      <c r="DX20" s="919"/>
    </row>
    <row r="21" spans="3:128" ht="15.95" customHeight="1" x14ac:dyDescent="0.25">
      <c r="C21" s="167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107"/>
      <c r="W21" s="107"/>
      <c r="X21" s="107"/>
      <c r="Y21" s="261"/>
      <c r="Z21" s="365" t="s">
        <v>406</v>
      </c>
      <c r="AA21" s="364"/>
      <c r="AB21" s="364"/>
      <c r="AC21" s="364"/>
      <c r="AD21" s="364"/>
      <c r="AE21" s="364"/>
      <c r="AF21" s="364"/>
      <c r="AG21" s="364"/>
      <c r="AH21" s="364"/>
      <c r="AI21" s="364"/>
      <c r="AJ21" s="364"/>
      <c r="AK21" s="364"/>
      <c r="AL21" s="364"/>
      <c r="AM21" s="363"/>
      <c r="AN21" s="363"/>
      <c r="AO21" s="363"/>
      <c r="AP21" s="363"/>
      <c r="AQ21" s="65"/>
      <c r="BY21" s="33"/>
      <c r="BZ21" s="34"/>
      <c r="CH21" s="103" t="s">
        <v>123</v>
      </c>
      <c r="CI21" s="104">
        <f>VLOOKUP($BD$19,$CH$17:$CI$20,2,FALSE)</f>
        <v>10156360</v>
      </c>
      <c r="CL21" s="49">
        <v>16</v>
      </c>
      <c r="CM21" s="50">
        <f t="shared" si="1"/>
        <v>1859558</v>
      </c>
      <c r="CO21" s="79" t="s">
        <v>187</v>
      </c>
      <c r="CP21" s="42">
        <f>$CI$88</f>
        <v>0</v>
      </c>
      <c r="CQ21" s="50">
        <f>$CP$21</f>
        <v>0</v>
      </c>
      <c r="CR21" s="42"/>
      <c r="CS21" s="49">
        <f>$CQ$21</f>
        <v>0</v>
      </c>
      <c r="CT21" s="50">
        <f>$CQ$21</f>
        <v>0</v>
      </c>
      <c r="CU21" s="42"/>
      <c r="CW21" s="85"/>
      <c r="CX21" s="69" t="str">
        <f>견적관리자용!$S$13</f>
        <v>화물(0.6톤 미만)</v>
      </c>
      <c r="CY21" s="70">
        <v>0</v>
      </c>
      <c r="CZ21" s="70">
        <v>0</v>
      </c>
      <c r="DA21" s="70">
        <v>0</v>
      </c>
      <c r="DB21" s="70">
        <v>0</v>
      </c>
      <c r="DC21" s="86">
        <v>0</v>
      </c>
      <c r="DD21" s="72">
        <f t="shared" si="2"/>
        <v>0</v>
      </c>
      <c r="DE21" s="73">
        <v>18</v>
      </c>
      <c r="DF21" s="72">
        <f t="shared" si="5"/>
        <v>0</v>
      </c>
      <c r="DG21" s="74"/>
      <c r="DI21" s="274">
        <v>11</v>
      </c>
      <c r="DJ21" s="275">
        <f t="shared" si="3"/>
        <v>1859600</v>
      </c>
      <c r="DK21" s="275">
        <f t="shared" si="4"/>
        <v>1779680.9868992844</v>
      </c>
      <c r="DL21" s="276"/>
      <c r="DM21" s="919"/>
      <c r="DN21" s="919"/>
      <c r="DO21" s="919"/>
      <c r="DP21" s="919"/>
      <c r="DQ21" s="919"/>
      <c r="DR21" s="919"/>
      <c r="DS21" s="919"/>
      <c r="DT21" s="919"/>
      <c r="DU21" s="919"/>
      <c r="DV21" s="919"/>
      <c r="DW21" s="919"/>
      <c r="DX21" s="919"/>
    </row>
    <row r="22" spans="3:128" ht="15.95" customHeight="1" x14ac:dyDescent="0.3">
      <c r="C22" s="167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362"/>
      <c r="W22" s="319"/>
      <c r="X22" s="319"/>
      <c r="Y22" s="319"/>
      <c r="Z22" s="366"/>
      <c r="AA22" s="366" t="s">
        <v>407</v>
      </c>
      <c r="AB22" s="366"/>
      <c r="AC22" s="366"/>
      <c r="AD22" s="772">
        <f>CS36</f>
        <v>0</v>
      </c>
      <c r="AE22" s="772"/>
      <c r="AF22" s="772"/>
      <c r="AG22" s="773">
        <f>CS35</f>
        <v>0</v>
      </c>
      <c r="AH22" s="773"/>
      <c r="AI22" s="773"/>
      <c r="AJ22" s="773"/>
      <c r="AK22" s="773"/>
      <c r="AL22" s="773"/>
      <c r="AM22" s="367"/>
      <c r="AN22" s="362"/>
      <c r="AO22" s="362"/>
      <c r="AP22" s="362"/>
      <c r="AQ22" s="362"/>
      <c r="AT22" s="764" t="s">
        <v>277</v>
      </c>
      <c r="AU22" s="764"/>
      <c r="AV22" s="764"/>
      <c r="AW22" s="764"/>
      <c r="AX22" s="764"/>
      <c r="AY22" s="764"/>
      <c r="AZ22" s="764"/>
      <c r="BA22" s="764"/>
      <c r="BB22" s="764"/>
      <c r="BC22" s="767"/>
      <c r="BD22" s="736">
        <v>60</v>
      </c>
      <c r="BE22" s="737"/>
      <c r="BF22" s="737"/>
      <c r="BG22" s="737"/>
      <c r="BH22" s="737"/>
      <c r="BI22" s="737"/>
      <c r="BJ22" s="737"/>
      <c r="BK22" s="737"/>
      <c r="BL22" s="737"/>
      <c r="BM22" s="737"/>
      <c r="BN22" s="737"/>
      <c r="BO22" s="737"/>
      <c r="BP22" s="737"/>
      <c r="BQ22" s="737"/>
      <c r="BR22" s="737"/>
      <c r="BS22" s="737"/>
      <c r="BT22" s="737"/>
      <c r="BU22" s="737"/>
      <c r="BV22" s="737"/>
      <c r="BW22" s="737"/>
      <c r="BY22" s="676"/>
      <c r="BZ22" s="676"/>
      <c r="CH22" s="35" t="s">
        <v>274</v>
      </c>
      <c r="CI22" s="57">
        <f>ROUND((CI9/1.1)/10,0)</f>
        <v>14509091</v>
      </c>
      <c r="CL22" s="49">
        <v>17</v>
      </c>
      <c r="CM22" s="50">
        <f t="shared" si="1"/>
        <v>1859558</v>
      </c>
      <c r="CO22" s="51" t="s">
        <v>189</v>
      </c>
      <c r="CP22" s="96">
        <f>SUM($CP$19:$CP$21)</f>
        <v>0</v>
      </c>
      <c r="CQ22" s="97">
        <f>SUM($CQ$19:$CQ$21)</f>
        <v>0</v>
      </c>
      <c r="CR22" s="42"/>
      <c r="CS22" s="98">
        <f>SUM($CS$19:$CS$21)</f>
        <v>0</v>
      </c>
      <c r="CT22" s="97">
        <f>SUM($CT$19:$CT$21)</f>
        <v>0</v>
      </c>
      <c r="CU22" s="42"/>
      <c r="CW22" s="85"/>
      <c r="CX22" s="69" t="str">
        <f>견적관리자용!$S$14</f>
        <v>화물(0.6~1톤 미만)</v>
      </c>
      <c r="CY22" s="70">
        <v>0</v>
      </c>
      <c r="CZ22" s="70">
        <v>0</v>
      </c>
      <c r="DA22" s="70">
        <v>0</v>
      </c>
      <c r="DB22" s="70">
        <v>0</v>
      </c>
      <c r="DC22" s="86">
        <v>0</v>
      </c>
      <c r="DD22" s="72">
        <f t="shared" si="2"/>
        <v>0</v>
      </c>
      <c r="DE22" s="73">
        <v>19</v>
      </c>
      <c r="DF22" s="72">
        <f t="shared" si="5"/>
        <v>0</v>
      </c>
      <c r="DG22" s="74"/>
      <c r="DI22" s="274">
        <v>12</v>
      </c>
      <c r="DJ22" s="275">
        <f t="shared" si="3"/>
        <v>1859600</v>
      </c>
      <c r="DK22" s="275">
        <f t="shared" si="4"/>
        <v>1772588.1992624057</v>
      </c>
      <c r="DL22" s="276"/>
      <c r="DM22" s="919"/>
      <c r="DN22" s="919"/>
      <c r="DO22" s="919"/>
      <c r="DP22" s="919"/>
      <c r="DQ22" s="919"/>
      <c r="DR22" s="919"/>
      <c r="DS22" s="919"/>
      <c r="DT22" s="919"/>
      <c r="DU22" s="919"/>
      <c r="DV22" s="919"/>
      <c r="DW22" s="919"/>
      <c r="DX22" s="919"/>
    </row>
    <row r="23" spans="3:128" ht="15.95" customHeight="1" x14ac:dyDescent="0.3">
      <c r="C23" s="167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366"/>
      <c r="AA23" s="366" t="s">
        <v>408</v>
      </c>
      <c r="AB23" s="366"/>
      <c r="AC23" s="366"/>
      <c r="AD23" s="772">
        <f>CT36</f>
        <v>0</v>
      </c>
      <c r="AE23" s="772"/>
      <c r="AF23" s="772"/>
      <c r="AG23" s="773">
        <f>CT35</f>
        <v>0</v>
      </c>
      <c r="AH23" s="773"/>
      <c r="AI23" s="773"/>
      <c r="AJ23" s="773"/>
      <c r="AK23" s="773"/>
      <c r="AL23" s="773"/>
      <c r="AM23" s="364"/>
      <c r="AT23" s="764" t="s">
        <v>370</v>
      </c>
      <c r="AU23" s="764"/>
      <c r="AV23" s="764"/>
      <c r="AW23" s="764"/>
      <c r="AX23" s="764"/>
      <c r="AY23" s="764"/>
      <c r="AZ23" s="764"/>
      <c r="BA23" s="764"/>
      <c r="BB23" s="764"/>
      <c r="BC23" s="767"/>
      <c r="BD23" s="721">
        <v>0</v>
      </c>
      <c r="BE23" s="722"/>
      <c r="BF23" s="722"/>
      <c r="BG23" s="722"/>
      <c r="BH23" s="722"/>
      <c r="BI23" s="722"/>
      <c r="BJ23" s="722"/>
      <c r="BK23" s="722"/>
      <c r="BL23" s="722"/>
      <c r="BM23" s="722"/>
      <c r="BN23" s="722"/>
      <c r="BO23" s="722"/>
      <c r="BP23" s="722"/>
      <c r="BQ23" s="722"/>
      <c r="BR23" s="722"/>
      <c r="BS23" s="722"/>
      <c r="BT23" s="722"/>
      <c r="BU23" s="722"/>
      <c r="BV23" s="722"/>
      <c r="BW23" s="722"/>
      <c r="BY23" s="676"/>
      <c r="BZ23" s="676"/>
      <c r="CD23" s="83" t="s">
        <v>75</v>
      </c>
      <c r="CE23" s="110" t="b">
        <f>IF($BD$24="금액입력",TRUE,FALSE)</f>
        <v>0</v>
      </c>
      <c r="CF23" s="84" t="b">
        <f>IF($CE$23=TRUE,FALSE,TRUE)</f>
        <v>1</v>
      </c>
      <c r="CH23" s="108" t="s">
        <v>126</v>
      </c>
      <c r="CI23" s="109">
        <f>$CI$9+$CI$21+IF($CE$4=TRUE, $CI$11,0)+IF($CE$5=TRUE,$BD$17,0)+IF($CE$6=TRUE,$BD$18,0)</f>
        <v>169756360</v>
      </c>
      <c r="CL23" s="49">
        <v>18</v>
      </c>
      <c r="CM23" s="50">
        <f t="shared" si="1"/>
        <v>1859558</v>
      </c>
      <c r="CW23" s="85"/>
      <c r="CX23" s="69" t="str">
        <f>견적관리자용!$S$15</f>
        <v>화물(1~2.5톤 미만)</v>
      </c>
      <c r="CY23" s="70">
        <v>0</v>
      </c>
      <c r="CZ23" s="70">
        <v>0</v>
      </c>
      <c r="DA23" s="70">
        <v>0</v>
      </c>
      <c r="DB23" s="70">
        <v>0</v>
      </c>
      <c r="DC23" s="86">
        <v>0</v>
      </c>
      <c r="DD23" s="72">
        <f t="shared" si="2"/>
        <v>0</v>
      </c>
      <c r="DE23" s="73">
        <v>20</v>
      </c>
      <c r="DF23" s="72">
        <f t="shared" si="5"/>
        <v>0</v>
      </c>
      <c r="DG23" s="74"/>
      <c r="DI23" s="274">
        <v>13</v>
      </c>
      <c r="DJ23" s="275">
        <f t="shared" si="3"/>
        <v>1859600</v>
      </c>
      <c r="DK23" s="275">
        <f t="shared" si="4"/>
        <v>1765523.6794088166</v>
      </c>
      <c r="DL23" s="276"/>
      <c r="DM23" s="919"/>
      <c r="DN23" s="919"/>
      <c r="DO23" s="919"/>
      <c r="DP23" s="919"/>
      <c r="DQ23" s="919"/>
      <c r="DR23" s="919"/>
      <c r="DS23" s="919"/>
      <c r="DT23" s="919"/>
      <c r="DU23" s="919"/>
      <c r="DV23" s="919"/>
      <c r="DW23" s="919"/>
      <c r="DX23" s="919"/>
    </row>
    <row r="24" spans="3:128" ht="15.95" customHeight="1" x14ac:dyDescent="0.3">
      <c r="C24" s="167"/>
      <c r="D24" s="923" t="s">
        <v>409</v>
      </c>
      <c r="E24" s="923"/>
      <c r="F24" s="923"/>
      <c r="G24" s="923"/>
      <c r="H24" s="923"/>
      <c r="I24" s="923"/>
      <c r="J24" s="923"/>
      <c r="K24" s="923"/>
      <c r="L24" s="923"/>
      <c r="M24" s="923"/>
      <c r="N24" s="923"/>
      <c r="O24" s="923"/>
      <c r="P24" s="923"/>
      <c r="Q24" s="923"/>
      <c r="R24" s="923"/>
      <c r="S24" s="923"/>
      <c r="T24" s="923"/>
      <c r="U24" s="923"/>
      <c r="V24" s="923"/>
      <c r="W24" s="923"/>
      <c r="X24" s="923"/>
      <c r="Y24" s="923"/>
      <c r="Z24" s="923"/>
      <c r="AA24" s="923"/>
      <c r="AB24" s="923"/>
      <c r="AC24" s="923"/>
      <c r="AD24" s="923"/>
      <c r="AE24" s="923"/>
      <c r="AF24" s="923"/>
      <c r="AG24" s="923"/>
      <c r="AH24" s="923"/>
      <c r="AI24" s="923"/>
      <c r="AJ24" s="923"/>
      <c r="AK24" s="923"/>
      <c r="AL24" s="923"/>
      <c r="AM24" s="923"/>
      <c r="AN24" s="923"/>
      <c r="AO24" s="923"/>
      <c r="AP24" s="923"/>
      <c r="AQ24" s="362"/>
      <c r="AT24" s="764" t="s">
        <v>369</v>
      </c>
      <c r="AU24" s="764"/>
      <c r="AV24" s="764"/>
      <c r="AW24" s="764"/>
      <c r="AX24" s="764"/>
      <c r="AY24" s="764"/>
      <c r="AZ24" s="764"/>
      <c r="BA24" s="764"/>
      <c r="BB24" s="764"/>
      <c r="BC24" s="767"/>
      <c r="BD24" s="723" t="s">
        <v>242</v>
      </c>
      <c r="BE24" s="724"/>
      <c r="BF24" s="724"/>
      <c r="BG24" s="724"/>
      <c r="BH24" s="724"/>
      <c r="BI24" s="724"/>
      <c r="BJ24" s="724"/>
      <c r="BK24" s="725">
        <v>0</v>
      </c>
      <c r="BL24" s="725"/>
      <c r="BM24" s="725"/>
      <c r="BN24" s="725"/>
      <c r="BO24" s="725"/>
      <c r="BP24" s="725"/>
      <c r="BQ24" s="726">
        <v>0</v>
      </c>
      <c r="BR24" s="726"/>
      <c r="BS24" s="726"/>
      <c r="BT24" s="726"/>
      <c r="BU24" s="726"/>
      <c r="BV24" s="726"/>
      <c r="BW24" s="727"/>
      <c r="BY24" s="559"/>
      <c r="BZ24" s="559"/>
      <c r="CD24" s="83" t="s">
        <v>76</v>
      </c>
      <c r="CE24" s="110" t="b">
        <f>IF($BD$25="금액입력",TRUE,FALSE)</f>
        <v>0</v>
      </c>
      <c r="CF24" s="84" t="b">
        <f>IF($CE$24=TRUE,FALSE,TRUE)</f>
        <v>1</v>
      </c>
      <c r="CH24" s="108" t="s">
        <v>127</v>
      </c>
      <c r="CI24" s="111">
        <f>$BD$22</f>
        <v>60</v>
      </c>
      <c r="CL24" s="49">
        <v>19</v>
      </c>
      <c r="CM24" s="50">
        <f t="shared" si="1"/>
        <v>1859558</v>
      </c>
      <c r="CO24" s="114" t="s">
        <v>132</v>
      </c>
      <c r="CP24" s="115">
        <f>$CI$42</f>
        <v>92568000</v>
      </c>
      <c r="CQ24" s="82">
        <f>$CP$24</f>
        <v>92568000</v>
      </c>
      <c r="CR24" s="42"/>
      <c r="CS24" s="116">
        <f>$CQ$24</f>
        <v>92568000</v>
      </c>
      <c r="CT24" s="82">
        <f>$CQ$24</f>
        <v>92568000</v>
      </c>
      <c r="CU24" s="42"/>
      <c r="CW24" s="85"/>
      <c r="CX24" s="69" t="str">
        <f>견적관리자용!$S$16</f>
        <v>화물(2.5~4.6톤 미만)</v>
      </c>
      <c r="CY24" s="70">
        <v>0</v>
      </c>
      <c r="CZ24" s="70">
        <v>0</v>
      </c>
      <c r="DA24" s="80">
        <v>0</v>
      </c>
      <c r="DB24" s="80">
        <v>0</v>
      </c>
      <c r="DC24" s="80">
        <v>0</v>
      </c>
      <c r="DD24" s="72">
        <f t="shared" si="2"/>
        <v>0</v>
      </c>
      <c r="DE24" s="73">
        <v>21</v>
      </c>
      <c r="DF24" s="72">
        <f t="shared" si="5"/>
        <v>0</v>
      </c>
      <c r="DG24" s="74"/>
      <c r="DI24" s="274">
        <v>14</v>
      </c>
      <c r="DJ24" s="275">
        <f t="shared" si="3"/>
        <v>1859600</v>
      </c>
      <c r="DK24" s="275">
        <f t="shared" si="4"/>
        <v>1758487.3146793463</v>
      </c>
      <c r="DL24" s="276"/>
      <c r="DM24" s="919"/>
      <c r="DN24" s="919"/>
      <c r="DO24" s="919"/>
      <c r="DP24" s="919"/>
      <c r="DQ24" s="919"/>
      <c r="DR24" s="919"/>
      <c r="DS24" s="919"/>
      <c r="DT24" s="919"/>
      <c r="DU24" s="919"/>
      <c r="DV24" s="919"/>
      <c r="DW24" s="919"/>
      <c r="DX24" s="919"/>
    </row>
    <row r="25" spans="3:128" ht="15.95" customHeight="1" x14ac:dyDescent="0.3">
      <c r="C25" s="167"/>
      <c r="D25" s="583" t="s">
        <v>722</v>
      </c>
      <c r="E25" s="336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65"/>
      <c r="AT25" s="768" t="s">
        <v>71</v>
      </c>
      <c r="AU25" s="768"/>
      <c r="AV25" s="768"/>
      <c r="AW25" s="768"/>
      <c r="AX25" s="768"/>
      <c r="AY25" s="768"/>
      <c r="AZ25" s="768"/>
      <c r="BA25" s="768"/>
      <c r="BB25" s="768"/>
      <c r="BC25" s="768"/>
      <c r="BD25" s="715" t="s">
        <v>242</v>
      </c>
      <c r="BE25" s="715"/>
      <c r="BF25" s="715"/>
      <c r="BG25" s="715"/>
      <c r="BH25" s="715"/>
      <c r="BI25" s="715"/>
      <c r="BJ25" s="715"/>
      <c r="BK25" s="713">
        <v>0</v>
      </c>
      <c r="BL25" s="713"/>
      <c r="BM25" s="713"/>
      <c r="BN25" s="713"/>
      <c r="BO25" s="713"/>
      <c r="BP25" s="713"/>
      <c r="BQ25" s="714">
        <v>0</v>
      </c>
      <c r="BR25" s="714"/>
      <c r="BS25" s="714"/>
      <c r="BT25" s="714"/>
      <c r="BU25" s="714"/>
      <c r="BV25" s="714"/>
      <c r="BW25" s="714"/>
      <c r="BX25" s="167"/>
      <c r="BY25" s="559"/>
      <c r="BZ25" s="559"/>
      <c r="CD25" s="110"/>
      <c r="CE25" s="110"/>
      <c r="CF25" s="110"/>
      <c r="CH25" s="303" t="s">
        <v>128</v>
      </c>
      <c r="CI25" s="283">
        <f>IF($BD$15="당사명의",VLOOKUP($BD$5,견적관리자용!$E$9:$K$36,2,FALSE),VLOOKUP($BD$5,견적관리자용!$E$9:$K$36,3,FALSE))+CJ25</f>
        <v>4.8000000000000001E-2</v>
      </c>
      <c r="CJ25" s="623">
        <f>IF(BZ33="KCC오토",1.5%,IF(BZ33="KCC면제",1.5%,0))</f>
        <v>0</v>
      </c>
      <c r="CL25" s="49">
        <v>20</v>
      </c>
      <c r="CM25" s="50">
        <f t="shared" si="1"/>
        <v>1859558</v>
      </c>
      <c r="CO25" s="117"/>
      <c r="CP25" s="42"/>
      <c r="CQ25" s="42"/>
      <c r="CR25" s="101"/>
      <c r="CS25" s="42"/>
      <c r="CT25" s="42"/>
      <c r="CU25" s="42"/>
      <c r="CW25" s="90"/>
      <c r="CX25" s="91" t="str">
        <f>견적관리자용!$S$17</f>
        <v>화물(4.6톤 이상)</v>
      </c>
      <c r="CY25" s="92">
        <v>0</v>
      </c>
      <c r="CZ25" s="92">
        <v>0</v>
      </c>
      <c r="DA25" s="92">
        <v>0</v>
      </c>
      <c r="DB25" s="92">
        <v>0</v>
      </c>
      <c r="DC25" s="92">
        <v>0</v>
      </c>
      <c r="DD25" s="93">
        <f t="shared" si="2"/>
        <v>0</v>
      </c>
      <c r="DE25" s="94">
        <v>22</v>
      </c>
      <c r="DF25" s="93">
        <f t="shared" si="5"/>
        <v>0</v>
      </c>
      <c r="DG25" s="95"/>
      <c r="DI25" s="274">
        <v>15</v>
      </c>
      <c r="DJ25" s="275">
        <f t="shared" si="3"/>
        <v>1859600</v>
      </c>
      <c r="DK25" s="275">
        <f t="shared" si="4"/>
        <v>1751478.9928638188</v>
      </c>
      <c r="DL25" s="276"/>
      <c r="DM25" s="919"/>
      <c r="DN25" s="919"/>
      <c r="DO25" s="919"/>
      <c r="DP25" s="919"/>
      <c r="DQ25" s="919"/>
      <c r="DR25" s="919"/>
      <c r="DS25" s="919"/>
      <c r="DT25" s="919"/>
      <c r="DU25" s="919"/>
      <c r="DV25" s="919"/>
      <c r="DW25" s="919"/>
      <c r="DX25" s="919"/>
    </row>
    <row r="26" spans="3:128" ht="15.95" customHeight="1" thickBot="1" x14ac:dyDescent="0.35">
      <c r="C26" s="167"/>
      <c r="D26" s="584" t="s">
        <v>728</v>
      </c>
      <c r="E26" s="112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T26" s="744" t="s">
        <v>77</v>
      </c>
      <c r="AU26" s="744"/>
      <c r="AV26" s="744"/>
      <c r="AW26" s="744"/>
      <c r="AX26" s="744"/>
      <c r="AY26" s="744"/>
      <c r="AZ26" s="744"/>
      <c r="BA26" s="744"/>
      <c r="BB26" s="744"/>
      <c r="BC26" s="745"/>
      <c r="BD26" s="711">
        <v>20000</v>
      </c>
      <c r="BE26" s="712"/>
      <c r="BF26" s="712"/>
      <c r="BG26" s="712"/>
      <c r="BH26" s="712"/>
      <c r="BI26" s="712"/>
      <c r="BJ26" s="712"/>
      <c r="BK26" s="712"/>
      <c r="BL26" s="712"/>
      <c r="BM26" s="712"/>
      <c r="BN26" s="712"/>
      <c r="BO26" s="712"/>
      <c r="BP26" s="712"/>
      <c r="BQ26" s="712"/>
      <c r="BR26" s="712"/>
      <c r="BS26" s="712"/>
      <c r="BT26" s="712"/>
      <c r="BU26" s="712"/>
      <c r="BV26" s="712"/>
      <c r="BW26" s="712"/>
      <c r="BY26" s="559"/>
      <c r="BZ26" s="559"/>
      <c r="CD26" s="83" t="s">
        <v>135</v>
      </c>
      <c r="CE26" s="110" t="b">
        <f>IF($BD$27="금액입력",TRUE,FALSE)</f>
        <v>0</v>
      </c>
      <c r="CF26" s="84" t="b">
        <f>IF($CE$26=TRUE,FALSE,TRUE)</f>
        <v>1</v>
      </c>
      <c r="CH26" s="108" t="s">
        <v>129</v>
      </c>
      <c r="CI26" s="57">
        <f>$BD$23</f>
        <v>0</v>
      </c>
      <c r="CJ26" s="290" t="s">
        <v>304</v>
      </c>
      <c r="CL26" s="49">
        <v>21</v>
      </c>
      <c r="CM26" s="50">
        <f t="shared" si="1"/>
        <v>1859558</v>
      </c>
      <c r="CO26" s="119" t="s">
        <v>192</v>
      </c>
      <c r="CP26" s="120"/>
      <c r="CQ26" s="121">
        <f>PMT($CQ$5/12,$CQ$4,-$CQ$17+$CQ$22,$CQ$24-$CQ$20)</f>
        <v>1859600.9425053752</v>
      </c>
      <c r="CR26" s="101"/>
      <c r="CS26" s="122">
        <f>PMT($CS$5/12,$CS$4,-$CS$17+$CS$22,$CS$24-$CS$20)</f>
        <v>1859600.9425053752</v>
      </c>
      <c r="CT26" s="123">
        <f>PMT($CT$5/12,$CT$4,-$CT$17+$CT$22,$CT$24-$CT$20)</f>
        <v>1859600.9425053752</v>
      </c>
      <c r="CU26" s="41"/>
      <c r="CW26" s="68" t="s">
        <v>95</v>
      </c>
      <c r="CX26" s="124" t="str">
        <f>견적관리자용!$S$8</f>
        <v>승용일반</v>
      </c>
      <c r="CY26" s="70">
        <v>0</v>
      </c>
      <c r="CZ26" s="125">
        <v>0.04</v>
      </c>
      <c r="DA26" s="125">
        <v>0.04</v>
      </c>
      <c r="DB26" s="125">
        <v>0.04</v>
      </c>
      <c r="DC26" s="125">
        <v>0.05</v>
      </c>
      <c r="DD26" s="72">
        <f t="shared" si="2"/>
        <v>0.05</v>
      </c>
      <c r="DE26" s="73">
        <v>23</v>
      </c>
      <c r="DF26" s="72">
        <f t="shared" si="5"/>
        <v>0</v>
      </c>
      <c r="DG26" s="74">
        <f>SUM(DF26:DF35)</f>
        <v>390000</v>
      </c>
      <c r="DI26" s="274">
        <v>16</v>
      </c>
      <c r="DJ26" s="275">
        <f t="shared" si="3"/>
        <v>1859600</v>
      </c>
      <c r="DK26" s="275">
        <f t="shared" si="4"/>
        <v>1744498.6021992639</v>
      </c>
      <c r="DL26" s="276"/>
      <c r="DM26" s="919"/>
      <c r="DN26" s="919"/>
      <c r="DO26" s="919"/>
      <c r="DP26" s="919"/>
      <c r="DQ26" s="919"/>
      <c r="DR26" s="919"/>
      <c r="DS26" s="919"/>
      <c r="DT26" s="919"/>
      <c r="DU26" s="919"/>
      <c r="DV26" s="919"/>
      <c r="DW26" s="919"/>
      <c r="DX26" s="919"/>
    </row>
    <row r="27" spans="3:128" ht="15.95" customHeight="1" thickTop="1" x14ac:dyDescent="0.3">
      <c r="C27" s="167"/>
      <c r="D27" s="584" t="s">
        <v>725</v>
      </c>
      <c r="E27" s="112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T27" s="753" t="s">
        <v>132</v>
      </c>
      <c r="AU27" s="754"/>
      <c r="AV27" s="754"/>
      <c r="AW27" s="754"/>
      <c r="AX27" s="754"/>
      <c r="AY27" s="754"/>
      <c r="AZ27" s="754"/>
      <c r="BA27" s="754"/>
      <c r="BB27" s="754"/>
      <c r="BC27" s="755"/>
      <c r="BD27" s="867" t="s">
        <v>242</v>
      </c>
      <c r="BE27" s="868"/>
      <c r="BF27" s="868"/>
      <c r="BG27" s="868"/>
      <c r="BH27" s="868"/>
      <c r="BI27" s="868"/>
      <c r="BJ27" s="868"/>
      <c r="BK27" s="810">
        <v>0.57999999999999996</v>
      </c>
      <c r="BL27" s="810"/>
      <c r="BM27" s="810"/>
      <c r="BN27" s="810"/>
      <c r="BO27" s="810"/>
      <c r="BP27" s="810"/>
      <c r="BQ27" s="762"/>
      <c r="BR27" s="762"/>
      <c r="BS27" s="762"/>
      <c r="BT27" s="762"/>
      <c r="BU27" s="762"/>
      <c r="BV27" s="762"/>
      <c r="BW27" s="763"/>
      <c r="BY27" s="588"/>
      <c r="BZ27" s="588"/>
      <c r="CH27" s="118" t="s">
        <v>130</v>
      </c>
      <c r="CI27" s="41">
        <f>IF($BD$24="취득원가비율",$CI$23*$BK$24,IF($BD$24="차량가비율",$CI$9*$BK$24,$BQ$24))</f>
        <v>0</v>
      </c>
      <c r="CJ27" s="291">
        <f>+(CI28+CI26)/CI9</f>
        <v>0</v>
      </c>
      <c r="CL27" s="49">
        <v>22</v>
      </c>
      <c r="CM27" s="50">
        <f t="shared" si="1"/>
        <v>1859558</v>
      </c>
      <c r="CO27" s="127" t="s">
        <v>193</v>
      </c>
      <c r="CP27" s="101"/>
      <c r="CQ27" s="128">
        <f>RATE($CQ$4,$CQ$26,-$CQ$8+$CQ$19,$CQ$24)*12</f>
        <v>5.1533744324368899E-2</v>
      </c>
      <c r="CR27" s="129"/>
      <c r="CS27" s="130">
        <f>ROUND(RATE($CS$4,$CS$26,-$CS$8+$CS$19,$CS$24)*12,5)</f>
        <v>5.1529999999999999E-2</v>
      </c>
      <c r="CT27" s="131">
        <f>RATE($CT$4,$CT$26,-$CT$8+$CT$19,$CT$24)*12</f>
        <v>5.1533744324368899E-2</v>
      </c>
      <c r="CU27" s="132"/>
      <c r="CW27" s="68"/>
      <c r="CX27" s="69" t="str">
        <f>견적관리자용!$S$9</f>
        <v>승용SUV(~5인)</v>
      </c>
      <c r="CY27" s="70">
        <v>0</v>
      </c>
      <c r="CZ27" s="71">
        <v>0.04</v>
      </c>
      <c r="DA27" s="71">
        <v>0.04</v>
      </c>
      <c r="DB27" s="71">
        <v>0.04</v>
      </c>
      <c r="DC27" s="71">
        <v>0.04</v>
      </c>
      <c r="DD27" s="72">
        <f t="shared" si="2"/>
        <v>0.04</v>
      </c>
      <c r="DE27" s="73">
        <v>24</v>
      </c>
      <c r="DF27" s="72">
        <f t="shared" si="5"/>
        <v>0</v>
      </c>
      <c r="DG27" s="74"/>
      <c r="DI27" s="274">
        <v>17</v>
      </c>
      <c r="DJ27" s="275">
        <f t="shared" si="3"/>
        <v>1859600</v>
      </c>
      <c r="DK27" s="275">
        <f t="shared" si="4"/>
        <v>1737546.0313681348</v>
      </c>
      <c r="DL27" s="276"/>
      <c r="DM27" s="919"/>
      <c r="DN27" s="919"/>
      <c r="DO27" s="919"/>
      <c r="DP27" s="919"/>
      <c r="DQ27" s="919"/>
      <c r="DR27" s="919"/>
      <c r="DS27" s="919"/>
      <c r="DT27" s="919"/>
      <c r="DU27" s="919"/>
      <c r="DV27" s="919"/>
      <c r="DW27" s="919"/>
      <c r="DX27" s="919"/>
    </row>
    <row r="28" spans="3:128" ht="15.95" customHeight="1" x14ac:dyDescent="0.3">
      <c r="C28" s="167"/>
      <c r="D28" s="338" t="s">
        <v>1190</v>
      </c>
      <c r="E28" s="31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T28" s="756"/>
      <c r="AU28" s="757"/>
      <c r="AV28" s="757"/>
      <c r="AW28" s="757"/>
      <c r="AX28" s="757"/>
      <c r="AY28" s="757"/>
      <c r="AZ28" s="757"/>
      <c r="BA28" s="757"/>
      <c r="BB28" s="757"/>
      <c r="BC28" s="758"/>
      <c r="BD28" s="851" t="s">
        <v>140</v>
      </c>
      <c r="BE28" s="852"/>
      <c r="BF28" s="852"/>
      <c r="BG28" s="852"/>
      <c r="BH28" s="852"/>
      <c r="BI28" s="852"/>
      <c r="BJ28" s="852"/>
      <c r="BK28" s="853">
        <f>IF($BD$27="취득원가비율",$CI$38,$CI$36)</f>
        <v>0.15</v>
      </c>
      <c r="BL28" s="853"/>
      <c r="BM28" s="853"/>
      <c r="BN28" s="853"/>
      <c r="BO28" s="853"/>
      <c r="BP28" s="853"/>
      <c r="BQ28" s="854">
        <f>$CI$37</f>
        <v>23940000</v>
      </c>
      <c r="BR28" s="854"/>
      <c r="BS28" s="854"/>
      <c r="BT28" s="854"/>
      <c r="BU28" s="854"/>
      <c r="BV28" s="854"/>
      <c r="BW28" s="855"/>
      <c r="BY28" s="592" t="s">
        <v>729</v>
      </c>
      <c r="BZ28" s="593" t="str">
        <f>CO62</f>
        <v>에스앤케이모터스</v>
      </c>
      <c r="CH28" s="126"/>
      <c r="CI28" s="104">
        <f>ROUNDDOWN($CI$27,-3)</f>
        <v>0</v>
      </c>
      <c r="CL28" s="49">
        <v>23</v>
      </c>
      <c r="CM28" s="50">
        <f t="shared" si="1"/>
        <v>1859558</v>
      </c>
      <c r="CO28" s="127" t="s">
        <v>261</v>
      </c>
      <c r="CP28" s="101"/>
      <c r="CQ28" s="128">
        <f>ROUND(CQ27,5)</f>
        <v>5.1529999999999999E-2</v>
      </c>
      <c r="CR28" s="129"/>
      <c r="CS28" s="133">
        <f>ROUND(CS27,5)</f>
        <v>5.1529999999999999E-2</v>
      </c>
      <c r="CT28" s="129">
        <f>ROUND(CT27,5)</f>
        <v>5.1529999999999999E-2</v>
      </c>
      <c r="CU28" s="50"/>
      <c r="CW28" s="68"/>
      <c r="CX28" s="69" t="str">
        <f>견적관리자용!$S$10</f>
        <v>승용SUV(7~10인)</v>
      </c>
      <c r="CY28" s="70">
        <v>0</v>
      </c>
      <c r="CZ28" s="70">
        <v>390000</v>
      </c>
      <c r="DA28" s="80">
        <v>390000</v>
      </c>
      <c r="DB28" s="80">
        <v>390000</v>
      </c>
      <c r="DC28" s="80">
        <v>390000</v>
      </c>
      <c r="DD28" s="72">
        <f t="shared" si="2"/>
        <v>390000</v>
      </c>
      <c r="DE28" s="73">
        <v>25</v>
      </c>
      <c r="DF28" s="72">
        <f t="shared" si="5"/>
        <v>390000</v>
      </c>
      <c r="DG28" s="74"/>
      <c r="DI28" s="274">
        <v>18</v>
      </c>
      <c r="DJ28" s="275">
        <f t="shared" si="3"/>
        <v>1859600</v>
      </c>
      <c r="DK28" s="275">
        <f t="shared" si="4"/>
        <v>1730621.1694965321</v>
      </c>
      <c r="DL28" s="276"/>
      <c r="DM28" s="919"/>
      <c r="DN28" s="919"/>
      <c r="DO28" s="919"/>
      <c r="DP28" s="919"/>
      <c r="DQ28" s="919"/>
      <c r="DR28" s="919"/>
      <c r="DS28" s="919"/>
      <c r="DT28" s="919"/>
      <c r="DU28" s="919"/>
      <c r="DV28" s="919"/>
      <c r="DW28" s="919"/>
      <c r="DX28" s="919"/>
    </row>
    <row r="29" spans="3:128" ht="15.95" customHeight="1" thickBot="1" x14ac:dyDescent="0.35">
      <c r="C29" s="167"/>
      <c r="D29" s="338" t="s">
        <v>720</v>
      </c>
      <c r="E29" s="31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T29" s="677"/>
      <c r="AU29" s="678"/>
      <c r="AV29" s="678"/>
      <c r="AW29" s="678"/>
      <c r="AX29" s="678"/>
      <c r="AY29" s="678"/>
      <c r="AZ29" s="678"/>
      <c r="BA29" s="678"/>
      <c r="BB29" s="678"/>
      <c r="BC29" s="679"/>
      <c r="BD29" s="846" t="s">
        <v>136</v>
      </c>
      <c r="BE29" s="847"/>
      <c r="BF29" s="847"/>
      <c r="BG29" s="847"/>
      <c r="BH29" s="847"/>
      <c r="BI29" s="847"/>
      <c r="BJ29" s="847"/>
      <c r="BK29" s="848">
        <f>IF($BD$27="취득원가비율",$CI$35,$CI$33)</f>
        <v>0.58000000000999996</v>
      </c>
      <c r="BL29" s="848"/>
      <c r="BM29" s="848"/>
      <c r="BN29" s="848"/>
      <c r="BO29" s="848"/>
      <c r="BP29" s="848"/>
      <c r="BQ29" s="849">
        <f>$CI$34</f>
        <v>92568000</v>
      </c>
      <c r="BR29" s="849"/>
      <c r="BS29" s="849"/>
      <c r="BT29" s="849"/>
      <c r="BU29" s="849"/>
      <c r="BV29" s="849"/>
      <c r="BW29" s="850"/>
      <c r="BY29" s="592" t="s">
        <v>730</v>
      </c>
      <c r="BZ29" s="594">
        <f>CI44</f>
        <v>0</v>
      </c>
      <c r="CD29" s="134" t="s">
        <v>234</v>
      </c>
      <c r="CE29" s="135">
        <f>($CI$28+$CI$26)/$CI$9</f>
        <v>0</v>
      </c>
      <c r="CH29" s="118" t="s">
        <v>131</v>
      </c>
      <c r="CI29" s="41">
        <f>IF($BD$25="취득원가비율",$CI$23*$BK$25,IF($BD$25="차량가비율",$CI$9*$BK$25,$BQ$25))</f>
        <v>0</v>
      </c>
      <c r="CL29" s="49">
        <v>24</v>
      </c>
      <c r="CM29" s="50">
        <f t="shared" si="1"/>
        <v>1859558</v>
      </c>
      <c r="CO29" s="127" t="s">
        <v>265</v>
      </c>
      <c r="CP29" s="101"/>
      <c r="CQ29" s="136">
        <f>ROUNDDOWN(PMT(CQ28/12,CQ4,-CQ8,CQ24),0)</f>
        <v>1859558</v>
      </c>
      <c r="CR29" s="137"/>
      <c r="CS29" s="138">
        <f>ROUNDDOWN(PMT(CS28/12,CS4,-CS8,CS24),0)</f>
        <v>1859558</v>
      </c>
      <c r="CT29" s="137">
        <f>ROUNDDOWN(PMT(CT28/12,CT4,-CT8,CT24),0)</f>
        <v>1859558</v>
      </c>
      <c r="CU29" s="132"/>
      <c r="CW29" s="68"/>
      <c r="CX29" s="69" t="str">
        <f>견적관리자용!$S$11</f>
        <v>승합(11~15인)</v>
      </c>
      <c r="CY29" s="70">
        <v>0</v>
      </c>
      <c r="CZ29" s="70">
        <v>390000</v>
      </c>
      <c r="DA29" s="80">
        <v>390000</v>
      </c>
      <c r="DB29" s="80">
        <v>390000</v>
      </c>
      <c r="DC29" s="80">
        <v>390000</v>
      </c>
      <c r="DD29" s="72">
        <f t="shared" si="2"/>
        <v>390000</v>
      </c>
      <c r="DE29" s="73">
        <v>26</v>
      </c>
      <c r="DF29" s="72">
        <f t="shared" si="5"/>
        <v>0</v>
      </c>
      <c r="DG29" s="74"/>
      <c r="DI29" s="274">
        <v>19</v>
      </c>
      <c r="DJ29" s="275">
        <f t="shared" si="3"/>
        <v>1859600</v>
      </c>
      <c r="DK29" s="275">
        <f t="shared" si="4"/>
        <v>1723723.9061524356</v>
      </c>
      <c r="DL29" s="276"/>
      <c r="DM29" s="919"/>
      <c r="DN29" s="919"/>
      <c r="DO29" s="919"/>
      <c r="DP29" s="919"/>
      <c r="DQ29" s="919"/>
      <c r="DR29" s="919"/>
      <c r="DS29" s="919"/>
      <c r="DT29" s="919"/>
      <c r="DU29" s="919"/>
      <c r="DV29" s="919"/>
      <c r="DW29" s="919"/>
      <c r="DX29" s="919"/>
    </row>
    <row r="30" spans="3:128" ht="16.5" customHeight="1" thickTop="1" x14ac:dyDescent="0.3">
      <c r="C30" s="167"/>
      <c r="D30" s="338" t="s">
        <v>1191</v>
      </c>
      <c r="E30" s="319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T30" s="774" t="s">
        <v>1177</v>
      </c>
      <c r="AU30" s="774"/>
      <c r="AV30" s="774"/>
      <c r="AW30" s="774"/>
      <c r="AX30" s="774"/>
      <c r="AY30" s="774"/>
      <c r="AZ30" s="774"/>
      <c r="BA30" s="774"/>
      <c r="BB30" s="774"/>
      <c r="BC30" s="779"/>
      <c r="BD30" s="811">
        <v>0</v>
      </c>
      <c r="BE30" s="812"/>
      <c r="BF30" s="812"/>
      <c r="BG30" s="812"/>
      <c r="BH30" s="812"/>
      <c r="BI30" s="812"/>
      <c r="BJ30" s="812"/>
      <c r="BK30" s="812"/>
      <c r="BL30" s="812"/>
      <c r="BM30" s="812"/>
      <c r="BN30" s="838" t="s">
        <v>70</v>
      </c>
      <c r="BO30" s="839"/>
      <c r="BP30" s="842">
        <f>ROUNDDOWN(IF($BD$15="리스사명의(부산등록)",MIN(견적관리자용!$F$41-운용리스!$CG$62,견적관리자용!$F$40),MIN(견적관리자용!$G$41-운용리스!$CG$62,견적관리자용!$G$40)),4)</f>
        <v>0.13200000000000001</v>
      </c>
      <c r="BQ30" s="842"/>
      <c r="BR30" s="842"/>
      <c r="BS30" s="842"/>
      <c r="BT30" s="842"/>
      <c r="BU30" s="842"/>
      <c r="BV30" s="842"/>
      <c r="BW30" s="842"/>
      <c r="BY30" s="592" t="s">
        <v>731</v>
      </c>
      <c r="BZ30" s="595">
        <f>CI54</f>
        <v>1.32E-2</v>
      </c>
      <c r="CD30" s="139" t="s">
        <v>235</v>
      </c>
      <c r="CE30" s="140">
        <f>견적관리자용!$T$21</f>
        <v>0.5</v>
      </c>
      <c r="CH30" s="126"/>
      <c r="CI30" s="104">
        <f>ROUNDDOWN($CI$29,-3)</f>
        <v>0</v>
      </c>
      <c r="CL30" s="49">
        <v>25</v>
      </c>
      <c r="CM30" s="50">
        <f t="shared" si="1"/>
        <v>1859558</v>
      </c>
      <c r="CO30" s="127" t="s">
        <v>262</v>
      </c>
      <c r="CP30" s="101"/>
      <c r="CQ30" s="141">
        <f>$CP$54</f>
        <v>0</v>
      </c>
      <c r="CR30" s="101"/>
      <c r="CS30" s="142">
        <f>$CP$54</f>
        <v>0</v>
      </c>
      <c r="CT30" s="101">
        <f>$CP$54</f>
        <v>0</v>
      </c>
      <c r="CU30" s="50"/>
      <c r="CW30" s="68"/>
      <c r="CX30" s="69" t="str">
        <f>견적관리자용!$S$12</f>
        <v>화물(1000cc 미만)</v>
      </c>
      <c r="CY30" s="70">
        <v>0</v>
      </c>
      <c r="CZ30" s="70">
        <v>0</v>
      </c>
      <c r="DA30" s="80">
        <v>0</v>
      </c>
      <c r="DB30" s="80">
        <v>0</v>
      </c>
      <c r="DC30" s="80">
        <v>0</v>
      </c>
      <c r="DD30" s="72">
        <f t="shared" si="2"/>
        <v>0</v>
      </c>
      <c r="DE30" s="73">
        <v>27</v>
      </c>
      <c r="DF30" s="72">
        <f t="shared" si="5"/>
        <v>0</v>
      </c>
      <c r="DG30" s="74"/>
      <c r="DI30" s="274">
        <v>20</v>
      </c>
      <c r="DJ30" s="275">
        <f t="shared" si="3"/>
        <v>1859600</v>
      </c>
      <c r="DK30" s="275">
        <f t="shared" si="4"/>
        <v>1716854.1313439454</v>
      </c>
      <c r="DL30" s="276"/>
      <c r="DM30" s="919"/>
      <c r="DN30" s="919"/>
      <c r="DO30" s="919"/>
      <c r="DP30" s="919"/>
      <c r="DQ30" s="919"/>
      <c r="DR30" s="919"/>
      <c r="DS30" s="919"/>
      <c r="DT30" s="919"/>
      <c r="DU30" s="919"/>
      <c r="DV30" s="919"/>
      <c r="DW30" s="919"/>
      <c r="DX30" s="919"/>
    </row>
    <row r="31" spans="3:128" ht="16.5" customHeight="1" x14ac:dyDescent="0.3">
      <c r="C31" s="167"/>
      <c r="D31" s="338" t="s">
        <v>405</v>
      </c>
      <c r="E31" s="319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T31" s="774" t="s">
        <v>1326</v>
      </c>
      <c r="AU31" s="774"/>
      <c r="AV31" s="774"/>
      <c r="AW31" s="774"/>
      <c r="AX31" s="774"/>
      <c r="AY31" s="774"/>
      <c r="AZ31" s="774"/>
      <c r="BA31" s="774"/>
      <c r="BB31" s="774"/>
      <c r="BC31" s="779"/>
      <c r="BD31" s="811">
        <v>0</v>
      </c>
      <c r="BE31" s="812"/>
      <c r="BF31" s="812"/>
      <c r="BG31" s="812"/>
      <c r="BH31" s="812"/>
      <c r="BI31" s="812"/>
      <c r="BJ31" s="812"/>
      <c r="BK31" s="812"/>
      <c r="BL31" s="812"/>
      <c r="BM31" s="812"/>
      <c r="BN31" s="840" t="s">
        <v>70</v>
      </c>
      <c r="BO31" s="841"/>
      <c r="BP31" s="843"/>
      <c r="BQ31" s="843"/>
      <c r="BR31" s="843"/>
      <c r="BS31" s="843"/>
      <c r="BT31" s="843"/>
      <c r="BU31" s="843"/>
      <c r="BV31" s="843"/>
      <c r="BW31" s="843"/>
      <c r="BY31" s="592" t="s">
        <v>732</v>
      </c>
      <c r="BZ31" s="560">
        <f>CI55</f>
        <v>2106720</v>
      </c>
      <c r="CH31" s="66" t="s">
        <v>134</v>
      </c>
      <c r="CI31" s="135">
        <f>CP62</f>
        <v>0.5</v>
      </c>
      <c r="CL31" s="49">
        <v>26</v>
      </c>
      <c r="CM31" s="50">
        <f t="shared" si="1"/>
        <v>1859558</v>
      </c>
      <c r="CO31" s="127" t="s">
        <v>263</v>
      </c>
      <c r="CP31" s="101"/>
      <c r="CQ31" s="141">
        <f>ROUNDDOWN($CQ$19/$CQ$4,0)</f>
        <v>0</v>
      </c>
      <c r="CR31" s="101"/>
      <c r="CS31" s="142">
        <f>ROUNDUP($CQ$19/$CQ$4,0)</f>
        <v>0</v>
      </c>
      <c r="CT31" s="101">
        <f>ROUNDUP($CQ$19/$CQ$4,0)</f>
        <v>0</v>
      </c>
      <c r="CU31" s="50"/>
      <c r="CW31" s="85"/>
      <c r="CX31" s="69" t="str">
        <f>견적관리자용!$S$13</f>
        <v>화물(0.6톤 미만)</v>
      </c>
      <c r="CY31" s="70">
        <v>0</v>
      </c>
      <c r="CZ31" s="70">
        <v>195000</v>
      </c>
      <c r="DA31" s="70">
        <v>195000</v>
      </c>
      <c r="DB31" s="70">
        <v>195000</v>
      </c>
      <c r="DC31" s="86">
        <v>195000</v>
      </c>
      <c r="DD31" s="72">
        <f t="shared" si="2"/>
        <v>195000</v>
      </c>
      <c r="DE31" s="73">
        <v>28</v>
      </c>
      <c r="DF31" s="72">
        <f t="shared" si="5"/>
        <v>0</v>
      </c>
      <c r="DG31" s="74"/>
      <c r="DI31" s="274">
        <v>21</v>
      </c>
      <c r="DJ31" s="275">
        <f t="shared" si="3"/>
        <v>1859600</v>
      </c>
      <c r="DK31" s="275">
        <f t="shared" si="4"/>
        <v>1710011.7355175244</v>
      </c>
      <c r="DL31" s="276"/>
      <c r="DM31" s="919"/>
      <c r="DN31" s="919"/>
      <c r="DO31" s="919"/>
      <c r="DP31" s="919"/>
      <c r="DQ31" s="919"/>
      <c r="DR31" s="919"/>
      <c r="DS31" s="919"/>
      <c r="DT31" s="919"/>
      <c r="DU31" s="919"/>
      <c r="DV31" s="919"/>
      <c r="DW31" s="919"/>
      <c r="DX31" s="919"/>
    </row>
    <row r="32" spans="3:128" ht="15.95" customHeight="1" x14ac:dyDescent="0.3">
      <c r="C32" s="167"/>
      <c r="D32" s="338" t="str">
        <f>IF(AT10=2,"* 이용자명의 리스차량에 대한 승계는 불가능 합니다.","* 승계시 [미회수원금 * 2%] 의 변경수수료가 부과됩니다.(최소 300,000원, 최대 1,500,000원)")</f>
        <v>* 승계시 [미회수원금 * 2%] 의 변경수수료가 부과됩니다.(최소 300,000원, 최대 1,500,000원)</v>
      </c>
      <c r="E32" s="319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T32" s="764" t="s">
        <v>171</v>
      </c>
      <c r="AU32" s="764"/>
      <c r="AV32" s="764"/>
      <c r="AW32" s="764"/>
      <c r="AX32" s="764"/>
      <c r="AY32" s="764"/>
      <c r="AZ32" s="764"/>
      <c r="BA32" s="764"/>
      <c r="BB32" s="764"/>
      <c r="BC32" s="767"/>
      <c r="BD32" s="844" t="s">
        <v>291</v>
      </c>
      <c r="BE32" s="845"/>
      <c r="BF32" s="845"/>
      <c r="BG32" s="845"/>
      <c r="BH32" s="845"/>
      <c r="BI32" s="845"/>
      <c r="BJ32" s="845"/>
      <c r="BK32" s="730" t="s">
        <v>50</v>
      </c>
      <c r="BL32" s="731"/>
      <c r="BM32" s="731"/>
      <c r="BN32" s="731"/>
      <c r="BO32" s="731"/>
      <c r="BP32" s="731"/>
      <c r="BQ32" s="732">
        <v>0</v>
      </c>
      <c r="BR32" s="732"/>
      <c r="BS32" s="732"/>
      <c r="BT32" s="732"/>
      <c r="BU32" s="732"/>
      <c r="BV32" s="732"/>
      <c r="BW32" s="733"/>
      <c r="BY32" s="592" t="s">
        <v>733</v>
      </c>
      <c r="BZ32" s="595">
        <f>CI32</f>
        <v>0.5</v>
      </c>
      <c r="CD32" s="134" t="s">
        <v>236</v>
      </c>
      <c r="CE32" s="135">
        <f>($CI$26+$CI$28+$CI$42)/$CI$23</f>
        <v>0.54529915698003895</v>
      </c>
      <c r="CH32" s="89" t="s">
        <v>133</v>
      </c>
      <c r="CI32" s="297">
        <f>CQ62</f>
        <v>0.5</v>
      </c>
      <c r="CL32" s="49">
        <v>27</v>
      </c>
      <c r="CM32" s="50">
        <f t="shared" si="1"/>
        <v>1859558</v>
      </c>
      <c r="CO32" s="145" t="s">
        <v>266</v>
      </c>
      <c r="CP32" s="146"/>
      <c r="CQ32" s="147">
        <f>IF(CQ19&gt;0,CQ26+CQ31,CQ29)</f>
        <v>1859558</v>
      </c>
      <c r="CR32" s="137"/>
      <c r="CS32" s="138">
        <f>IF(CS19&gt;0,CS26+CS31,CS29)</f>
        <v>1859558</v>
      </c>
      <c r="CT32" s="137">
        <f>IF(CT19&gt;0,CT26+CT31,CT29)</f>
        <v>1859558</v>
      </c>
      <c r="CU32" s="50"/>
      <c r="CW32" s="85"/>
      <c r="CX32" s="69" t="str">
        <f>견적관리자용!$S$14</f>
        <v>화물(0.6~1톤 미만)</v>
      </c>
      <c r="CY32" s="70">
        <v>0</v>
      </c>
      <c r="CZ32" s="70">
        <v>195000</v>
      </c>
      <c r="DA32" s="70">
        <v>195000</v>
      </c>
      <c r="DB32" s="70">
        <v>195000</v>
      </c>
      <c r="DC32" s="86">
        <v>195000</v>
      </c>
      <c r="DD32" s="72">
        <f t="shared" si="2"/>
        <v>195000</v>
      </c>
      <c r="DE32" s="73">
        <v>29</v>
      </c>
      <c r="DF32" s="72">
        <f t="shared" si="5"/>
        <v>0</v>
      </c>
      <c r="DG32" s="74"/>
      <c r="DI32" s="274">
        <v>22</v>
      </c>
      <c r="DJ32" s="275">
        <f t="shared" si="3"/>
        <v>1859600</v>
      </c>
      <c r="DK32" s="275">
        <f t="shared" si="4"/>
        <v>1703196.6095562545</v>
      </c>
      <c r="DL32" s="276"/>
      <c r="DM32" s="919"/>
      <c r="DN32" s="919"/>
      <c r="DO32" s="919"/>
      <c r="DP32" s="919"/>
      <c r="DQ32" s="919"/>
      <c r="DR32" s="919"/>
      <c r="DS32" s="919"/>
      <c r="DT32" s="919"/>
      <c r="DU32" s="919"/>
      <c r="DV32" s="919"/>
      <c r="DW32" s="919"/>
      <c r="DX32" s="919"/>
    </row>
    <row r="33" spans="1:135" ht="15.95" customHeight="1" x14ac:dyDescent="0.3">
      <c r="C33" s="167"/>
      <c r="D33" s="750" t="s">
        <v>1192</v>
      </c>
      <c r="E33" s="750"/>
      <c r="F33" s="750"/>
      <c r="G33" s="750"/>
      <c r="H33" s="750"/>
      <c r="I33" s="750"/>
      <c r="J33" s="750"/>
      <c r="K33" s="750"/>
      <c r="L33" s="750"/>
      <c r="M33" s="750"/>
      <c r="N33" s="750"/>
      <c r="O33" s="750"/>
      <c r="P33" s="750"/>
      <c r="Q33" s="750"/>
      <c r="R33" s="750"/>
      <c r="S33" s="750"/>
      <c r="T33" s="750"/>
      <c r="U33" s="750"/>
      <c r="V33" s="750"/>
      <c r="W33" s="750"/>
      <c r="X33" s="750"/>
      <c r="Y33" s="750"/>
      <c r="Z33" s="750"/>
      <c r="AA33" s="750"/>
      <c r="AB33" s="750"/>
      <c r="AC33" s="750"/>
      <c r="AD33" s="750"/>
      <c r="AE33" s="750"/>
      <c r="AF33" s="750"/>
      <c r="AG33" s="750"/>
      <c r="AH33" s="750"/>
      <c r="AI33" s="750"/>
      <c r="AJ33" s="750"/>
      <c r="AK33" s="750"/>
      <c r="AL33" s="750"/>
      <c r="AM33" s="750"/>
      <c r="AN33" s="750"/>
      <c r="AO33" s="750"/>
      <c r="AP33" s="750"/>
      <c r="AQ33" s="65"/>
      <c r="AT33" s="764" t="s">
        <v>172</v>
      </c>
      <c r="AU33" s="764"/>
      <c r="AV33" s="764"/>
      <c r="AW33" s="764"/>
      <c r="AX33" s="764"/>
      <c r="AY33" s="764"/>
      <c r="AZ33" s="764"/>
      <c r="BA33" s="764"/>
      <c r="BB33" s="764"/>
      <c r="BC33" s="767"/>
      <c r="BD33" s="721"/>
      <c r="BE33" s="722"/>
      <c r="BF33" s="722"/>
      <c r="BG33" s="722"/>
      <c r="BH33" s="722"/>
      <c r="BI33" s="722"/>
      <c r="BJ33" s="722"/>
      <c r="BK33" s="722"/>
      <c r="BL33" s="722"/>
      <c r="BM33" s="722"/>
      <c r="BN33" s="722"/>
      <c r="BO33" s="722"/>
      <c r="BP33" s="722"/>
      <c r="BQ33" s="722"/>
      <c r="BR33" s="722"/>
      <c r="BS33" s="722"/>
      <c r="BT33" s="722"/>
      <c r="BU33" s="722"/>
      <c r="BV33" s="722"/>
      <c r="BW33" s="722"/>
      <c r="BY33" s="561" t="s">
        <v>734</v>
      </c>
      <c r="BZ33" s="562" t="str">
        <f>BY5&amp;IF(CE8=TRUE,"(제휴면제)","")</f>
        <v>비제휴사</v>
      </c>
      <c r="CD33" s="139" t="s">
        <v>235</v>
      </c>
      <c r="CE33" s="140">
        <f>견적관리자용!T22</f>
        <v>1</v>
      </c>
      <c r="CH33" s="89" t="s">
        <v>143</v>
      </c>
      <c r="CI33" s="144">
        <f>CR62</f>
        <v>0.58000000000999996</v>
      </c>
      <c r="CL33" s="49">
        <v>28</v>
      </c>
      <c r="CM33" s="50">
        <f t="shared" si="1"/>
        <v>1859558</v>
      </c>
      <c r="CO33" s="127" t="s">
        <v>264</v>
      </c>
      <c r="CP33" s="101"/>
      <c r="CQ33" s="148">
        <f>$CI$87</f>
        <v>0</v>
      </c>
      <c r="CR33" s="149"/>
      <c r="CS33" s="150">
        <f>$CI$87</f>
        <v>0</v>
      </c>
      <c r="CT33" s="149">
        <f>$CI$87</f>
        <v>0</v>
      </c>
      <c r="CU33" s="151"/>
      <c r="CW33" s="85"/>
      <c r="CX33" s="69" t="str">
        <f>견적관리자용!$S$15</f>
        <v>화물(1~2.5톤 미만)</v>
      </c>
      <c r="CY33" s="70">
        <v>0</v>
      </c>
      <c r="CZ33" s="70">
        <v>195000</v>
      </c>
      <c r="DA33" s="70">
        <v>195000</v>
      </c>
      <c r="DB33" s="70">
        <v>195000</v>
      </c>
      <c r="DC33" s="86">
        <v>195000</v>
      </c>
      <c r="DD33" s="72">
        <f t="shared" si="2"/>
        <v>195000</v>
      </c>
      <c r="DE33" s="73">
        <v>30</v>
      </c>
      <c r="DF33" s="72">
        <f t="shared" si="5"/>
        <v>0</v>
      </c>
      <c r="DG33" s="74"/>
      <c r="DI33" s="274">
        <v>23</v>
      </c>
      <c r="DJ33" s="275">
        <f t="shared" si="3"/>
        <v>1859600</v>
      </c>
      <c r="DK33" s="275">
        <f t="shared" si="4"/>
        <v>1696408.644778094</v>
      </c>
      <c r="DL33" s="276"/>
      <c r="DM33" s="919"/>
      <c r="DN33" s="919"/>
      <c r="DO33" s="919"/>
      <c r="DP33" s="919"/>
      <c r="DQ33" s="919"/>
      <c r="DR33" s="919"/>
      <c r="DS33" s="919"/>
      <c r="DT33" s="919"/>
      <c r="DU33" s="919"/>
      <c r="DV33" s="919"/>
      <c r="DW33" s="919"/>
      <c r="DX33" s="919"/>
    </row>
    <row r="34" spans="1:135" ht="15.95" customHeight="1" x14ac:dyDescent="0.3">
      <c r="C34" s="167"/>
      <c r="D34" s="761" t="s">
        <v>689</v>
      </c>
      <c r="E34" s="761"/>
      <c r="F34" s="761"/>
      <c r="G34" s="761"/>
      <c r="H34" s="761"/>
      <c r="I34" s="761"/>
      <c r="J34" s="761"/>
      <c r="K34" s="761"/>
      <c r="L34" s="761"/>
      <c r="M34" s="761"/>
      <c r="N34" s="761"/>
      <c r="O34" s="761"/>
      <c r="P34" s="761"/>
      <c r="Q34" s="761"/>
      <c r="R34" s="761"/>
      <c r="S34" s="761"/>
      <c r="T34" s="761"/>
      <c r="U34" s="761"/>
      <c r="V34" s="761"/>
      <c r="W34" s="761"/>
      <c r="X34" s="761"/>
      <c r="Y34" s="761"/>
      <c r="Z34" s="761"/>
      <c r="AA34" s="761"/>
      <c r="AB34" s="761"/>
      <c r="AC34" s="761"/>
      <c r="AD34" s="761"/>
      <c r="AE34" s="761"/>
      <c r="AF34" s="761"/>
      <c r="AG34" s="761"/>
      <c r="AH34" s="761"/>
      <c r="AI34" s="761"/>
      <c r="AJ34" s="761"/>
      <c r="AK34" s="761"/>
      <c r="AL34" s="761"/>
      <c r="AM34" s="761"/>
      <c r="AN34" s="761"/>
      <c r="AO34" s="761"/>
      <c r="AP34" s="761"/>
      <c r="AQ34" s="65"/>
      <c r="AT34" s="834" t="s">
        <v>173</v>
      </c>
      <c r="AU34" s="834"/>
      <c r="AV34" s="834"/>
      <c r="AW34" s="834"/>
      <c r="AX34" s="834"/>
      <c r="AY34" s="834"/>
      <c r="AZ34" s="834"/>
      <c r="BA34" s="834"/>
      <c r="BB34" s="834"/>
      <c r="BC34" s="835"/>
      <c r="BD34" s="836">
        <v>0</v>
      </c>
      <c r="BE34" s="837"/>
      <c r="BF34" s="837"/>
      <c r="BG34" s="837"/>
      <c r="BH34" s="837"/>
      <c r="BI34" s="837"/>
      <c r="BJ34" s="837"/>
      <c r="BK34" s="837"/>
      <c r="BL34" s="837"/>
      <c r="BM34" s="837"/>
      <c r="BN34" s="837"/>
      <c r="BO34" s="837"/>
      <c r="BP34" s="837"/>
      <c r="BQ34" s="837"/>
      <c r="BR34" s="837"/>
      <c r="BS34" s="837"/>
      <c r="BT34" s="837"/>
      <c r="BU34" s="837"/>
      <c r="BV34" s="837"/>
      <c r="BW34" s="837"/>
      <c r="BY34" s="561" t="s">
        <v>735</v>
      </c>
      <c r="BZ34" s="560">
        <f>K19</f>
        <v>169756360</v>
      </c>
      <c r="CD34" s="134" t="s">
        <v>237</v>
      </c>
      <c r="CE34" s="67">
        <f>SUM(CE35:CE38)</f>
        <v>0</v>
      </c>
      <c r="CH34" s="89" t="s">
        <v>144</v>
      </c>
      <c r="CI34" s="50">
        <f>ROUNDDOWN($CI$9*$CI$33,-1)</f>
        <v>92568000</v>
      </c>
      <c r="CL34" s="49">
        <v>29</v>
      </c>
      <c r="CM34" s="50">
        <f t="shared" si="1"/>
        <v>1859558</v>
      </c>
      <c r="CO34" s="152" t="s">
        <v>267</v>
      </c>
      <c r="CP34" s="153"/>
      <c r="CQ34" s="154">
        <f>IF(CQ19&gt;0,RATE(CQ4,CQ32,-CQ8,CQ24)*12,CQ28)</f>
        <v>5.1529999999999999E-2</v>
      </c>
      <c r="CR34" s="129"/>
      <c r="CS34" s="133">
        <f>IF(CS19&gt;0,RATE(CS4,CS32,-CS8,CS24)*12,CS28)</f>
        <v>5.1529999999999999E-2</v>
      </c>
      <c r="CT34" s="129">
        <f>IF(CT19&gt;0,RATE(CT4,CT32,-CT8,CT24)*12,CT28)</f>
        <v>5.1529999999999999E-2</v>
      </c>
      <c r="CU34" s="151"/>
      <c r="CW34" s="85"/>
      <c r="CX34" s="69" t="str">
        <f>견적관리자용!$S$16</f>
        <v>화물(2.5~4.6톤 미만)</v>
      </c>
      <c r="CY34" s="70">
        <v>0</v>
      </c>
      <c r="CZ34" s="70">
        <v>390000</v>
      </c>
      <c r="DA34" s="80">
        <v>390000</v>
      </c>
      <c r="DB34" s="80">
        <v>390000</v>
      </c>
      <c r="DC34" s="80">
        <v>390000</v>
      </c>
      <c r="DD34" s="72">
        <f t="shared" si="2"/>
        <v>390000</v>
      </c>
      <c r="DE34" s="73">
        <v>31</v>
      </c>
      <c r="DF34" s="72">
        <f t="shared" si="5"/>
        <v>0</v>
      </c>
      <c r="DG34" s="74"/>
      <c r="DI34" s="274">
        <v>24</v>
      </c>
      <c r="DJ34" s="275">
        <f t="shared" si="3"/>
        <v>1859600</v>
      </c>
      <c r="DK34" s="275">
        <f t="shared" si="4"/>
        <v>1689647.732934146</v>
      </c>
      <c r="DL34" s="276"/>
      <c r="DM34" s="919"/>
      <c r="DN34" s="919"/>
      <c r="DO34" s="919"/>
      <c r="DP34" s="919"/>
      <c r="DQ34" s="919"/>
      <c r="DR34" s="919"/>
      <c r="DS34" s="919"/>
      <c r="DT34" s="919"/>
      <c r="DU34" s="919"/>
      <c r="DV34" s="919"/>
      <c r="DW34" s="919"/>
      <c r="DX34" s="919"/>
    </row>
    <row r="35" spans="1:135" ht="15.95" customHeight="1" x14ac:dyDescent="0.3">
      <c r="C35" s="167"/>
      <c r="D35" s="789" t="s">
        <v>410</v>
      </c>
      <c r="E35" s="790"/>
      <c r="F35" s="790"/>
      <c r="G35" s="790"/>
      <c r="H35" s="790"/>
      <c r="I35" s="790"/>
      <c r="J35" s="790"/>
      <c r="K35" s="790"/>
      <c r="L35" s="790"/>
      <c r="M35" s="790"/>
      <c r="N35" s="790"/>
      <c r="O35" s="790"/>
      <c r="P35" s="790"/>
      <c r="Q35" s="790"/>
      <c r="R35" s="790"/>
      <c r="S35" s="790"/>
      <c r="T35" s="790"/>
      <c r="U35" s="790"/>
      <c r="V35" s="790"/>
      <c r="W35" s="790"/>
      <c r="X35" s="790"/>
      <c r="Y35" s="790"/>
      <c r="Z35" s="790"/>
      <c r="AA35" s="790"/>
      <c r="AB35" s="790"/>
      <c r="AC35" s="790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T35" s="764" t="s">
        <v>324</v>
      </c>
      <c r="AU35" s="764"/>
      <c r="AV35" s="764"/>
      <c r="AW35" s="764"/>
      <c r="AX35" s="764"/>
      <c r="AY35" s="764"/>
      <c r="AZ35" s="764"/>
      <c r="BA35" s="764"/>
      <c r="BB35" s="764"/>
      <c r="BC35" s="767"/>
      <c r="BD35" s="808" t="s">
        <v>325</v>
      </c>
      <c r="BE35" s="809"/>
      <c r="BF35" s="809"/>
      <c r="BG35" s="809"/>
      <c r="BH35" s="809"/>
      <c r="BI35" s="809"/>
      <c r="BJ35" s="809"/>
      <c r="BK35" s="809"/>
      <c r="BL35" s="809"/>
      <c r="BM35" s="809"/>
      <c r="BN35" s="809"/>
      <c r="BO35" s="809"/>
      <c r="BP35" s="809"/>
      <c r="BQ35" s="809"/>
      <c r="BR35" s="809"/>
      <c r="BS35" s="809"/>
      <c r="BT35" s="809"/>
      <c r="BU35" s="809"/>
      <c r="BV35" s="809"/>
      <c r="BW35" s="809"/>
      <c r="BY35" s="596"/>
      <c r="BZ35" s="596"/>
      <c r="CD35" s="155"/>
      <c r="CE35" s="156">
        <f>IF(C2="",0,1)</f>
        <v>0</v>
      </c>
      <c r="CH35" s="89" t="s">
        <v>145</v>
      </c>
      <c r="CI35" s="144">
        <f>ROUNDDOWN($CI$34/$CI$23,4)</f>
        <v>0.54520000000000002</v>
      </c>
      <c r="CL35" s="49">
        <v>30</v>
      </c>
      <c r="CM35" s="50">
        <f t="shared" si="1"/>
        <v>1859558</v>
      </c>
      <c r="CR35" s="101"/>
      <c r="CS35" s="157">
        <f>CS32-CQ32</f>
        <v>0</v>
      </c>
      <c r="CT35" s="158">
        <f>CT32-CQ32+CQ31</f>
        <v>0</v>
      </c>
      <c r="CU35" s="159" t="s">
        <v>268</v>
      </c>
      <c r="CW35" s="85"/>
      <c r="CX35" s="69" t="str">
        <f>견적관리자용!$S$17</f>
        <v>화물(4.6톤 이상)</v>
      </c>
      <c r="CY35" s="70">
        <v>0</v>
      </c>
      <c r="CZ35" s="70">
        <v>650000</v>
      </c>
      <c r="DA35" s="70">
        <v>650000</v>
      </c>
      <c r="DB35" s="70">
        <v>650000</v>
      </c>
      <c r="DC35" s="70">
        <v>650000</v>
      </c>
      <c r="DD35" s="72">
        <f t="shared" si="2"/>
        <v>650000</v>
      </c>
      <c r="DE35" s="73">
        <v>32</v>
      </c>
      <c r="DF35" s="72">
        <f t="shared" si="5"/>
        <v>0</v>
      </c>
      <c r="DG35" s="74"/>
      <c r="DI35" s="274">
        <v>25</v>
      </c>
      <c r="DJ35" s="275">
        <f t="shared" si="3"/>
        <v>1859600</v>
      </c>
      <c r="DK35" s="275">
        <f t="shared" si="4"/>
        <v>1682913.7662069318</v>
      </c>
      <c r="DL35" s="276"/>
      <c r="DM35" s="919"/>
      <c r="DN35" s="919"/>
      <c r="DO35" s="919"/>
      <c r="DP35" s="919"/>
      <c r="DQ35" s="919"/>
      <c r="DR35" s="919"/>
      <c r="DS35" s="919"/>
      <c r="DT35" s="919"/>
      <c r="DU35" s="919"/>
      <c r="DV35" s="919"/>
      <c r="DW35" s="919"/>
      <c r="DX35" s="919"/>
    </row>
    <row r="36" spans="1:135" ht="14.25" thickBot="1" x14ac:dyDescent="0.35">
      <c r="C36" s="167"/>
      <c r="D36" s="751" t="s">
        <v>394</v>
      </c>
      <c r="E36" s="751"/>
      <c r="F36" s="751"/>
      <c r="G36" s="751"/>
      <c r="H36" s="751"/>
      <c r="I36" s="143"/>
      <c r="J36" s="788" t="s">
        <v>393</v>
      </c>
      <c r="K36" s="788"/>
      <c r="L36" s="788"/>
      <c r="M36" s="788"/>
      <c r="N36" s="788"/>
      <c r="O36" s="788"/>
      <c r="P36" s="788"/>
      <c r="Q36" s="788"/>
      <c r="R36" s="788"/>
      <c r="S36" s="788"/>
      <c r="T36" s="788"/>
      <c r="U36" s="788"/>
      <c r="V36" s="788"/>
      <c r="W36" s="788"/>
      <c r="X36" s="788"/>
      <c r="Y36" s="788"/>
      <c r="Z36" s="788"/>
      <c r="AA36" s="788"/>
      <c r="AB36" s="788"/>
      <c r="AC36" s="788"/>
      <c r="AD36" s="788"/>
      <c r="AE36" s="788"/>
      <c r="AF36" s="788"/>
      <c r="AG36" s="788"/>
      <c r="AH36" s="788"/>
      <c r="AI36" s="788"/>
      <c r="AJ36" s="788"/>
      <c r="AK36" s="788"/>
      <c r="AL36" s="788"/>
      <c r="AM36" s="788"/>
      <c r="AN36" s="788"/>
      <c r="AO36" s="788"/>
      <c r="AP36" s="143"/>
      <c r="AQ36" s="65"/>
      <c r="AT36" s="759" t="s">
        <v>390</v>
      </c>
      <c r="AU36" s="759"/>
      <c r="AV36" s="759"/>
      <c r="AW36" s="759"/>
      <c r="AX36" s="759"/>
      <c r="AY36" s="759"/>
      <c r="AZ36" s="759"/>
      <c r="BA36" s="759"/>
      <c r="BB36" s="759"/>
      <c r="BC36" s="760"/>
      <c r="BD36" s="796" t="s">
        <v>595</v>
      </c>
      <c r="BE36" s="797"/>
      <c r="BF36" s="797"/>
      <c r="BG36" s="797"/>
      <c r="BH36" s="797"/>
      <c r="BI36" s="797"/>
      <c r="BJ36" s="797"/>
      <c r="BK36" s="797"/>
      <c r="BL36" s="798"/>
      <c r="BM36" s="806" t="s">
        <v>391</v>
      </c>
      <c r="BN36" s="806"/>
      <c r="BO36" s="806"/>
      <c r="BP36" s="806"/>
      <c r="BQ36" s="806"/>
      <c r="BR36" s="806"/>
      <c r="BS36" s="806"/>
      <c r="BT36" s="806"/>
      <c r="BU36" s="806"/>
      <c r="BV36" s="806"/>
      <c r="BW36" s="807"/>
      <c r="BY36" s="563" t="s">
        <v>736</v>
      </c>
      <c r="BZ36" s="597">
        <f>BZ37/BZ34</f>
        <v>0</v>
      </c>
      <c r="CD36" s="155"/>
      <c r="CE36" s="156">
        <f>IF(X2="",0,1)</f>
        <v>0</v>
      </c>
      <c r="CH36" s="89" t="s">
        <v>137</v>
      </c>
      <c r="CI36" s="144">
        <f>IF($CI$24=12,견적관리자용!$Q$35,IF($CI$24=24,견적관리자용!$Q$36,IF($CI$24=36,견적관리자용!$Q$37,IF($CI$24=48,견적관리자용!$Q$38,IF($CI$24=60,견적관리자용!$Q$39,20%)))))</f>
        <v>0.15</v>
      </c>
      <c r="CL36" s="49">
        <v>31</v>
      </c>
      <c r="CM36" s="50">
        <f t="shared" si="1"/>
        <v>1859558</v>
      </c>
      <c r="CS36" s="160">
        <f>CS35/CS32</f>
        <v>0</v>
      </c>
      <c r="CT36" s="161">
        <f>CT35/CT32</f>
        <v>0</v>
      </c>
      <c r="CU36" s="162" t="s">
        <v>269</v>
      </c>
      <c r="CW36" s="58" t="s">
        <v>96</v>
      </c>
      <c r="CX36" s="59" t="str">
        <f>견적관리자용!$S$8</f>
        <v>승용일반</v>
      </c>
      <c r="CY36" s="60">
        <v>0</v>
      </c>
      <c r="CZ36" s="61">
        <v>0</v>
      </c>
      <c r="DA36" s="61">
        <v>0.04</v>
      </c>
      <c r="DB36" s="61">
        <v>0.04</v>
      </c>
      <c r="DC36" s="61">
        <v>0.05</v>
      </c>
      <c r="DD36" s="62">
        <f t="shared" si="2"/>
        <v>0.05</v>
      </c>
      <c r="DE36" s="63">
        <v>33</v>
      </c>
      <c r="DF36" s="62">
        <f t="shared" si="5"/>
        <v>0</v>
      </c>
      <c r="DG36" s="163">
        <f>SUM(DF36:DF45)</f>
        <v>390000</v>
      </c>
      <c r="DI36" s="274">
        <v>26</v>
      </c>
      <c r="DJ36" s="275">
        <f t="shared" si="3"/>
        <v>1859600</v>
      </c>
      <c r="DK36" s="275">
        <f t="shared" si="4"/>
        <v>1676206.6372086713</v>
      </c>
      <c r="DL36" s="276"/>
      <c r="DM36" s="919"/>
      <c r="DN36" s="919"/>
      <c r="DO36" s="919"/>
      <c r="DP36" s="919"/>
      <c r="DQ36" s="919"/>
      <c r="DR36" s="919"/>
      <c r="DS36" s="919"/>
      <c r="DT36" s="919"/>
      <c r="DU36" s="919"/>
      <c r="DV36" s="919"/>
      <c r="DW36" s="919"/>
      <c r="DX36" s="919"/>
    </row>
    <row r="37" spans="1:135" ht="15" thickTop="1" thickBot="1" x14ac:dyDescent="0.35">
      <c r="C37" s="167"/>
      <c r="D37" s="752"/>
      <c r="E37" s="752"/>
      <c r="F37" s="752"/>
      <c r="G37" s="752"/>
      <c r="H37" s="752"/>
      <c r="I37" s="319"/>
      <c r="J37" s="781" t="s">
        <v>396</v>
      </c>
      <c r="K37" s="781"/>
      <c r="L37" s="781"/>
      <c r="M37" s="781"/>
      <c r="N37" s="781"/>
      <c r="O37" s="781"/>
      <c r="P37" s="781"/>
      <c r="Q37" s="781"/>
      <c r="R37" s="781"/>
      <c r="S37" s="781"/>
      <c r="T37" s="781"/>
      <c r="U37" s="781"/>
      <c r="V37" s="781"/>
      <c r="W37" s="781"/>
      <c r="X37" s="781"/>
      <c r="Y37" s="781"/>
      <c r="Z37" s="781"/>
      <c r="AA37" s="781"/>
      <c r="AB37" s="781"/>
      <c r="AC37" s="781"/>
      <c r="AD37" s="781"/>
      <c r="AE37" s="781"/>
      <c r="AF37" s="781"/>
      <c r="AG37" s="781"/>
      <c r="AH37" s="781"/>
      <c r="AI37" s="781"/>
      <c r="AJ37" s="781"/>
      <c r="AK37" s="781"/>
      <c r="AL37" s="781"/>
      <c r="AM37" s="781"/>
      <c r="AN37" s="781"/>
      <c r="AO37" s="781"/>
      <c r="AP37" s="319"/>
      <c r="AQ37" s="65"/>
      <c r="AT37" s="803" t="s">
        <v>392</v>
      </c>
      <c r="AU37" s="804"/>
      <c r="AV37" s="804"/>
      <c r="AW37" s="804"/>
      <c r="AX37" s="804"/>
      <c r="AY37" s="804"/>
      <c r="AZ37" s="804"/>
      <c r="BA37" s="804"/>
      <c r="BB37" s="804"/>
      <c r="BC37" s="805"/>
      <c r="BD37" s="782">
        <f>$CQ$34</f>
        <v>5.1529999999999999E-2</v>
      </c>
      <c r="BE37" s="783"/>
      <c r="BF37" s="783"/>
      <c r="BG37" s="783"/>
      <c r="BH37" s="783"/>
      <c r="BI37" s="783"/>
      <c r="BJ37" s="783"/>
      <c r="BK37" s="783"/>
      <c r="BL37" s="783"/>
      <c r="BM37" s="783"/>
      <c r="BN37" s="783"/>
      <c r="BO37" s="783"/>
      <c r="BP37" s="783"/>
      <c r="BQ37" s="783"/>
      <c r="BR37" s="783"/>
      <c r="BS37" s="783"/>
      <c r="BT37" s="783"/>
      <c r="BU37" s="783"/>
      <c r="BV37" s="783"/>
      <c r="BW37" s="784"/>
      <c r="BX37" s="358"/>
      <c r="BY37" s="563" t="s">
        <v>737</v>
      </c>
      <c r="BZ37" s="564">
        <f>ROUNDDOWN(CI71,0)</f>
        <v>0</v>
      </c>
      <c r="CD37" s="155"/>
      <c r="CE37" s="156">
        <f>IF(C3="",0,1)-1</f>
        <v>0</v>
      </c>
      <c r="CH37" s="89" t="s">
        <v>138</v>
      </c>
      <c r="CI37" s="50">
        <f>ROUNDDOWN($CI$9*$CI$36,-1)</f>
        <v>23940000</v>
      </c>
      <c r="CL37" s="49">
        <v>32</v>
      </c>
      <c r="CM37" s="50">
        <f t="shared" si="1"/>
        <v>1859558</v>
      </c>
      <c r="CO37" s="165" t="s">
        <v>199</v>
      </c>
      <c r="CP37" s="41"/>
      <c r="CW37" s="68"/>
      <c r="CX37" s="69" t="str">
        <f>견적관리자용!$S$9</f>
        <v>승용SUV(~5인)</v>
      </c>
      <c r="CY37" s="70">
        <v>0</v>
      </c>
      <c r="CZ37" s="71">
        <v>0</v>
      </c>
      <c r="DA37" s="71">
        <v>0.04</v>
      </c>
      <c r="DB37" s="71">
        <v>0.04</v>
      </c>
      <c r="DC37" s="71">
        <v>0.05</v>
      </c>
      <c r="DD37" s="72">
        <f t="shared" si="2"/>
        <v>0.05</v>
      </c>
      <c r="DE37" s="73">
        <v>34</v>
      </c>
      <c r="DF37" s="72">
        <f t="shared" si="5"/>
        <v>0</v>
      </c>
      <c r="DG37" s="166"/>
      <c r="DI37" s="274">
        <v>27</v>
      </c>
      <c r="DJ37" s="275">
        <f t="shared" si="3"/>
        <v>1859600</v>
      </c>
      <c r="DK37" s="275">
        <f t="shared" si="4"/>
        <v>1669526.2389795699</v>
      </c>
      <c r="DL37" s="276"/>
      <c r="DM37" s="919"/>
      <c r="DN37" s="919"/>
      <c r="DO37" s="919"/>
      <c r="DP37" s="919"/>
      <c r="DQ37" s="919"/>
      <c r="DR37" s="919"/>
      <c r="DS37" s="919"/>
      <c r="DT37" s="919"/>
      <c r="DU37" s="919"/>
      <c r="DV37" s="919"/>
      <c r="DW37" s="919"/>
      <c r="DX37" s="919"/>
    </row>
    <row r="38" spans="1:135" ht="14.25" thickTop="1" x14ac:dyDescent="0.3">
      <c r="C38" s="167"/>
      <c r="D38" s="785" t="s">
        <v>395</v>
      </c>
      <c r="E38" s="785"/>
      <c r="F38" s="785"/>
      <c r="G38" s="785"/>
      <c r="H38" s="785"/>
      <c r="I38" s="354"/>
      <c r="J38" s="780" t="s">
        <v>397</v>
      </c>
      <c r="K38" s="780"/>
      <c r="L38" s="780"/>
      <c r="M38" s="780"/>
      <c r="N38" s="780"/>
      <c r="O38" s="780"/>
      <c r="P38" s="780"/>
      <c r="Q38" s="780"/>
      <c r="R38" s="780"/>
      <c r="S38" s="780"/>
      <c r="T38" s="780"/>
      <c r="U38" s="780"/>
      <c r="V38" s="780"/>
      <c r="W38" s="780"/>
      <c r="X38" s="780"/>
      <c r="Y38" s="780"/>
      <c r="Z38" s="780"/>
      <c r="AA38" s="780"/>
      <c r="AB38" s="780"/>
      <c r="AC38" s="780"/>
      <c r="AD38" s="780"/>
      <c r="AE38" s="780"/>
      <c r="AF38" s="780"/>
      <c r="AG38" s="780"/>
      <c r="AH38" s="780"/>
      <c r="AI38" s="780"/>
      <c r="AJ38" s="780"/>
      <c r="AK38" s="780"/>
      <c r="AL38" s="780"/>
      <c r="AM38" s="780"/>
      <c r="AN38" s="780"/>
      <c r="AO38" s="780"/>
      <c r="AP38" s="354"/>
      <c r="AQ38" s="65"/>
      <c r="AT38" s="799" t="s">
        <v>591</v>
      </c>
      <c r="AU38" s="799"/>
      <c r="AV38" s="799"/>
      <c r="AW38" s="799"/>
      <c r="AX38" s="799"/>
      <c r="AY38" s="799"/>
      <c r="AZ38" s="799"/>
      <c r="BA38" s="799"/>
      <c r="BB38" s="799"/>
      <c r="BC38" s="800"/>
      <c r="BD38" s="801" t="s">
        <v>590</v>
      </c>
      <c r="BE38" s="802"/>
      <c r="BF38" s="802"/>
      <c r="BG38" s="802"/>
      <c r="BH38" s="802"/>
      <c r="BI38" s="802"/>
      <c r="BJ38" s="802"/>
      <c r="BK38" s="802"/>
      <c r="BL38" s="802"/>
      <c r="BM38" s="802"/>
      <c r="BN38" s="802"/>
      <c r="BO38" s="802"/>
      <c r="BP38" s="802"/>
      <c r="BQ38" s="802"/>
      <c r="BR38" s="802"/>
      <c r="BS38" s="802"/>
      <c r="BT38" s="802"/>
      <c r="BU38" s="802"/>
      <c r="BV38" s="802"/>
      <c r="BW38" s="802"/>
      <c r="BX38" s="359"/>
      <c r="BY38" s="589"/>
      <c r="BZ38" s="590"/>
      <c r="CD38" s="139"/>
      <c r="CE38" s="169">
        <f>IF(X3="",0,1)</f>
        <v>0</v>
      </c>
      <c r="CH38" s="89" t="s">
        <v>139</v>
      </c>
      <c r="CI38" s="144">
        <f>ROUNDDOWN($CI$37/$CI$23,4)</f>
        <v>0.14099999999999999</v>
      </c>
      <c r="CL38" s="49">
        <v>33</v>
      </c>
      <c r="CM38" s="50">
        <f t="shared" si="1"/>
        <v>1859558</v>
      </c>
      <c r="CO38" s="170">
        <v>0</v>
      </c>
      <c r="CP38" s="171">
        <v>104</v>
      </c>
      <c r="CW38" s="68"/>
      <c r="CX38" s="69" t="str">
        <f>견적관리자용!$S$10</f>
        <v>승용SUV(7~10인)</v>
      </c>
      <c r="CY38" s="70">
        <v>0</v>
      </c>
      <c r="CZ38" s="70">
        <v>390000</v>
      </c>
      <c r="DA38" s="80">
        <v>390000</v>
      </c>
      <c r="DB38" s="80">
        <v>390000</v>
      </c>
      <c r="DC38" s="80">
        <v>390000</v>
      </c>
      <c r="DD38" s="72">
        <f t="shared" ref="DD38:DD69" si="6">HLOOKUP($CI$6,$CY$4:$DC$145,DE38,TRUE)</f>
        <v>390000</v>
      </c>
      <c r="DE38" s="73">
        <v>35</v>
      </c>
      <c r="DF38" s="72">
        <f t="shared" si="5"/>
        <v>390000</v>
      </c>
      <c r="DG38" s="166"/>
      <c r="DI38" s="274">
        <v>28</v>
      </c>
      <c r="DJ38" s="275">
        <f t="shared" si="3"/>
        <v>1859600</v>
      </c>
      <c r="DK38" s="275">
        <f t="shared" si="4"/>
        <v>1662872.4649861138</v>
      </c>
      <c r="DL38" s="276"/>
      <c r="DM38" s="919"/>
      <c r="DN38" s="919"/>
      <c r="DO38" s="919"/>
      <c r="DP38" s="919"/>
      <c r="DQ38" s="919"/>
      <c r="DR38" s="919"/>
      <c r="DS38" s="919"/>
      <c r="DT38" s="919"/>
      <c r="DU38" s="919"/>
      <c r="DV38" s="919"/>
      <c r="DW38" s="919"/>
      <c r="DX38" s="919"/>
    </row>
    <row r="39" spans="1:135" x14ac:dyDescent="0.3">
      <c r="C39" s="167"/>
      <c r="D39" s="786"/>
      <c r="E39" s="786"/>
      <c r="F39" s="786"/>
      <c r="G39" s="786"/>
      <c r="H39" s="786"/>
      <c r="I39" s="355"/>
      <c r="J39" s="787" t="s">
        <v>398</v>
      </c>
      <c r="K39" s="787"/>
      <c r="L39" s="787"/>
      <c r="M39" s="787"/>
      <c r="N39" s="787"/>
      <c r="O39" s="787"/>
      <c r="P39" s="787"/>
      <c r="Q39" s="787"/>
      <c r="R39" s="787"/>
      <c r="S39" s="787"/>
      <c r="T39" s="787"/>
      <c r="U39" s="787"/>
      <c r="V39" s="787"/>
      <c r="W39" s="787"/>
      <c r="X39" s="787"/>
      <c r="Y39" s="787"/>
      <c r="Z39" s="787"/>
      <c r="AA39" s="787"/>
      <c r="AB39" s="787"/>
      <c r="AC39" s="787"/>
      <c r="AD39" s="787"/>
      <c r="AE39" s="787"/>
      <c r="AF39" s="787"/>
      <c r="AG39" s="787"/>
      <c r="AH39" s="787"/>
      <c r="AI39" s="787"/>
      <c r="AJ39" s="787"/>
      <c r="AK39" s="787"/>
      <c r="AL39" s="787"/>
      <c r="AM39" s="787"/>
      <c r="AN39" s="787"/>
      <c r="AO39" s="787"/>
      <c r="AP39" s="356"/>
      <c r="AQ39" s="65"/>
      <c r="AT39" s="793" t="str">
        <f>"* CM수수료(실수령기준):"</f>
        <v>* CM수수료(실수령기준):</v>
      </c>
      <c r="AU39" s="793"/>
      <c r="AV39" s="793"/>
      <c r="AW39" s="793"/>
      <c r="AX39" s="793"/>
      <c r="AY39" s="793"/>
      <c r="AZ39" s="793"/>
      <c r="BA39" s="793"/>
      <c r="BB39" s="793"/>
      <c r="BC39" s="793"/>
      <c r="BD39" s="794">
        <f>ROUNDDOWN($CI$23*$BD$31*0.967,-2)</f>
        <v>0</v>
      </c>
      <c r="BE39" s="794"/>
      <c r="BF39" s="794"/>
      <c r="BG39" s="794"/>
      <c r="BH39" s="794"/>
      <c r="BI39" s="794"/>
      <c r="BJ39" s="794"/>
      <c r="BK39" s="794"/>
      <c r="BL39" s="794"/>
      <c r="BM39" s="794"/>
      <c r="BN39" s="794"/>
      <c r="BO39" s="794"/>
      <c r="BP39" s="794"/>
      <c r="BQ39" s="794"/>
      <c r="BR39" s="794"/>
      <c r="BS39" s="794"/>
      <c r="BT39" s="794"/>
      <c r="BU39" s="794"/>
      <c r="BV39" s="794"/>
      <c r="BW39" s="794"/>
      <c r="BX39" s="359"/>
      <c r="BY39" s="589"/>
      <c r="BZ39" s="590"/>
      <c r="CD39" s="83" t="s">
        <v>229</v>
      </c>
      <c r="CE39" s="84" t="b">
        <v>1</v>
      </c>
      <c r="CH39" s="89" t="s">
        <v>243</v>
      </c>
      <c r="CI39" s="50">
        <f>ROUNDDOWN($CI$23*$BK$27,-3)</f>
        <v>98458000</v>
      </c>
      <c r="CL39" s="49">
        <v>34</v>
      </c>
      <c r="CM39" s="50">
        <f t="shared" si="1"/>
        <v>1859558</v>
      </c>
      <c r="CO39" s="170">
        <v>1000</v>
      </c>
      <c r="CP39" s="171">
        <v>182</v>
      </c>
      <c r="CW39" s="68"/>
      <c r="CX39" s="69" t="str">
        <f>견적관리자용!$S$11</f>
        <v>승합(11~15인)</v>
      </c>
      <c r="CY39" s="70">
        <v>0</v>
      </c>
      <c r="CZ39" s="125">
        <v>1.4999999999999999E-2</v>
      </c>
      <c r="DA39" s="125">
        <v>1.4999999999999999E-2</v>
      </c>
      <c r="DB39" s="125">
        <v>1.4999999999999999E-2</v>
      </c>
      <c r="DC39" s="125">
        <v>1.4999999999999999E-2</v>
      </c>
      <c r="DD39" s="72">
        <f t="shared" si="6"/>
        <v>1.4999999999999999E-2</v>
      </c>
      <c r="DE39" s="73">
        <v>36</v>
      </c>
      <c r="DF39" s="72">
        <f t="shared" si="5"/>
        <v>0</v>
      </c>
      <c r="DG39" s="166"/>
      <c r="DI39" s="274">
        <v>29</v>
      </c>
      <c r="DJ39" s="275">
        <f t="shared" si="3"/>
        <v>1859600</v>
      </c>
      <c r="DK39" s="275">
        <f t="shared" si="4"/>
        <v>1656245.2091193704</v>
      </c>
      <c r="DL39" s="276"/>
      <c r="DM39" s="919"/>
      <c r="DN39" s="919"/>
      <c r="DO39" s="919"/>
      <c r="DP39" s="919"/>
      <c r="DQ39" s="919"/>
      <c r="DR39" s="919"/>
      <c r="DS39" s="919"/>
      <c r="DT39" s="919"/>
      <c r="DU39" s="919"/>
      <c r="DV39" s="919"/>
      <c r="DW39" s="919"/>
      <c r="DX39" s="919"/>
    </row>
    <row r="40" spans="1:135" ht="15.95" customHeight="1" x14ac:dyDescent="0.3">
      <c r="A40" s="34"/>
      <c r="B40" s="34"/>
      <c r="C40" s="167"/>
      <c r="D40" s="582"/>
      <c r="E40" s="582"/>
      <c r="F40" s="582"/>
      <c r="G40" s="582"/>
      <c r="H40" s="582"/>
      <c r="I40" s="319"/>
      <c r="J40" s="579"/>
      <c r="K40" s="579"/>
      <c r="L40" s="579"/>
      <c r="M40" s="579"/>
      <c r="N40" s="579"/>
      <c r="O40" s="579"/>
      <c r="P40" s="579"/>
      <c r="Q40" s="579"/>
      <c r="R40" s="579"/>
      <c r="S40" s="579"/>
      <c r="T40" s="579"/>
      <c r="U40" s="579"/>
      <c r="V40" s="579"/>
      <c r="W40" s="579"/>
      <c r="X40" s="579"/>
      <c r="Y40" s="579"/>
      <c r="Z40" s="579"/>
      <c r="AA40" s="579"/>
      <c r="AB40" s="579"/>
      <c r="AC40" s="579"/>
      <c r="AD40" s="579"/>
      <c r="AE40" s="579"/>
      <c r="AF40" s="579"/>
      <c r="AG40" s="579"/>
      <c r="AH40" s="579"/>
      <c r="AI40" s="579"/>
      <c r="AJ40" s="579"/>
      <c r="AK40" s="579"/>
      <c r="AL40" s="579"/>
      <c r="AM40" s="579"/>
      <c r="AN40" s="579"/>
      <c r="AO40" s="579"/>
      <c r="AP40" s="581"/>
      <c r="AQ40" s="65"/>
      <c r="AR40" s="580"/>
      <c r="AS40" s="34"/>
      <c r="AT40" s="521"/>
      <c r="AU40" s="521"/>
      <c r="AV40" s="521"/>
      <c r="AW40" s="521"/>
      <c r="AX40" s="521"/>
      <c r="AY40" s="521"/>
      <c r="AZ40" s="521"/>
      <c r="BA40" s="521"/>
      <c r="BB40" s="521"/>
      <c r="BC40" s="521"/>
      <c r="BD40" s="521"/>
      <c r="BE40" s="521"/>
      <c r="BF40" s="521"/>
      <c r="BG40" s="521"/>
      <c r="BH40" s="521"/>
      <c r="BI40" s="521"/>
      <c r="BJ40" s="521"/>
      <c r="BK40" s="521"/>
      <c r="BL40" s="521"/>
      <c r="BM40" s="521"/>
      <c r="BN40" s="521"/>
      <c r="BO40" s="521"/>
      <c r="BP40" s="521"/>
      <c r="BQ40" s="521"/>
      <c r="BR40" s="521"/>
      <c r="BS40" s="521"/>
      <c r="BT40" s="521"/>
      <c r="BU40" s="521"/>
      <c r="BV40" s="521"/>
      <c r="BW40" s="521"/>
      <c r="BX40" s="34"/>
      <c r="BY40" s="589"/>
      <c r="BZ40" s="590"/>
      <c r="CA40" s="34"/>
      <c r="CD40" s="83" t="s">
        <v>230</v>
      </c>
      <c r="CE40" s="84" t="b">
        <f>IF(BD38="차량가 기준",TRUE,FALSE)</f>
        <v>1</v>
      </c>
      <c r="CH40" s="89" t="s">
        <v>244</v>
      </c>
      <c r="CI40" s="50">
        <f>ROUNDDOWN($CI$9*$BK$27,-3)</f>
        <v>92568000</v>
      </c>
      <c r="CL40" s="49">
        <v>35</v>
      </c>
      <c r="CM40" s="50">
        <f t="shared" si="1"/>
        <v>1859558</v>
      </c>
      <c r="CO40" s="170">
        <v>1601</v>
      </c>
      <c r="CP40" s="171">
        <v>260</v>
      </c>
      <c r="CW40" s="68"/>
      <c r="CX40" s="69" t="str">
        <f>견적관리자용!$S$12</f>
        <v>화물(1000cc 미만)</v>
      </c>
      <c r="CY40" s="70">
        <v>0</v>
      </c>
      <c r="CZ40" s="70">
        <v>0</v>
      </c>
      <c r="DA40" s="80">
        <v>0</v>
      </c>
      <c r="DB40" s="80">
        <v>0</v>
      </c>
      <c r="DC40" s="80">
        <v>0</v>
      </c>
      <c r="DD40" s="72">
        <f t="shared" si="6"/>
        <v>0</v>
      </c>
      <c r="DE40" s="73">
        <v>37</v>
      </c>
      <c r="DF40" s="72">
        <f t="shared" si="5"/>
        <v>0</v>
      </c>
      <c r="DG40" s="166"/>
      <c r="DI40" s="274">
        <v>30</v>
      </c>
      <c r="DJ40" s="275">
        <f t="shared" si="3"/>
        <v>1859600</v>
      </c>
      <c r="DK40" s="275">
        <f t="shared" si="4"/>
        <v>1649644.3656932977</v>
      </c>
      <c r="DL40" s="276"/>
      <c r="DM40" s="919"/>
      <c r="DN40" s="919"/>
      <c r="DO40" s="919"/>
      <c r="DP40" s="919"/>
      <c r="DQ40" s="919"/>
      <c r="DR40" s="919"/>
      <c r="DS40" s="919"/>
      <c r="DT40" s="919"/>
      <c r="DU40" s="919"/>
      <c r="DV40" s="919"/>
      <c r="DW40" s="919"/>
      <c r="DX40" s="919"/>
    </row>
    <row r="41" spans="1:135" ht="15.95" customHeight="1" x14ac:dyDescent="0.3">
      <c r="A41" s="34"/>
      <c r="B41" s="34"/>
      <c r="C41" s="362"/>
      <c r="D41" s="792"/>
      <c r="E41" s="792"/>
      <c r="F41" s="792"/>
      <c r="G41" s="792"/>
      <c r="H41" s="792"/>
      <c r="I41" s="362"/>
      <c r="J41" s="362"/>
      <c r="K41" s="362"/>
      <c r="L41" s="362"/>
      <c r="M41" s="362"/>
      <c r="N41" s="362"/>
      <c r="O41" s="362"/>
      <c r="P41" s="362"/>
      <c r="Q41" s="362"/>
      <c r="R41" s="362"/>
      <c r="X41" s="791"/>
      <c r="Y41" s="791"/>
      <c r="Z41" s="791"/>
      <c r="AA41" s="791"/>
      <c r="AB41" s="791"/>
      <c r="AC41" s="791"/>
      <c r="AD41" s="791"/>
      <c r="AE41" s="791"/>
      <c r="AF41" s="791"/>
      <c r="AG41" s="791"/>
      <c r="AH41" s="791"/>
      <c r="AI41" s="791"/>
      <c r="AJ41" s="791"/>
      <c r="AK41" s="791"/>
      <c r="AL41" s="791"/>
      <c r="AM41" s="791"/>
      <c r="AN41" s="791"/>
      <c r="AO41" s="791"/>
      <c r="AP41" s="791"/>
      <c r="AQ41" s="791"/>
      <c r="AR41" s="580"/>
      <c r="AS41" s="34"/>
      <c r="AT41" s="795"/>
      <c r="AU41" s="795"/>
      <c r="AV41" s="795"/>
      <c r="AW41" s="795"/>
      <c r="AX41" s="795"/>
      <c r="AY41" s="795"/>
      <c r="AZ41" s="795"/>
      <c r="BA41" s="795"/>
      <c r="BB41" s="795"/>
      <c r="BC41" s="795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578"/>
      <c r="BZ41" s="34"/>
      <c r="CA41" s="34"/>
      <c r="CD41" s="83" t="s">
        <v>233</v>
      </c>
      <c r="CE41" s="84" t="b">
        <v>0</v>
      </c>
      <c r="CH41" s="89" t="s">
        <v>141</v>
      </c>
      <c r="CI41" s="50">
        <f>$BQ$27</f>
        <v>0</v>
      </c>
      <c r="CL41" s="49">
        <v>36</v>
      </c>
      <c r="CM41" s="50">
        <f t="shared" si="1"/>
        <v>1859558</v>
      </c>
      <c r="CO41" s="170">
        <v>2001</v>
      </c>
      <c r="CP41" s="171">
        <v>260</v>
      </c>
      <c r="CW41" s="85"/>
      <c r="CX41" s="69" t="str">
        <f>견적관리자용!$S$13</f>
        <v>화물(0.6톤 미만)</v>
      </c>
      <c r="CY41" s="70">
        <v>0</v>
      </c>
      <c r="CZ41" s="125">
        <v>1.4999999999999999E-2</v>
      </c>
      <c r="DA41" s="125">
        <v>1.4999999999999999E-2</v>
      </c>
      <c r="DB41" s="125">
        <v>1.4999999999999999E-2</v>
      </c>
      <c r="DC41" s="125">
        <v>1.4999999999999999E-2</v>
      </c>
      <c r="DD41" s="72">
        <f t="shared" si="6"/>
        <v>1.4999999999999999E-2</v>
      </c>
      <c r="DE41" s="73">
        <v>38</v>
      </c>
      <c r="DF41" s="72">
        <f t="shared" si="5"/>
        <v>0</v>
      </c>
      <c r="DG41" s="166"/>
      <c r="DI41" s="274">
        <v>31</v>
      </c>
      <c r="DJ41" s="275">
        <f t="shared" si="3"/>
        <v>1859600</v>
      </c>
      <c r="DK41" s="275">
        <f t="shared" si="4"/>
        <v>1643069.8294430557</v>
      </c>
      <c r="DL41" s="276"/>
      <c r="DM41" s="919"/>
      <c r="DN41" s="919"/>
      <c r="DO41" s="919"/>
      <c r="DP41" s="919"/>
      <c r="DQ41" s="919"/>
      <c r="DR41" s="919"/>
      <c r="DS41" s="919"/>
      <c r="DT41" s="919"/>
      <c r="DU41" s="919"/>
      <c r="DV41" s="919"/>
      <c r="DW41" s="919"/>
      <c r="DX41" s="919"/>
    </row>
    <row r="42" spans="1:135" ht="15.95" customHeight="1" x14ac:dyDescent="0.3">
      <c r="A42" s="172"/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4"/>
      <c r="BZ42" s="172"/>
      <c r="CA42" s="172"/>
      <c r="CH42" s="103" t="s">
        <v>142</v>
      </c>
      <c r="CI42" s="104">
        <f>VLOOKUP($BD$27,$CH$39:$CI$41,2,FALSE)</f>
        <v>92568000</v>
      </c>
      <c r="CL42" s="49">
        <v>37</v>
      </c>
      <c r="CM42" s="50">
        <f t="shared" si="1"/>
        <v>1859558</v>
      </c>
      <c r="CO42" s="79"/>
      <c r="CP42" s="50">
        <f>VLOOKUP($CI$6,$CO$38:$CP$41,2,TRUE)</f>
        <v>260</v>
      </c>
      <c r="CW42" s="85"/>
      <c r="CX42" s="69" t="str">
        <f>견적관리자용!$S$14</f>
        <v>화물(0.6~1톤 미만)</v>
      </c>
      <c r="CY42" s="70">
        <v>0</v>
      </c>
      <c r="CZ42" s="125">
        <v>1.4999999999999999E-2</v>
      </c>
      <c r="DA42" s="125">
        <v>1.4999999999999999E-2</v>
      </c>
      <c r="DB42" s="125">
        <v>1.4999999999999999E-2</v>
      </c>
      <c r="DC42" s="125">
        <v>1.4999999999999999E-2</v>
      </c>
      <c r="DD42" s="72">
        <f t="shared" si="6"/>
        <v>1.4999999999999999E-2</v>
      </c>
      <c r="DE42" s="73">
        <v>39</v>
      </c>
      <c r="DF42" s="72">
        <f t="shared" si="5"/>
        <v>0</v>
      </c>
      <c r="DG42" s="166"/>
      <c r="DI42" s="274">
        <v>32</v>
      </c>
      <c r="DJ42" s="275">
        <f t="shared" si="3"/>
        <v>1859600</v>
      </c>
      <c r="DK42" s="275">
        <f t="shared" si="4"/>
        <v>1636521.4955233305</v>
      </c>
      <c r="DL42" s="276"/>
    </row>
    <row r="43" spans="1:135" ht="15.95" customHeight="1" x14ac:dyDescent="0.3">
      <c r="A43" s="172"/>
      <c r="B43" s="172"/>
      <c r="C43" s="172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4"/>
      <c r="BZ43" s="172"/>
      <c r="CA43" s="172"/>
      <c r="CH43" s="66" t="s">
        <v>146</v>
      </c>
      <c r="CI43" s="175">
        <f>$CI$34-$CI$42</f>
        <v>0</v>
      </c>
      <c r="CJ43" s="292" t="str">
        <f>IF(CI8="Y","현가율미체크",DJ6)</f>
        <v>현가율미체크</v>
      </c>
      <c r="CL43" s="49">
        <v>38</v>
      </c>
      <c r="CM43" s="50">
        <f t="shared" si="1"/>
        <v>1859558</v>
      </c>
      <c r="CO43" s="176"/>
      <c r="CP43" s="50">
        <f>$CI$6*$CP$42</f>
        <v>778180</v>
      </c>
      <c r="CW43" s="85"/>
      <c r="CX43" s="69" t="str">
        <f>견적관리자용!$S$15</f>
        <v>화물(1~2.5톤 미만)</v>
      </c>
      <c r="CY43" s="70">
        <v>0</v>
      </c>
      <c r="CZ43" s="125">
        <v>1.4999999999999999E-2</v>
      </c>
      <c r="DA43" s="125">
        <v>1.4999999999999999E-2</v>
      </c>
      <c r="DB43" s="125">
        <v>1.4999999999999999E-2</v>
      </c>
      <c r="DC43" s="125">
        <v>1.4999999999999999E-2</v>
      </c>
      <c r="DD43" s="72">
        <f t="shared" si="6"/>
        <v>1.4999999999999999E-2</v>
      </c>
      <c r="DE43" s="73">
        <v>40</v>
      </c>
      <c r="DF43" s="72">
        <f t="shared" si="5"/>
        <v>0</v>
      </c>
      <c r="DG43" s="166"/>
      <c r="DI43" s="274">
        <v>33</v>
      </c>
      <c r="DJ43" s="275">
        <f t="shared" ref="DJ43:DJ70" si="7">IF(DI43&lt;$CP$4,$AG$10,IF(DI43=$CP$4,$AG$10+$CI$42,0))</f>
        <v>1859600</v>
      </c>
      <c r="DK43" s="275">
        <f t="shared" si="4"/>
        <v>1629999.2595066624</v>
      </c>
      <c r="DL43" s="276"/>
    </row>
    <row r="44" spans="1:135" ht="15.95" customHeight="1" x14ac:dyDescent="0.3">
      <c r="A44" s="172"/>
      <c r="B44" s="172"/>
      <c r="C44" s="172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4"/>
      <c r="BZ44" s="172"/>
      <c r="CA44" s="172"/>
      <c r="CG44" s="177" t="s">
        <v>290</v>
      </c>
      <c r="CH44" s="89" t="s">
        <v>147</v>
      </c>
      <c r="CI44" s="144">
        <f>$CI$43/$CI$9</f>
        <v>0</v>
      </c>
      <c r="CJ44" s="292">
        <f>+IF(CJ43="현가율미체크",0%, CJ43)</f>
        <v>0</v>
      </c>
      <c r="CL44" s="49">
        <v>39</v>
      </c>
      <c r="CM44" s="50">
        <f t="shared" si="1"/>
        <v>1859558</v>
      </c>
      <c r="CO44" s="176"/>
      <c r="CP44" s="50">
        <f>IF($CI$12="승용",$CP$43,IF($CI$12="승합",65000,IF($CI$12="화물",0,0)))</f>
        <v>778180</v>
      </c>
      <c r="CW44" s="85"/>
      <c r="CX44" s="69" t="str">
        <f>견적관리자용!$S$16</f>
        <v>화물(2.5~4.6톤 미만)</v>
      </c>
      <c r="CY44" s="70">
        <v>0</v>
      </c>
      <c r="CZ44" s="125">
        <v>1.4999999999999999E-2</v>
      </c>
      <c r="DA44" s="125">
        <v>1.4999999999999999E-2</v>
      </c>
      <c r="DB44" s="125">
        <v>1.4999999999999999E-2</v>
      </c>
      <c r="DC44" s="125">
        <v>1.4999999999999999E-2</v>
      </c>
      <c r="DD44" s="72">
        <f t="shared" si="6"/>
        <v>1.4999999999999999E-2</v>
      </c>
      <c r="DE44" s="73">
        <v>41</v>
      </c>
      <c r="DF44" s="72">
        <f t="shared" si="5"/>
        <v>0</v>
      </c>
      <c r="DG44" s="166"/>
      <c r="DI44" s="274">
        <v>34</v>
      </c>
      <c r="DJ44" s="275">
        <f t="shared" si="7"/>
        <v>1859600</v>
      </c>
      <c r="DK44" s="275">
        <f t="shared" si="4"/>
        <v>1623503.0173817785</v>
      </c>
      <c r="DL44" s="276"/>
    </row>
    <row r="45" spans="1:135" ht="15.95" customHeight="1" x14ac:dyDescent="0.3">
      <c r="A45" s="172"/>
      <c r="B45" s="172"/>
      <c r="C45" s="172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4"/>
      <c r="BZ45" s="172"/>
      <c r="CA45" s="172"/>
      <c r="CD45" s="353" t="s">
        <v>389</v>
      </c>
      <c r="CE45" s="45" t="b">
        <v>1</v>
      </c>
      <c r="CH45" s="178">
        <v>0</v>
      </c>
      <c r="CI45" s="179">
        <f>HLOOKUP($CO$62,$CP$66:$CS$75,2,0)</f>
        <v>1.32E-2</v>
      </c>
      <c r="CL45" s="49">
        <v>40</v>
      </c>
      <c r="CM45" s="50">
        <f t="shared" si="1"/>
        <v>1859558</v>
      </c>
      <c r="CO45" s="79" t="s">
        <v>200</v>
      </c>
      <c r="CP45" s="50">
        <f>$CP$44</f>
        <v>778180</v>
      </c>
      <c r="CW45" s="90"/>
      <c r="CX45" s="91" t="str">
        <f>견적관리자용!$S$17</f>
        <v>화물(4.6톤 이상)</v>
      </c>
      <c r="CY45" s="92">
        <v>0</v>
      </c>
      <c r="CZ45" s="180">
        <v>1.4999999999999999E-2</v>
      </c>
      <c r="DA45" s="180">
        <v>1.4999999999999999E-2</v>
      </c>
      <c r="DB45" s="180">
        <v>1.4999999999999999E-2</v>
      </c>
      <c r="DC45" s="180">
        <v>1.4999999999999999E-2</v>
      </c>
      <c r="DD45" s="93">
        <f t="shared" si="6"/>
        <v>1.4999999999999999E-2</v>
      </c>
      <c r="DE45" s="94">
        <v>42</v>
      </c>
      <c r="DF45" s="93">
        <f t="shared" si="5"/>
        <v>0</v>
      </c>
      <c r="DG45" s="181"/>
      <c r="DI45" s="274">
        <v>35</v>
      </c>
      <c r="DJ45" s="275">
        <f t="shared" si="7"/>
        <v>1859600</v>
      </c>
      <c r="DK45" s="275">
        <f t="shared" si="4"/>
        <v>1617032.6655519353</v>
      </c>
      <c r="DL45" s="276"/>
      <c r="EE45" s="24" t="b">
        <v>1</v>
      </c>
    </row>
    <row r="46" spans="1:135" ht="15.95" customHeight="1" x14ac:dyDescent="0.3">
      <c r="A46" s="172"/>
      <c r="B46" s="172"/>
      <c r="C46" s="172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4"/>
      <c r="BZ46" s="172"/>
      <c r="CA46" s="172"/>
      <c r="CH46" s="178">
        <v>0.01</v>
      </c>
      <c r="CI46" s="179">
        <f>HLOOKUP($CO$62,$CP$66:$CS$75,3,0)</f>
        <v>1.21E-2</v>
      </c>
      <c r="CL46" s="49">
        <v>41</v>
      </c>
      <c r="CM46" s="50">
        <f t="shared" si="1"/>
        <v>1859558</v>
      </c>
      <c r="CO46" s="79" t="s">
        <v>201</v>
      </c>
      <c r="CP46" s="50">
        <f>IF($CI$12="승용",$CP$45*100%,$CP$45)</f>
        <v>778180</v>
      </c>
      <c r="CQ46" s="520">
        <v>0.95</v>
      </c>
      <c r="CW46" s="68" t="s">
        <v>100</v>
      </c>
      <c r="CX46" s="124" t="str">
        <f>견적관리자용!$S$8</f>
        <v>승용일반</v>
      </c>
      <c r="CY46" s="70">
        <v>0</v>
      </c>
      <c r="CZ46" s="125">
        <v>0.04</v>
      </c>
      <c r="DA46" s="125">
        <v>0.04</v>
      </c>
      <c r="DB46" s="125">
        <v>0.04</v>
      </c>
      <c r="DC46" s="125">
        <v>0.05</v>
      </c>
      <c r="DD46" s="72">
        <f t="shared" si="6"/>
        <v>0.05</v>
      </c>
      <c r="DE46" s="73">
        <v>43</v>
      </c>
      <c r="DF46" s="72">
        <f t="shared" si="5"/>
        <v>0</v>
      </c>
      <c r="DG46" s="166">
        <f>SUM(DF46:DF55)</f>
        <v>0.05</v>
      </c>
      <c r="DI46" s="274">
        <v>36</v>
      </c>
      <c r="DJ46" s="275">
        <f t="shared" si="7"/>
        <v>1859600</v>
      </c>
      <c r="DK46" s="275">
        <f t="shared" si="4"/>
        <v>1610588.1008332672</v>
      </c>
      <c r="DL46" s="276"/>
    </row>
    <row r="47" spans="1:135" ht="15.95" customHeight="1" x14ac:dyDescent="0.3">
      <c r="A47" s="172"/>
      <c r="B47" s="172"/>
      <c r="C47" s="172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4"/>
      <c r="BZ47" s="172"/>
      <c r="CA47" s="172"/>
      <c r="CH47" s="178">
        <v>0.02</v>
      </c>
      <c r="CI47" s="179">
        <f>HLOOKUP($CO$62,$CP$66:$CS$75,4,0)</f>
        <v>1.0999999999999999E-2</v>
      </c>
      <c r="CL47" s="49">
        <v>42</v>
      </c>
      <c r="CM47" s="50">
        <f t="shared" si="1"/>
        <v>1859558</v>
      </c>
      <c r="CO47" s="79" t="s">
        <v>202</v>
      </c>
      <c r="CP47" s="50">
        <f>IF($CI$12="승용",$CP$45*100%,$CP$45)</f>
        <v>778180</v>
      </c>
      <c r="CQ47" s="520">
        <v>0.9</v>
      </c>
      <c r="CW47" s="68"/>
      <c r="CX47" s="69" t="str">
        <f>견적관리자용!$S$9</f>
        <v>승용SUV(~5인)</v>
      </c>
      <c r="CY47" s="70">
        <v>0</v>
      </c>
      <c r="CZ47" s="71">
        <v>0.04</v>
      </c>
      <c r="DA47" s="71">
        <v>0.04</v>
      </c>
      <c r="DB47" s="71">
        <v>0.04</v>
      </c>
      <c r="DC47" s="71">
        <v>0.05</v>
      </c>
      <c r="DD47" s="72">
        <f t="shared" si="6"/>
        <v>0.05</v>
      </c>
      <c r="DE47" s="73">
        <v>44</v>
      </c>
      <c r="DF47" s="72">
        <f t="shared" si="5"/>
        <v>0</v>
      </c>
      <c r="DG47" s="166"/>
      <c r="DI47" s="274">
        <v>37</v>
      </c>
      <c r="DJ47" s="275">
        <f t="shared" si="7"/>
        <v>1859600</v>
      </c>
      <c r="DK47" s="275">
        <f t="shared" si="4"/>
        <v>1604169.2204531396</v>
      </c>
      <c r="DL47" s="276"/>
    </row>
    <row r="48" spans="1:135" ht="15.95" customHeight="1" x14ac:dyDescent="0.3">
      <c r="A48" s="172"/>
      <c r="B48" s="172"/>
      <c r="C48" s="172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4"/>
      <c r="BZ48" s="172"/>
      <c r="CA48" s="172"/>
      <c r="CH48" s="178">
        <v>0.03</v>
      </c>
      <c r="CI48" s="179">
        <f>HLOOKUP($CO$62,$CP$66:$CS$75,5,0)</f>
        <v>9.9000000000000008E-3</v>
      </c>
      <c r="CL48" s="49">
        <v>43</v>
      </c>
      <c r="CM48" s="50">
        <f t="shared" si="1"/>
        <v>1859558</v>
      </c>
      <c r="CO48" s="79" t="s">
        <v>203</v>
      </c>
      <c r="CP48" s="50">
        <f>IF($CI$12="승용",$CP$45*100%,$CP$45)</f>
        <v>778180</v>
      </c>
      <c r="CQ48" s="520">
        <v>0.85</v>
      </c>
      <c r="CW48" s="68"/>
      <c r="CX48" s="69" t="str">
        <f>견적관리자용!$S$10</f>
        <v>승용SUV(7~10인)</v>
      </c>
      <c r="CY48" s="70">
        <v>0</v>
      </c>
      <c r="CZ48" s="71">
        <v>0.04</v>
      </c>
      <c r="DA48" s="71">
        <v>0.04</v>
      </c>
      <c r="DB48" s="71">
        <v>0.04</v>
      </c>
      <c r="DC48" s="71">
        <v>0.05</v>
      </c>
      <c r="DD48" s="72">
        <f t="shared" si="6"/>
        <v>0.05</v>
      </c>
      <c r="DE48" s="73">
        <v>45</v>
      </c>
      <c r="DF48" s="72">
        <f t="shared" si="5"/>
        <v>0.05</v>
      </c>
      <c r="DG48" s="166"/>
      <c r="DI48" s="274">
        <v>38</v>
      </c>
      <c r="DJ48" s="275">
        <f t="shared" si="7"/>
        <v>1859600</v>
      </c>
      <c r="DK48" s="275">
        <f t="shared" si="4"/>
        <v>1597775.922048511</v>
      </c>
      <c r="DL48" s="276"/>
    </row>
    <row r="49" spans="1:116" ht="15.95" customHeight="1" x14ac:dyDescent="0.3">
      <c r="A49" s="172"/>
      <c r="B49" s="172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4"/>
      <c r="BZ49" s="172"/>
      <c r="CA49" s="172"/>
      <c r="CH49" s="178">
        <v>0.04</v>
      </c>
      <c r="CI49" s="179">
        <f>HLOOKUP($CO$62,$CP$66:$CS$75,6,0)</f>
        <v>8.8000000000000005E-3</v>
      </c>
      <c r="CL49" s="49">
        <v>44</v>
      </c>
      <c r="CM49" s="50">
        <f t="shared" si="1"/>
        <v>1859558</v>
      </c>
      <c r="CO49" s="79">
        <v>12</v>
      </c>
      <c r="CP49" s="50">
        <f>ROUNDUP($CP$44/12,0)</f>
        <v>64849</v>
      </c>
      <c r="CW49" s="68"/>
      <c r="CX49" s="69" t="str">
        <f>견적관리자용!$S$11</f>
        <v>승합(11~15인)</v>
      </c>
      <c r="CY49" s="70">
        <v>0</v>
      </c>
      <c r="CZ49" s="125">
        <v>1.4999999999999999E-2</v>
      </c>
      <c r="DA49" s="125">
        <v>1.4999999999999999E-2</v>
      </c>
      <c r="DB49" s="125">
        <v>1.4999999999999999E-2</v>
      </c>
      <c r="DC49" s="125">
        <v>1.4999999999999999E-2</v>
      </c>
      <c r="DD49" s="72">
        <f t="shared" si="6"/>
        <v>1.4999999999999999E-2</v>
      </c>
      <c r="DE49" s="73">
        <v>46</v>
      </c>
      <c r="DF49" s="72">
        <f t="shared" si="5"/>
        <v>0</v>
      </c>
      <c r="DG49" s="166"/>
      <c r="DI49" s="274">
        <v>39</v>
      </c>
      <c r="DJ49" s="275">
        <f t="shared" si="7"/>
        <v>1859600</v>
      </c>
      <c r="DK49" s="275">
        <f t="shared" si="4"/>
        <v>1591408.1036642999</v>
      </c>
      <c r="DL49" s="276"/>
    </row>
    <row r="50" spans="1:116" ht="15.95" customHeight="1" x14ac:dyDescent="0.3">
      <c r="A50" s="172"/>
      <c r="B50" s="172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4"/>
      <c r="BZ50" s="172"/>
      <c r="CA50" s="172"/>
      <c r="CH50" s="178">
        <v>0.05</v>
      </c>
      <c r="CI50" s="179">
        <f>HLOOKUP($CO$62,$CP$66:$CS$75,7,0)</f>
        <v>7.7000000000000002E-3</v>
      </c>
      <c r="CL50" s="49">
        <v>45</v>
      </c>
      <c r="CM50" s="50">
        <f t="shared" si="1"/>
        <v>1859558</v>
      </c>
      <c r="CO50" s="79">
        <v>24</v>
      </c>
      <c r="CP50" s="50">
        <f>ROUNDUP($CP$44/12,0)</f>
        <v>64849</v>
      </c>
      <c r="CW50" s="68"/>
      <c r="CX50" s="69" t="str">
        <f>견적관리자용!$S$12</f>
        <v>화물(1000cc 미만)</v>
      </c>
      <c r="CY50" s="70">
        <v>0</v>
      </c>
      <c r="CZ50" s="70">
        <v>0</v>
      </c>
      <c r="DA50" s="80">
        <v>0</v>
      </c>
      <c r="DB50" s="80">
        <v>0</v>
      </c>
      <c r="DC50" s="80">
        <v>0</v>
      </c>
      <c r="DD50" s="72">
        <f t="shared" si="6"/>
        <v>0</v>
      </c>
      <c r="DE50" s="73">
        <v>47</v>
      </c>
      <c r="DF50" s="72">
        <f t="shared" si="5"/>
        <v>0</v>
      </c>
      <c r="DG50" s="166"/>
      <c r="DI50" s="274">
        <v>40</v>
      </c>
      <c r="DJ50" s="275">
        <f t="shared" si="7"/>
        <v>1859600</v>
      </c>
      <c r="DK50" s="275">
        <f t="shared" si="4"/>
        <v>1585065.66375176</v>
      </c>
      <c r="DL50" s="276"/>
    </row>
    <row r="51" spans="1:116" ht="15.95" customHeight="1" x14ac:dyDescent="0.3">
      <c r="A51" s="172"/>
      <c r="B51" s="172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4"/>
      <c r="BZ51" s="172"/>
      <c r="CA51" s="172"/>
      <c r="CH51" s="178">
        <v>0.06</v>
      </c>
      <c r="CI51" s="179">
        <f>HLOOKUP($CO$62,$CP$66:$CS$75,8,0)</f>
        <v>6.6E-3</v>
      </c>
      <c r="CL51" s="49">
        <v>46</v>
      </c>
      <c r="CM51" s="50">
        <f t="shared" si="1"/>
        <v>1859558</v>
      </c>
      <c r="CO51" s="79">
        <v>36</v>
      </c>
      <c r="CP51" s="50">
        <f>ROUNDUP(($CP$44+$CP$44+$CP$46)/36,0)</f>
        <v>64849</v>
      </c>
      <c r="CW51" s="85"/>
      <c r="CX51" s="69" t="str">
        <f>견적관리자용!$S$13</f>
        <v>화물(0.6톤 미만)</v>
      </c>
      <c r="CY51" s="70">
        <v>0</v>
      </c>
      <c r="CZ51" s="125">
        <v>1.4999999999999999E-2</v>
      </c>
      <c r="DA51" s="125">
        <v>1.4999999999999999E-2</v>
      </c>
      <c r="DB51" s="125">
        <v>1.4999999999999999E-2</v>
      </c>
      <c r="DC51" s="125">
        <v>1.4999999999999999E-2</v>
      </c>
      <c r="DD51" s="72">
        <f t="shared" si="6"/>
        <v>1.4999999999999999E-2</v>
      </c>
      <c r="DE51" s="73">
        <v>48</v>
      </c>
      <c r="DF51" s="72">
        <f t="shared" si="5"/>
        <v>0</v>
      </c>
      <c r="DG51" s="166"/>
      <c r="DI51" s="274">
        <v>41</v>
      </c>
      <c r="DJ51" s="275">
        <f t="shared" si="7"/>
        <v>1859600</v>
      </c>
      <c r="DK51" s="275">
        <f t="shared" si="4"/>
        <v>1578748.5011668589</v>
      </c>
      <c r="DL51" s="276"/>
    </row>
    <row r="52" spans="1:116" ht="15.95" customHeight="1" x14ac:dyDescent="0.3">
      <c r="A52" s="172"/>
      <c r="B52" s="172"/>
      <c r="C52" s="172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4"/>
      <c r="BZ52" s="172"/>
      <c r="CA52" s="172"/>
      <c r="CH52" s="178">
        <v>7.0000000000000007E-2</v>
      </c>
      <c r="CI52" s="179">
        <f>HLOOKUP($CO$62,$CP$66:$CS$75,9,0)</f>
        <v>5.4999999999999997E-3</v>
      </c>
      <c r="CL52" s="49">
        <v>47</v>
      </c>
      <c r="CM52" s="50">
        <f t="shared" si="1"/>
        <v>1859558</v>
      </c>
      <c r="CO52" s="79">
        <v>48</v>
      </c>
      <c r="CP52" s="50">
        <f>ROUNDUP(($CP$44+$CP$44+$CP$46+$CP$47)/48,0)</f>
        <v>64849</v>
      </c>
      <c r="CW52" s="85"/>
      <c r="CX52" s="69" t="str">
        <f>견적관리자용!$S$14</f>
        <v>화물(0.6~1톤 미만)</v>
      </c>
      <c r="CY52" s="70">
        <v>0</v>
      </c>
      <c r="CZ52" s="125">
        <v>1.4999999999999999E-2</v>
      </c>
      <c r="DA52" s="125">
        <v>1.4999999999999999E-2</v>
      </c>
      <c r="DB52" s="125">
        <v>1.4999999999999999E-2</v>
      </c>
      <c r="DC52" s="125">
        <v>1.4999999999999999E-2</v>
      </c>
      <c r="DD52" s="72">
        <f t="shared" si="6"/>
        <v>1.4999999999999999E-2</v>
      </c>
      <c r="DE52" s="73">
        <v>49</v>
      </c>
      <c r="DF52" s="72">
        <f t="shared" si="5"/>
        <v>0</v>
      </c>
      <c r="DG52" s="166"/>
      <c r="DI52" s="274">
        <v>42</v>
      </c>
      <c r="DJ52" s="275">
        <f t="shared" si="7"/>
        <v>1859600</v>
      </c>
      <c r="DK52" s="275">
        <f t="shared" si="4"/>
        <v>1572456.5151686682</v>
      </c>
      <c r="DL52" s="276"/>
    </row>
    <row r="53" spans="1:116" ht="15.95" customHeight="1" x14ac:dyDescent="0.3">
      <c r="A53" s="172"/>
      <c r="B53" s="172"/>
      <c r="C53" s="172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4"/>
      <c r="BZ53" s="172"/>
      <c r="CA53" s="172"/>
      <c r="CH53" s="178">
        <v>0.08</v>
      </c>
      <c r="CI53" s="179">
        <f>HLOOKUP($CO$62,$CP$66:$CS$75,10,0)</f>
        <v>0</v>
      </c>
      <c r="CL53" s="49">
        <v>48</v>
      </c>
      <c r="CM53" s="50">
        <f t="shared" si="1"/>
        <v>1859558</v>
      </c>
      <c r="CO53" s="79">
        <v>60</v>
      </c>
      <c r="CP53" s="50">
        <f>ROUNDUP(($CP$44+$CP$44+$CP$46+$CP$47+$CP$48)/60,0)</f>
        <v>64849</v>
      </c>
      <c r="CW53" s="85"/>
      <c r="CX53" s="69" t="str">
        <f>견적관리자용!$S$15</f>
        <v>화물(1~2.5톤 미만)</v>
      </c>
      <c r="CY53" s="70">
        <v>0</v>
      </c>
      <c r="CZ53" s="125">
        <v>1.4999999999999999E-2</v>
      </c>
      <c r="DA53" s="125">
        <v>1.4999999999999999E-2</v>
      </c>
      <c r="DB53" s="125">
        <v>1.4999999999999999E-2</v>
      </c>
      <c r="DC53" s="125">
        <v>1.4999999999999999E-2</v>
      </c>
      <c r="DD53" s="72">
        <f t="shared" si="6"/>
        <v>1.4999999999999999E-2</v>
      </c>
      <c r="DE53" s="73">
        <v>50</v>
      </c>
      <c r="DF53" s="72">
        <f t="shared" si="5"/>
        <v>0</v>
      </c>
      <c r="DG53" s="166"/>
      <c r="DI53" s="274">
        <v>43</v>
      </c>
      <c r="DJ53" s="275">
        <f t="shared" si="7"/>
        <v>1859600</v>
      </c>
      <c r="DK53" s="275">
        <f t="shared" si="4"/>
        <v>1566189.6054177531</v>
      </c>
      <c r="DL53" s="276"/>
    </row>
    <row r="54" spans="1:116" ht="15.95" customHeight="1" x14ac:dyDescent="0.3">
      <c r="A54" s="172"/>
      <c r="B54" s="172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4"/>
      <c r="BZ54" s="172"/>
      <c r="CA54" s="172"/>
      <c r="CH54" s="182" t="s">
        <v>148</v>
      </c>
      <c r="CI54" s="144">
        <f>VLOOKUP($CI$44,$CH$45:$CI$53,2,TRUE)</f>
        <v>1.32E-2</v>
      </c>
      <c r="CL54" s="49">
        <v>49</v>
      </c>
      <c r="CM54" s="50">
        <f t="shared" si="1"/>
        <v>1859558</v>
      </c>
      <c r="CO54" s="51"/>
      <c r="CP54" s="104">
        <f>IF($BD$15="이용자명의",0,IF($BD$32="리스료포함",IF($BQ$32&gt;0,$BQ$32,VLOOKUP($CI$24,$CO$49:$CP$53,2,FALSE)),0))</f>
        <v>0</v>
      </c>
      <c r="CW54" s="85"/>
      <c r="CX54" s="69" t="str">
        <f>견적관리자용!$S$16</f>
        <v>화물(2.5~4.6톤 미만)</v>
      </c>
      <c r="CY54" s="70">
        <v>0</v>
      </c>
      <c r="CZ54" s="125">
        <v>1.4999999999999999E-2</v>
      </c>
      <c r="DA54" s="125">
        <v>1.4999999999999999E-2</v>
      </c>
      <c r="DB54" s="125">
        <v>1.4999999999999999E-2</v>
      </c>
      <c r="DC54" s="125">
        <v>1.4999999999999999E-2</v>
      </c>
      <c r="DD54" s="72">
        <f t="shared" si="6"/>
        <v>1.4999999999999999E-2</v>
      </c>
      <c r="DE54" s="73">
        <v>51</v>
      </c>
      <c r="DF54" s="72">
        <f t="shared" si="5"/>
        <v>0</v>
      </c>
      <c r="DG54" s="166"/>
      <c r="DI54" s="274">
        <v>44</v>
      </c>
      <c r="DJ54" s="275">
        <f t="shared" si="7"/>
        <v>1859600</v>
      </c>
      <c r="DK54" s="275">
        <f t="shared" si="4"/>
        <v>1559947.6719745749</v>
      </c>
      <c r="DL54" s="276"/>
    </row>
    <row r="55" spans="1:116" ht="15.95" customHeight="1" x14ac:dyDescent="0.3">
      <c r="A55" s="172"/>
      <c r="B55" s="172"/>
      <c r="C55" s="172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4"/>
      <c r="BZ55" s="172"/>
      <c r="CA55" s="172"/>
      <c r="CH55" s="103" t="s">
        <v>149</v>
      </c>
      <c r="CI55" s="104">
        <f>IF(CJ8="모두불가",0,IF(CI8=0,0,ROUNDDOWN($CI$9*$CI$54,0)))</f>
        <v>2106720</v>
      </c>
      <c r="CJ55" s="26" t="s">
        <v>577</v>
      </c>
      <c r="CL55" s="49">
        <v>50</v>
      </c>
      <c r="CM55" s="50">
        <f t="shared" si="1"/>
        <v>1859558</v>
      </c>
      <c r="CW55" s="85"/>
      <c r="CX55" s="69" t="str">
        <f>견적관리자용!$S$17</f>
        <v>화물(4.6톤 이상)</v>
      </c>
      <c r="CY55" s="70">
        <v>0</v>
      </c>
      <c r="CZ55" s="180">
        <v>1.4999999999999999E-2</v>
      </c>
      <c r="DA55" s="180">
        <v>1.4999999999999999E-2</v>
      </c>
      <c r="DB55" s="180">
        <v>1.4999999999999999E-2</v>
      </c>
      <c r="DC55" s="180">
        <v>1.4999999999999999E-2</v>
      </c>
      <c r="DD55" s="72">
        <f t="shared" si="6"/>
        <v>1.4999999999999999E-2</v>
      </c>
      <c r="DE55" s="73">
        <v>52</v>
      </c>
      <c r="DF55" s="72">
        <f t="shared" si="5"/>
        <v>0</v>
      </c>
      <c r="DG55" s="166"/>
      <c r="DI55" s="274">
        <v>45</v>
      </c>
      <c r="DJ55" s="275">
        <f t="shared" si="7"/>
        <v>1859600</v>
      </c>
      <c r="DK55" s="275">
        <f t="shared" si="4"/>
        <v>1553730.615297897</v>
      </c>
      <c r="DL55" s="276"/>
    </row>
    <row r="56" spans="1:116" ht="15.95" customHeight="1" x14ac:dyDescent="0.3">
      <c r="A56" s="172"/>
      <c r="B56" s="172"/>
      <c r="C56" s="172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4"/>
      <c r="BZ56" s="172"/>
      <c r="CA56" s="172"/>
      <c r="CH56" s="624" t="s">
        <v>151</v>
      </c>
      <c r="CI56" s="625">
        <f>ROUNDDOWN($CP$8*$BD$30,0)</f>
        <v>0</v>
      </c>
      <c r="CL56" s="49">
        <v>51</v>
      </c>
      <c r="CM56" s="50">
        <f t="shared" si="1"/>
        <v>1859558</v>
      </c>
      <c r="CO56" s="29" t="s">
        <v>1358</v>
      </c>
      <c r="CP56" s="28">
        <f>VLOOKUP($BD$6,차량DB!$F$6:$AD$655,20,0)</f>
        <v>0</v>
      </c>
      <c r="CW56" s="58" t="s">
        <v>101</v>
      </c>
      <c r="CX56" s="59" t="str">
        <f>견적관리자용!$S$8</f>
        <v>승용일반</v>
      </c>
      <c r="CY56" s="60">
        <v>0</v>
      </c>
      <c r="CZ56" s="125">
        <v>0.04</v>
      </c>
      <c r="DA56" s="125">
        <v>0.04</v>
      </c>
      <c r="DB56" s="125">
        <v>0.04</v>
      </c>
      <c r="DC56" s="125">
        <v>0.05</v>
      </c>
      <c r="DD56" s="62">
        <f t="shared" si="6"/>
        <v>0.05</v>
      </c>
      <c r="DE56" s="63">
        <v>53</v>
      </c>
      <c r="DF56" s="62">
        <f t="shared" si="5"/>
        <v>0</v>
      </c>
      <c r="DG56" s="163">
        <f>SUM(DF56:DF65)</f>
        <v>0.05</v>
      </c>
      <c r="DI56" s="274">
        <v>46</v>
      </c>
      <c r="DJ56" s="275">
        <f t="shared" si="7"/>
        <v>1859600</v>
      </c>
      <c r="DK56" s="275">
        <f t="shared" si="4"/>
        <v>1547538.3362431971</v>
      </c>
      <c r="DL56" s="276"/>
    </row>
    <row r="57" spans="1:116" ht="15.95" customHeight="1" x14ac:dyDescent="0.3">
      <c r="A57" s="172"/>
      <c r="B57" s="172"/>
      <c r="C57" s="172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4"/>
      <c r="BZ57" s="172"/>
      <c r="CA57" s="172"/>
      <c r="CH57" s="626" t="s">
        <v>1329</v>
      </c>
      <c r="CI57" s="627">
        <f>ROUNDDOWN($CP$8*$BD$31,0)</f>
        <v>0</v>
      </c>
      <c r="CL57" s="49">
        <v>52</v>
      </c>
      <c r="CM57" s="50">
        <f t="shared" si="1"/>
        <v>1859558</v>
      </c>
      <c r="CO57" s="29" t="s">
        <v>1357</v>
      </c>
      <c r="CP57" s="28" t="str">
        <f>VLOOKUP($BD$6,차량DB!$F$6:$S$655,14,0)</f>
        <v>E</v>
      </c>
      <c r="CW57" s="68"/>
      <c r="CX57" s="69" t="str">
        <f>견적관리자용!$S$9</f>
        <v>승용SUV(~5인)</v>
      </c>
      <c r="CY57" s="70">
        <v>0</v>
      </c>
      <c r="CZ57" s="71">
        <v>0.04</v>
      </c>
      <c r="DA57" s="71">
        <v>0.04</v>
      </c>
      <c r="DB57" s="71">
        <v>0.04</v>
      </c>
      <c r="DC57" s="71">
        <v>0.05</v>
      </c>
      <c r="DD57" s="72">
        <f t="shared" si="6"/>
        <v>0.05</v>
      </c>
      <c r="DE57" s="73">
        <v>54</v>
      </c>
      <c r="DF57" s="72">
        <f t="shared" si="5"/>
        <v>0</v>
      </c>
      <c r="DG57" s="166"/>
      <c r="DI57" s="274">
        <v>47</v>
      </c>
      <c r="DJ57" s="275">
        <f t="shared" si="7"/>
        <v>1859600</v>
      </c>
      <c r="DK57" s="275">
        <f t="shared" si="4"/>
        <v>1541370.7360610848</v>
      </c>
      <c r="DL57" s="276"/>
    </row>
    <row r="58" spans="1:116" ht="15.95" customHeight="1" x14ac:dyDescent="0.3">
      <c r="A58" s="172"/>
      <c r="B58" s="172"/>
      <c r="C58" s="172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4"/>
      <c r="BZ58" s="172"/>
      <c r="CA58" s="172"/>
      <c r="CH58" s="626"/>
      <c r="CI58" s="628"/>
      <c r="CL58" s="49">
        <v>53</v>
      </c>
      <c r="CM58" s="50">
        <f t="shared" si="1"/>
        <v>1859558</v>
      </c>
      <c r="CO58" s="529" t="s">
        <v>628</v>
      </c>
      <c r="CP58" s="529" t="s">
        <v>625</v>
      </c>
      <c r="CQ58" s="529" t="s">
        <v>675</v>
      </c>
      <c r="CR58" s="529" t="s">
        <v>676</v>
      </c>
      <c r="CW58" s="68"/>
      <c r="CX58" s="69" t="str">
        <f>견적관리자용!$S$10</f>
        <v>승용SUV(7~10인)</v>
      </c>
      <c r="CY58" s="70">
        <v>0</v>
      </c>
      <c r="CZ58" s="71">
        <v>0.04</v>
      </c>
      <c r="DA58" s="71">
        <v>0.04</v>
      </c>
      <c r="DB58" s="71">
        <v>0.04</v>
      </c>
      <c r="DC58" s="71">
        <v>0.05</v>
      </c>
      <c r="DD58" s="72">
        <f t="shared" si="6"/>
        <v>0.05</v>
      </c>
      <c r="DE58" s="73">
        <v>55</v>
      </c>
      <c r="DF58" s="72">
        <f t="shared" si="5"/>
        <v>0.05</v>
      </c>
      <c r="DG58" s="166"/>
      <c r="DI58" s="274">
        <v>48</v>
      </c>
      <c r="DJ58" s="275">
        <f t="shared" si="7"/>
        <v>1859600</v>
      </c>
      <c r="DK58" s="275">
        <f t="shared" si="4"/>
        <v>1535227.7163957295</v>
      </c>
      <c r="DL58" s="276"/>
    </row>
    <row r="59" spans="1:116" ht="15.95" customHeight="1" x14ac:dyDescent="0.3">
      <c r="A59" s="172"/>
      <c r="B59" s="172"/>
      <c r="C59" s="172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4"/>
      <c r="BZ59" s="172"/>
      <c r="CA59" s="172"/>
      <c r="CH59" s="626" t="s">
        <v>155</v>
      </c>
      <c r="CI59" s="629">
        <f>ROUNDUP($CI$56/$CI$23,4)</f>
        <v>0</v>
      </c>
      <c r="CL59" s="49">
        <v>54</v>
      </c>
      <c r="CM59" s="50">
        <f t="shared" si="1"/>
        <v>1859558</v>
      </c>
      <c r="CO59" s="539" t="s">
        <v>1203</v>
      </c>
      <c r="CP59" s="536">
        <f>IFERROR(INDEX(잔가map!$C$3:$AB$7,MATCH(운용리스!$CI$24,잔가map!$B$3:$B$7,0),MATCH(운용리스!$CP$57,잔가map!$C$2:$AB$2,0)),0%)</f>
        <v>0.5</v>
      </c>
      <c r="CQ59" s="645">
        <f>IF($BD$26=35000,$CP$59-2%,IF($BD$26=30000,$CP$59-4%,IF($BD$26=20000,$CP$59,IF($BD$26=10000,$CP$59+0.5%,0%))))</f>
        <v>0.5</v>
      </c>
      <c r="CR59" s="648">
        <f>IF(AND($CI$8="Y"),$CQ$59+8%,$CQ$59)+0.000000001%</f>
        <v>0.58000000000999996</v>
      </c>
      <c r="CS59" s="556" t="s">
        <v>1204</v>
      </c>
      <c r="CW59" s="68"/>
      <c r="CX59" s="69" t="str">
        <f>견적관리자용!$S$11</f>
        <v>승합(11~15인)</v>
      </c>
      <c r="CY59" s="70">
        <v>0</v>
      </c>
      <c r="CZ59" s="125">
        <v>0.03</v>
      </c>
      <c r="DA59" s="125">
        <v>0.03</v>
      </c>
      <c r="DB59" s="125">
        <v>0.03</v>
      </c>
      <c r="DC59" s="125">
        <v>0.03</v>
      </c>
      <c r="DD59" s="72">
        <f t="shared" si="6"/>
        <v>0.03</v>
      </c>
      <c r="DE59" s="73">
        <v>56</v>
      </c>
      <c r="DF59" s="72">
        <f t="shared" si="5"/>
        <v>0</v>
      </c>
      <c r="DG59" s="166"/>
      <c r="DI59" s="274">
        <v>49</v>
      </c>
      <c r="DJ59" s="275">
        <f t="shared" si="7"/>
        <v>1859600</v>
      </c>
      <c r="DK59" s="275">
        <f t="shared" si="4"/>
        <v>1529109.1792832909</v>
      </c>
      <c r="DL59" s="276"/>
    </row>
    <row r="60" spans="1:116" ht="15.95" customHeight="1" x14ac:dyDescent="0.3">
      <c r="A60" s="172"/>
      <c r="B60" s="172"/>
      <c r="C60" s="172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4"/>
      <c r="BZ60" s="172"/>
      <c r="CA60" s="172"/>
      <c r="CH60" s="626" t="s">
        <v>150</v>
      </c>
      <c r="CI60" s="629">
        <f>ROUNDUP($CI$57/$CI$23,4)</f>
        <v>0</v>
      </c>
      <c r="CL60" s="49">
        <v>55</v>
      </c>
      <c r="CM60" s="50">
        <f t="shared" si="1"/>
        <v>1859558</v>
      </c>
      <c r="CO60" s="540" t="s">
        <v>1351</v>
      </c>
      <c r="CP60" s="537">
        <f>IFERROR(INDEX(잔가map!$C$14:$AR$18,MATCH(운용리스!$CI$24,잔가map!$B$14:$B$18,0),MATCH(운용리스!$CP$56,잔가map!$C$13:$AR$13,0)),0%)</f>
        <v>0</v>
      </c>
      <c r="CQ60" s="646">
        <f>IF($BD$26=35000,$CP$60-2%,IF($BD$26=30000,$CP$60-9%,IF($BD$26=20000,$CP$60,IF($BD$26=10000,$CP$60+1%,0%))))</f>
        <v>0</v>
      </c>
      <c r="CR60" s="649">
        <f>IF(AND($CI$8="Y"),$CQ$60+8%,$CQ$60)+0.000000001%</f>
        <v>8.0000000010000002E-2</v>
      </c>
      <c r="CS60" s="653" t="s">
        <v>1330</v>
      </c>
      <c r="CW60" s="68"/>
      <c r="CX60" s="69" t="str">
        <f>견적관리자용!$S$12</f>
        <v>화물(1000cc 미만)</v>
      </c>
      <c r="CY60" s="70">
        <v>0</v>
      </c>
      <c r="CZ60" s="70">
        <v>0</v>
      </c>
      <c r="DA60" s="80">
        <v>0</v>
      </c>
      <c r="DB60" s="80">
        <v>0</v>
      </c>
      <c r="DC60" s="80">
        <v>0</v>
      </c>
      <c r="DD60" s="72">
        <f t="shared" si="6"/>
        <v>0</v>
      </c>
      <c r="DE60" s="73">
        <v>57</v>
      </c>
      <c r="DF60" s="72">
        <f t="shared" si="5"/>
        <v>0</v>
      </c>
      <c r="DG60" s="166"/>
      <c r="DI60" s="274">
        <v>50</v>
      </c>
      <c r="DJ60" s="275">
        <f t="shared" si="7"/>
        <v>1859600</v>
      </c>
      <c r="DK60" s="275">
        <f t="shared" si="4"/>
        <v>1523015.0271503548</v>
      </c>
      <c r="DL60" s="276"/>
    </row>
    <row r="61" spans="1:116" ht="15.95" customHeight="1" x14ac:dyDescent="0.3">
      <c r="A61" s="172"/>
      <c r="B61" s="172"/>
      <c r="C61" s="172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4"/>
      <c r="BZ61" s="172"/>
      <c r="CA61" s="172"/>
      <c r="CH61" s="626" t="s">
        <v>1328</v>
      </c>
      <c r="CI61" s="629">
        <f>SUM(CI59:CI60)</f>
        <v>0</v>
      </c>
      <c r="CL61" s="49">
        <v>56</v>
      </c>
      <c r="CM61" s="50">
        <f t="shared" si="1"/>
        <v>1859558</v>
      </c>
      <c r="CO61" s="541" t="s">
        <v>1359</v>
      </c>
      <c r="CP61" s="538">
        <f>IF($CI$24=12,VLOOKUP($BD$6,차량DB!$F$5:$AJ$88845,27,FALSE),IF($CI$24=24,VLOOKUP($BD$6,차량DB!$F$5:$AJ$88845,28,FALSE),IF($CI$24=36,VLOOKUP($BD$6,차량DB!$F$5:$AJ$88845,29,FALSE),IF($CI$24=48,VLOOKUP($BD$6,차량DB!$F$5:$AJ$88845,30,FALSE),IF($CI$24=60,VLOOKUP($BD$6,차량DB!$F$5:$AJ$88845,31,FALSE),0)))))</f>
        <v>0</v>
      </c>
      <c r="CQ61" s="647">
        <f>IF($BD$26=20000,$CP$61,IF($BD$26=30000,$CP$61-6%,IF($BD$26=10000,$CP$61,2%)))</f>
        <v>0</v>
      </c>
      <c r="CR61" s="647">
        <f>IF(AND($CI$8="Y"),$CQ$61+8%,$CQ$61)+0.0000001%</f>
        <v>8.0000001000000001E-2</v>
      </c>
      <c r="CS61" s="556" t="s">
        <v>718</v>
      </c>
      <c r="CW61" s="85"/>
      <c r="CX61" s="69" t="str">
        <f>견적관리자용!$S$13</f>
        <v>화물(0.6톤 미만)</v>
      </c>
      <c r="CY61" s="70">
        <v>0</v>
      </c>
      <c r="CZ61" s="125">
        <v>1.4999999999999999E-2</v>
      </c>
      <c r="DA61" s="125">
        <v>1.4999999999999999E-2</v>
      </c>
      <c r="DB61" s="125">
        <v>1.4999999999999999E-2</v>
      </c>
      <c r="DC61" s="125">
        <v>1.4999999999999999E-2</v>
      </c>
      <c r="DD61" s="72">
        <f t="shared" si="6"/>
        <v>1.4999999999999999E-2</v>
      </c>
      <c r="DE61" s="73">
        <v>58</v>
      </c>
      <c r="DF61" s="72">
        <f t="shared" si="5"/>
        <v>0</v>
      </c>
      <c r="DG61" s="166"/>
      <c r="DI61" s="274">
        <v>51</v>
      </c>
      <c r="DJ61" s="275">
        <f t="shared" si="7"/>
        <v>1859600</v>
      </c>
      <c r="DK61" s="275">
        <f t="shared" si="4"/>
        <v>1516945.1628123794</v>
      </c>
      <c r="DL61" s="276"/>
    </row>
    <row r="62" spans="1:116" ht="15.95" customHeight="1" x14ac:dyDescent="0.3">
      <c r="A62" s="172"/>
      <c r="B62" s="172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  <c r="AP62" s="173"/>
      <c r="AQ62" s="173"/>
      <c r="AR62" s="173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4"/>
      <c r="BZ62" s="172"/>
      <c r="CA62" s="172"/>
      <c r="CG62" s="630">
        <v>0</v>
      </c>
      <c r="CH62" s="35" t="s">
        <v>1327</v>
      </c>
      <c r="CI62" s="57">
        <f>ROUNDDOWN($CP$8*$CI$61,0)</f>
        <v>0</v>
      </c>
      <c r="CL62" s="49">
        <v>57</v>
      </c>
      <c r="CM62" s="50">
        <f t="shared" si="1"/>
        <v>1859558</v>
      </c>
      <c r="CO62" s="542" t="str">
        <f>VLOOKUP(CR62,CR59:CS61,2,0)</f>
        <v>에스앤케이모터스</v>
      </c>
      <c r="CP62" s="555">
        <f>VLOOKUP($CO$62,$CO$59:$CP$61,2,0)</f>
        <v>0.5</v>
      </c>
      <c r="CQ62" s="555">
        <f>VLOOKUP($CO$62,$CO$59:$CQ$61,3,0)</f>
        <v>0.5</v>
      </c>
      <c r="CR62" s="543">
        <f>MAX($CR$59:$CR$61)</f>
        <v>0.58000000000999996</v>
      </c>
      <c r="CW62" s="85"/>
      <c r="CX62" s="69" t="str">
        <f>견적관리자용!$S$14</f>
        <v>화물(0.6~1톤 미만)</v>
      </c>
      <c r="CY62" s="70">
        <v>0</v>
      </c>
      <c r="CZ62" s="125">
        <v>0.03</v>
      </c>
      <c r="DA62" s="125">
        <v>0.03</v>
      </c>
      <c r="DB62" s="125">
        <v>0.03</v>
      </c>
      <c r="DC62" s="125">
        <v>0.03</v>
      </c>
      <c r="DD62" s="72">
        <f t="shared" si="6"/>
        <v>0.03</v>
      </c>
      <c r="DE62" s="73">
        <v>59</v>
      </c>
      <c r="DF62" s="72">
        <f t="shared" si="5"/>
        <v>0</v>
      </c>
      <c r="DG62" s="166"/>
      <c r="DI62" s="274">
        <v>52</v>
      </c>
      <c r="DJ62" s="275">
        <f t="shared" si="7"/>
        <v>1859600</v>
      </c>
      <c r="DK62" s="275">
        <f t="shared" si="4"/>
        <v>1510899.4894721457</v>
      </c>
      <c r="DL62" s="276"/>
    </row>
    <row r="63" spans="1:116" ht="15.95" customHeight="1" x14ac:dyDescent="0.3">
      <c r="A63" s="172"/>
      <c r="B63" s="172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4"/>
      <c r="BZ63" s="172"/>
      <c r="CA63" s="172"/>
      <c r="CH63" s="66" t="s">
        <v>159</v>
      </c>
      <c r="CI63" s="41">
        <f>VLOOKUP(견적관리자용!$M$10,운용리스!$CH$64:$CI$66,2,FALSE)</f>
        <v>0</v>
      </c>
      <c r="CL63" s="49">
        <v>58</v>
      </c>
      <c r="CM63" s="50">
        <f t="shared" si="1"/>
        <v>1859558</v>
      </c>
      <c r="CW63" s="85"/>
      <c r="CX63" s="69" t="str">
        <f>견적관리자용!$S$15</f>
        <v>화물(1~2.5톤 미만)</v>
      </c>
      <c r="CY63" s="70">
        <v>0</v>
      </c>
      <c r="CZ63" s="125">
        <v>0.03</v>
      </c>
      <c r="DA63" s="125">
        <v>0.03</v>
      </c>
      <c r="DB63" s="125">
        <v>0.03</v>
      </c>
      <c r="DC63" s="125">
        <v>0.03</v>
      </c>
      <c r="DD63" s="72">
        <f t="shared" si="6"/>
        <v>0.03</v>
      </c>
      <c r="DE63" s="73">
        <v>60</v>
      </c>
      <c r="DF63" s="72">
        <f t="shared" si="5"/>
        <v>0</v>
      </c>
      <c r="DG63" s="166"/>
      <c r="DI63" s="274">
        <v>53</v>
      </c>
      <c r="DJ63" s="275">
        <f t="shared" si="7"/>
        <v>1859600</v>
      </c>
      <c r="DK63" s="275">
        <f t="shared" si="4"/>
        <v>1504877.9107182107</v>
      </c>
      <c r="DL63" s="276"/>
    </row>
    <row r="64" spans="1:116" ht="15.95" customHeight="1" x14ac:dyDescent="0.3">
      <c r="A64" s="172"/>
      <c r="B64" s="172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4"/>
      <c r="BZ64" s="172"/>
      <c r="CA64" s="172"/>
      <c r="CH64" s="89" t="s">
        <v>160</v>
      </c>
      <c r="CI64" s="50">
        <f>ROUNDDOWN($CI$23*견적관리자용!$M$11,0)</f>
        <v>0</v>
      </c>
      <c r="CL64" s="49">
        <v>59</v>
      </c>
      <c r="CM64" s="50">
        <f t="shared" si="1"/>
        <v>1859558</v>
      </c>
      <c r="CW64" s="85"/>
      <c r="CX64" s="69" t="str">
        <f>견적관리자용!$S$16</f>
        <v>화물(2.5~4.6톤 미만)</v>
      </c>
      <c r="CY64" s="70">
        <v>0</v>
      </c>
      <c r="CZ64" s="125">
        <v>0.03</v>
      </c>
      <c r="DA64" s="125">
        <v>0.03</v>
      </c>
      <c r="DB64" s="125">
        <v>0.03</v>
      </c>
      <c r="DC64" s="125">
        <v>0.03</v>
      </c>
      <c r="DD64" s="72">
        <f t="shared" si="6"/>
        <v>0.03</v>
      </c>
      <c r="DE64" s="73">
        <v>61</v>
      </c>
      <c r="DF64" s="72">
        <f t="shared" si="5"/>
        <v>0</v>
      </c>
      <c r="DG64" s="166"/>
      <c r="DI64" s="274">
        <v>54</v>
      </c>
      <c r="DJ64" s="275">
        <f t="shared" si="7"/>
        <v>1859600</v>
      </c>
      <c r="DK64" s="275">
        <f t="shared" si="4"/>
        <v>1498880.3305233747</v>
      </c>
      <c r="DL64" s="276"/>
    </row>
    <row r="65" spans="1:116" ht="15.95" customHeight="1" x14ac:dyDescent="0.3">
      <c r="A65" s="172"/>
      <c r="B65" s="172"/>
      <c r="C65" s="172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4"/>
      <c r="BZ65" s="172"/>
      <c r="CA65" s="172"/>
      <c r="CH65" s="89" t="s">
        <v>161</v>
      </c>
      <c r="CI65" s="50">
        <f>견적관리자용!$M$12</f>
        <v>0</v>
      </c>
      <c r="CL65" s="98">
        <v>60</v>
      </c>
      <c r="CM65" s="97">
        <f t="shared" si="1"/>
        <v>94427558</v>
      </c>
      <c r="CO65" s="29" t="s">
        <v>629</v>
      </c>
      <c r="CS65" s="28" t="str">
        <f>IF((VLOOKUP(BD6,차량DB!F:AL,33,0))&gt;0,"P","")</f>
        <v/>
      </c>
      <c r="CW65" s="90"/>
      <c r="CX65" s="91" t="str">
        <f>견적관리자용!$S$17</f>
        <v>화물(4.6톤 이상)</v>
      </c>
      <c r="CY65" s="92">
        <v>0</v>
      </c>
      <c r="CZ65" s="180">
        <v>0.03</v>
      </c>
      <c r="DA65" s="180">
        <v>0.03</v>
      </c>
      <c r="DB65" s="180">
        <v>0.03</v>
      </c>
      <c r="DC65" s="180">
        <v>0.03</v>
      </c>
      <c r="DD65" s="93">
        <f t="shared" si="6"/>
        <v>0.03</v>
      </c>
      <c r="DE65" s="94">
        <v>62</v>
      </c>
      <c r="DF65" s="93">
        <f t="shared" si="5"/>
        <v>0</v>
      </c>
      <c r="DG65" s="181"/>
      <c r="DI65" s="274">
        <v>55</v>
      </c>
      <c r="DJ65" s="275">
        <f t="shared" si="7"/>
        <v>1859600</v>
      </c>
      <c r="DK65" s="275">
        <f t="shared" si="4"/>
        <v>1492906.653243145</v>
      </c>
      <c r="DL65" s="276"/>
    </row>
    <row r="66" spans="1:116" ht="15.95" customHeight="1" x14ac:dyDescent="0.3">
      <c r="A66" s="172"/>
      <c r="B66" s="172"/>
      <c r="C66" s="172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4"/>
      <c r="BZ66" s="172"/>
      <c r="CA66" s="172"/>
      <c r="CH66" s="185" t="s">
        <v>162</v>
      </c>
      <c r="CI66" s="97">
        <f>$CI$64+$CI$65</f>
        <v>0</v>
      </c>
      <c r="CO66" s="528" t="s">
        <v>627</v>
      </c>
      <c r="CP66" s="528" t="str">
        <f>CO62</f>
        <v>에스앤케이모터스</v>
      </c>
      <c r="CQ66" s="528" t="s">
        <v>1356</v>
      </c>
      <c r="CR66" s="82" t="s">
        <v>1355</v>
      </c>
      <c r="CS66" s="528" t="s">
        <v>717</v>
      </c>
      <c r="CW66" s="68" t="s">
        <v>102</v>
      </c>
      <c r="CX66" s="124" t="str">
        <f>견적관리자용!$S$8</f>
        <v>승용일반</v>
      </c>
      <c r="CY66" s="70">
        <v>0</v>
      </c>
      <c r="CZ66" s="125">
        <v>0.06</v>
      </c>
      <c r="DA66" s="125">
        <v>0.06</v>
      </c>
      <c r="DB66" s="125">
        <v>0.08</v>
      </c>
      <c r="DC66" s="125">
        <v>0.12</v>
      </c>
      <c r="DD66" s="72">
        <f t="shared" si="6"/>
        <v>0.12</v>
      </c>
      <c r="DE66" s="73">
        <v>63</v>
      </c>
      <c r="DF66" s="72">
        <f t="shared" ref="DF66:DF95" si="8">IF($CI$5=CX66,DD66,0)</f>
        <v>0</v>
      </c>
      <c r="DG66" s="166">
        <f>SUM(DF66:DF75)</f>
        <v>0.12</v>
      </c>
      <c r="DI66" s="274">
        <v>56</v>
      </c>
      <c r="DJ66" s="275">
        <f t="shared" si="7"/>
        <v>1859600</v>
      </c>
      <c r="DK66" s="275">
        <f t="shared" si="4"/>
        <v>1486956.7836142147</v>
      </c>
      <c r="DL66" s="276"/>
    </row>
    <row r="67" spans="1:116" ht="15.95" customHeight="1" x14ac:dyDescent="0.3">
      <c r="A67" s="172"/>
      <c r="B67" s="172"/>
      <c r="C67" s="172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4"/>
      <c r="BZ67" s="172"/>
      <c r="CA67" s="172"/>
      <c r="CH67" s="66" t="s">
        <v>163</v>
      </c>
      <c r="CI67" s="41">
        <f>VLOOKUP(견적관리자용!$N$10,운용리스!$CH$68:$CI$70,2,FALSE)</f>
        <v>0</v>
      </c>
      <c r="CO67" s="533">
        <v>0</v>
      </c>
      <c r="CP67" s="530">
        <f>IF($CP$66="에스앤케이모터스",CQ67,IF($CP$66="APS",CR67,0))</f>
        <v>1.32E-2</v>
      </c>
      <c r="CQ67" s="650">
        <v>1.32E-2</v>
      </c>
      <c r="CR67" s="135">
        <v>1.0999999999999999E-2</v>
      </c>
      <c r="CS67" s="135">
        <f>IF($CS$65="P",0.8%,0%)</f>
        <v>0</v>
      </c>
      <c r="CT67" s="242"/>
      <c r="CW67" s="68" t="s">
        <v>103</v>
      </c>
      <c r="CX67" s="69" t="str">
        <f>견적관리자용!$S$9</f>
        <v>승용SUV(~5인)</v>
      </c>
      <c r="CY67" s="70">
        <v>0</v>
      </c>
      <c r="CZ67" s="71">
        <v>0.06</v>
      </c>
      <c r="DA67" s="71">
        <v>0.06</v>
      </c>
      <c r="DB67" s="71">
        <v>0.08</v>
      </c>
      <c r="DC67" s="71">
        <v>0.12</v>
      </c>
      <c r="DD67" s="72">
        <f t="shared" si="6"/>
        <v>0.12</v>
      </c>
      <c r="DE67" s="73">
        <v>64</v>
      </c>
      <c r="DF67" s="72">
        <f t="shared" si="8"/>
        <v>0</v>
      </c>
      <c r="DG67" s="166"/>
      <c r="DI67" s="274">
        <v>57</v>
      </c>
      <c r="DJ67" s="275">
        <f t="shared" si="7"/>
        <v>1859600</v>
      </c>
      <c r="DK67" s="275">
        <f t="shared" si="4"/>
        <v>1481030.6267529407</v>
      </c>
      <c r="DL67" s="276"/>
    </row>
    <row r="68" spans="1:116" ht="15.95" customHeight="1" x14ac:dyDescent="0.3">
      <c r="A68" s="172"/>
      <c r="B68" s="172"/>
      <c r="C68" s="172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4"/>
      <c r="BZ68" s="172"/>
      <c r="CA68" s="172"/>
      <c r="CH68" s="89" t="s">
        <v>160</v>
      </c>
      <c r="CI68" s="50">
        <f>ROUNDDOWN($CI$23*견적관리자용!$N$11,0)</f>
        <v>0</v>
      </c>
      <c r="CL68" s="42"/>
      <c r="CO68" s="534">
        <v>0.01</v>
      </c>
      <c r="CP68" s="531">
        <f t="shared" ref="CP68:CP75" si="9">IF($CP$66="에스앤케이모터스",CQ68,IF($CP$66="APS",CR68,0))</f>
        <v>1.21E-2</v>
      </c>
      <c r="CQ68" s="651">
        <v>1.21E-2</v>
      </c>
      <c r="CR68" s="144">
        <v>9.9000000000000008E-3</v>
      </c>
      <c r="CS68" s="144">
        <f t="shared" ref="CS68:CS75" si="10">IF($CS$65="P",0.8%,0%)</f>
        <v>0</v>
      </c>
      <c r="CT68" s="242"/>
      <c r="CW68" s="68" t="s">
        <v>104</v>
      </c>
      <c r="CX68" s="69" t="str">
        <f>견적관리자용!$S$10</f>
        <v>승용SUV(7~10인)</v>
      </c>
      <c r="CY68" s="70">
        <v>0</v>
      </c>
      <c r="CZ68" s="71">
        <v>0.06</v>
      </c>
      <c r="DA68" s="71">
        <v>0.06</v>
      </c>
      <c r="DB68" s="71">
        <v>0.08</v>
      </c>
      <c r="DC68" s="71">
        <v>0.12</v>
      </c>
      <c r="DD68" s="72">
        <f t="shared" si="6"/>
        <v>0.12</v>
      </c>
      <c r="DE68" s="73">
        <v>65</v>
      </c>
      <c r="DF68" s="72">
        <f t="shared" si="8"/>
        <v>0.12</v>
      </c>
      <c r="DG68" s="166"/>
      <c r="DI68" s="274">
        <v>58</v>
      </c>
      <c r="DJ68" s="275">
        <f t="shared" si="7"/>
        <v>1859600</v>
      </c>
      <c r="DK68" s="275">
        <f t="shared" si="4"/>
        <v>1475128.0881538328</v>
      </c>
      <c r="DL68" s="276"/>
    </row>
    <row r="69" spans="1:116" ht="15.95" customHeight="1" x14ac:dyDescent="0.3">
      <c r="A69" s="172"/>
      <c r="B69" s="172"/>
      <c r="C69" s="172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73"/>
      <c r="AR69" s="173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4"/>
      <c r="BZ69" s="172"/>
      <c r="CA69" s="172"/>
      <c r="CH69" s="89" t="s">
        <v>161</v>
      </c>
      <c r="CI69" s="50">
        <f>견적관리자용!$N$12</f>
        <v>0</v>
      </c>
      <c r="CO69" s="534">
        <v>0.02</v>
      </c>
      <c r="CP69" s="531">
        <f t="shared" si="9"/>
        <v>1.0999999999999999E-2</v>
      </c>
      <c r="CQ69" s="651">
        <v>1.0999999999999999E-2</v>
      </c>
      <c r="CR69" s="144">
        <v>7.7000000000000002E-3</v>
      </c>
      <c r="CS69" s="144">
        <f t="shared" si="10"/>
        <v>0</v>
      </c>
      <c r="CT69" s="242"/>
      <c r="CW69" s="68"/>
      <c r="CX69" s="69" t="str">
        <f>견적관리자용!$S$11</f>
        <v>승합(11~15인)</v>
      </c>
      <c r="CY69" s="70">
        <v>0</v>
      </c>
      <c r="CZ69" s="125">
        <v>0.03</v>
      </c>
      <c r="DA69" s="125">
        <v>0.03</v>
      </c>
      <c r="DB69" s="125">
        <v>0.03</v>
      </c>
      <c r="DC69" s="125">
        <v>0.03</v>
      </c>
      <c r="DD69" s="72">
        <f t="shared" si="6"/>
        <v>0.03</v>
      </c>
      <c r="DE69" s="73">
        <v>66</v>
      </c>
      <c r="DF69" s="72">
        <f t="shared" si="8"/>
        <v>0</v>
      </c>
      <c r="DG69" s="166"/>
      <c r="DI69" s="274">
        <v>59</v>
      </c>
      <c r="DJ69" s="275">
        <f t="shared" si="7"/>
        <v>1859600</v>
      </c>
      <c r="DK69" s="275">
        <f t="shared" si="4"/>
        <v>1469249.0736880442</v>
      </c>
      <c r="DL69" s="276"/>
    </row>
    <row r="70" spans="1:116" ht="15.95" customHeight="1" x14ac:dyDescent="0.3">
      <c r="A70" s="172"/>
      <c r="B70" s="172"/>
      <c r="C70" s="172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4"/>
      <c r="BZ70" s="172"/>
      <c r="CA70" s="172"/>
      <c r="CH70" s="185" t="s">
        <v>162</v>
      </c>
      <c r="CI70" s="97">
        <f>$CI$68+$CI$69</f>
        <v>0</v>
      </c>
      <c r="CO70" s="534">
        <v>0.03</v>
      </c>
      <c r="CP70" s="531">
        <f t="shared" si="9"/>
        <v>9.9000000000000008E-3</v>
      </c>
      <c r="CQ70" s="651">
        <v>9.9000000000000008E-3</v>
      </c>
      <c r="CR70" s="144">
        <v>6.6E-3</v>
      </c>
      <c r="CS70" s="144">
        <f t="shared" si="10"/>
        <v>0</v>
      </c>
      <c r="CT70" s="242"/>
      <c r="CW70" s="68"/>
      <c r="CX70" s="69" t="str">
        <f>견적관리자용!$S$12</f>
        <v>화물(1000cc 미만)</v>
      </c>
      <c r="CY70" s="70">
        <v>0</v>
      </c>
      <c r="CZ70" s="70">
        <v>0</v>
      </c>
      <c r="DA70" s="70">
        <v>0</v>
      </c>
      <c r="DB70" s="70">
        <v>0</v>
      </c>
      <c r="DC70" s="70">
        <v>0</v>
      </c>
      <c r="DD70" s="72">
        <f t="shared" ref="DD70:DD101" si="11">HLOOKUP($CI$6,$CY$4:$DC$145,DE70,TRUE)</f>
        <v>0</v>
      </c>
      <c r="DE70" s="73">
        <v>67</v>
      </c>
      <c r="DF70" s="72">
        <f t="shared" si="8"/>
        <v>0</v>
      </c>
      <c r="DG70" s="166"/>
      <c r="DI70" s="278">
        <v>60</v>
      </c>
      <c r="DJ70" s="285">
        <f t="shared" si="7"/>
        <v>94427600</v>
      </c>
      <c r="DK70" s="285">
        <f t="shared" si="4"/>
        <v>74308848.719471812</v>
      </c>
      <c r="DL70" s="279"/>
    </row>
    <row r="71" spans="1:116" ht="15.95" customHeight="1" x14ac:dyDescent="0.3">
      <c r="A71" s="172"/>
      <c r="B71" s="172"/>
      <c r="C71" s="172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4"/>
      <c r="BZ71" s="172"/>
      <c r="CA71" s="172"/>
      <c r="CH71" s="35" t="s">
        <v>164</v>
      </c>
      <c r="CI71" s="57">
        <f>IF($BD$15="당사명의",$CI$63,$CI$67)</f>
        <v>0</v>
      </c>
      <c r="CO71" s="534">
        <v>0.04</v>
      </c>
      <c r="CP71" s="531">
        <f t="shared" si="9"/>
        <v>8.8000000000000005E-3</v>
      </c>
      <c r="CQ71" s="651">
        <v>8.8000000000000005E-3</v>
      </c>
      <c r="CR71" s="144">
        <v>5.4999999999999997E-3</v>
      </c>
      <c r="CS71" s="144">
        <f t="shared" si="10"/>
        <v>0</v>
      </c>
      <c r="CT71" s="242"/>
      <c r="CW71" s="85"/>
      <c r="CX71" s="69" t="str">
        <f>견적관리자용!$S$13</f>
        <v>화물(0.6톤 미만)</v>
      </c>
      <c r="CY71" s="70">
        <v>0</v>
      </c>
      <c r="CZ71" s="125">
        <v>1.4999999999999999E-2</v>
      </c>
      <c r="DA71" s="125">
        <v>1.4999999999999999E-2</v>
      </c>
      <c r="DB71" s="125">
        <v>1.4999999999999999E-2</v>
      </c>
      <c r="DC71" s="125">
        <v>1.4999999999999999E-2</v>
      </c>
      <c r="DD71" s="72">
        <f t="shared" si="11"/>
        <v>1.4999999999999999E-2</v>
      </c>
      <c r="DE71" s="73">
        <v>68</v>
      </c>
      <c r="DF71" s="72">
        <f t="shared" si="8"/>
        <v>0</v>
      </c>
      <c r="DG71" s="166"/>
      <c r="DI71" s="269"/>
      <c r="DJ71" s="269"/>
      <c r="DK71" s="269"/>
      <c r="DL71" s="269"/>
    </row>
    <row r="72" spans="1:116" ht="15.95" customHeight="1" x14ac:dyDescent="0.3">
      <c r="A72" s="172"/>
      <c r="B72" s="172"/>
      <c r="C72" s="172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4"/>
      <c r="BZ72" s="172"/>
      <c r="CA72" s="172"/>
      <c r="CH72" s="66" t="s">
        <v>165</v>
      </c>
      <c r="CI72" s="41">
        <f>VLOOKUP(견적관리자용!$M$18,운용리스!$CH$73:$CI$75,2,FALSE)</f>
        <v>0</v>
      </c>
      <c r="CO72" s="534">
        <v>0.05</v>
      </c>
      <c r="CP72" s="531">
        <f t="shared" si="9"/>
        <v>7.7000000000000002E-3</v>
      </c>
      <c r="CQ72" s="651">
        <v>7.7000000000000002E-3</v>
      </c>
      <c r="CR72" s="144">
        <v>4.4000000000000003E-3</v>
      </c>
      <c r="CS72" s="144">
        <f t="shared" si="10"/>
        <v>0</v>
      </c>
      <c r="CT72" s="242"/>
      <c r="CW72" s="85"/>
      <c r="CX72" s="69" t="str">
        <f>견적관리자용!$S$14</f>
        <v>화물(0.6~1톤 미만)</v>
      </c>
      <c r="CY72" s="70">
        <v>0</v>
      </c>
      <c r="CZ72" s="125">
        <v>0.03</v>
      </c>
      <c r="DA72" s="125">
        <v>0.03</v>
      </c>
      <c r="DB72" s="125">
        <v>0.03</v>
      </c>
      <c r="DC72" s="125">
        <v>0.03</v>
      </c>
      <c r="DD72" s="72">
        <f t="shared" si="11"/>
        <v>0.03</v>
      </c>
      <c r="DE72" s="73">
        <v>69</v>
      </c>
      <c r="DF72" s="72">
        <f t="shared" si="8"/>
        <v>0</v>
      </c>
      <c r="DG72" s="166"/>
      <c r="DI72" s="280"/>
      <c r="DJ72" s="281"/>
      <c r="DK72" s="281"/>
      <c r="DL72" s="281"/>
    </row>
    <row r="73" spans="1:116" ht="15.95" customHeight="1" x14ac:dyDescent="0.3">
      <c r="A73" s="172"/>
      <c r="B73" s="172"/>
      <c r="C73" s="172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4"/>
      <c r="BZ73" s="172"/>
      <c r="CA73" s="172"/>
      <c r="CH73" s="89" t="s">
        <v>160</v>
      </c>
      <c r="CI73" s="50">
        <f>ROUNDDOWN($CI$23*견적관리자용!$M$19,0)</f>
        <v>0</v>
      </c>
      <c r="CL73" s="42"/>
      <c r="CO73" s="534">
        <v>0.06</v>
      </c>
      <c r="CP73" s="531">
        <f t="shared" si="9"/>
        <v>6.6E-3</v>
      </c>
      <c r="CQ73" s="651">
        <v>6.6E-3</v>
      </c>
      <c r="CR73" s="144">
        <v>2.2000000000000001E-3</v>
      </c>
      <c r="CS73" s="144">
        <f t="shared" si="10"/>
        <v>0</v>
      </c>
      <c r="CT73" s="242"/>
      <c r="CW73" s="85"/>
      <c r="CX73" s="69" t="str">
        <f>견적관리자용!$S$15</f>
        <v>화물(1~2.5톤 미만)</v>
      </c>
      <c r="CY73" s="70">
        <v>0</v>
      </c>
      <c r="CZ73" s="125">
        <v>0.03</v>
      </c>
      <c r="DA73" s="125">
        <v>0.03</v>
      </c>
      <c r="DB73" s="125">
        <v>0.03</v>
      </c>
      <c r="DC73" s="125">
        <v>0.03</v>
      </c>
      <c r="DD73" s="72">
        <f t="shared" si="11"/>
        <v>0.03</v>
      </c>
      <c r="DE73" s="73">
        <v>70</v>
      </c>
      <c r="DF73" s="72">
        <f t="shared" si="8"/>
        <v>0</v>
      </c>
      <c r="DG73" s="166"/>
      <c r="DI73" s="269"/>
      <c r="DJ73" s="269"/>
      <c r="DK73" s="269"/>
      <c r="DL73" s="269"/>
    </row>
    <row r="74" spans="1:116" ht="15.95" customHeight="1" x14ac:dyDescent="0.3">
      <c r="A74" s="172"/>
      <c r="B74" s="172"/>
      <c r="C74" s="172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4"/>
      <c r="BZ74" s="172"/>
      <c r="CA74" s="172"/>
      <c r="CH74" s="89" t="s">
        <v>161</v>
      </c>
      <c r="CI74" s="50">
        <f>견적관리자용!$M$20</f>
        <v>0</v>
      </c>
      <c r="CO74" s="534">
        <v>7.0000000000000007E-2</v>
      </c>
      <c r="CP74" s="531">
        <f t="shared" si="9"/>
        <v>5.4999999999999997E-3</v>
      </c>
      <c r="CQ74" s="651">
        <v>5.4999999999999997E-3</v>
      </c>
      <c r="CR74" s="144">
        <v>0</v>
      </c>
      <c r="CS74" s="144">
        <f t="shared" si="10"/>
        <v>0</v>
      </c>
      <c r="CT74" s="242"/>
      <c r="CW74" s="85"/>
      <c r="CX74" s="69" t="str">
        <f>견적관리자용!$S$16</f>
        <v>화물(2.5~4.6톤 미만)</v>
      </c>
      <c r="CY74" s="70">
        <v>0</v>
      </c>
      <c r="CZ74" s="125">
        <v>0.03</v>
      </c>
      <c r="DA74" s="125">
        <v>0.03</v>
      </c>
      <c r="DB74" s="125">
        <v>0.03</v>
      </c>
      <c r="DC74" s="125">
        <v>0.03</v>
      </c>
      <c r="DD74" s="72">
        <f t="shared" si="11"/>
        <v>0.03</v>
      </c>
      <c r="DE74" s="73">
        <v>71</v>
      </c>
      <c r="DF74" s="72">
        <f t="shared" si="8"/>
        <v>0</v>
      </c>
      <c r="DG74" s="166"/>
      <c r="DI74" s="269"/>
      <c r="DJ74" s="269"/>
      <c r="DK74" s="269"/>
      <c r="DL74" s="269"/>
    </row>
    <row r="75" spans="1:116" ht="15.95" customHeight="1" x14ac:dyDescent="0.3">
      <c r="A75" s="172"/>
      <c r="B75" s="172"/>
      <c r="C75" s="172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4"/>
      <c r="BZ75" s="172"/>
      <c r="CA75" s="172"/>
      <c r="CH75" s="185" t="s">
        <v>162</v>
      </c>
      <c r="CI75" s="97">
        <f>$CI$73+$CI$74</f>
        <v>0</v>
      </c>
      <c r="CO75" s="535">
        <v>0.08</v>
      </c>
      <c r="CP75" s="532">
        <f t="shared" si="9"/>
        <v>0</v>
      </c>
      <c r="CQ75" s="652">
        <v>0</v>
      </c>
      <c r="CR75" s="140">
        <v>0</v>
      </c>
      <c r="CS75" s="140">
        <f t="shared" si="10"/>
        <v>0</v>
      </c>
      <c r="CW75" s="85"/>
      <c r="CX75" s="69" t="str">
        <f>견적관리자용!$S$17</f>
        <v>화물(4.6톤 이상)</v>
      </c>
      <c r="CY75" s="70">
        <v>0</v>
      </c>
      <c r="CZ75" s="125">
        <v>0.03</v>
      </c>
      <c r="DA75" s="125">
        <v>0.03</v>
      </c>
      <c r="DB75" s="125">
        <v>0.03</v>
      </c>
      <c r="DC75" s="125">
        <v>0.03</v>
      </c>
      <c r="DD75" s="72">
        <f t="shared" si="11"/>
        <v>0.03</v>
      </c>
      <c r="DE75" s="73">
        <v>72</v>
      </c>
      <c r="DF75" s="72">
        <f t="shared" si="8"/>
        <v>0</v>
      </c>
      <c r="DG75" s="166"/>
      <c r="DI75" s="269"/>
      <c r="DJ75" s="269"/>
      <c r="DK75" s="269"/>
      <c r="DL75" s="269"/>
    </row>
    <row r="76" spans="1:116" ht="15.95" customHeight="1" x14ac:dyDescent="0.3">
      <c r="A76" s="172"/>
      <c r="B76" s="172"/>
      <c r="C76" s="172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4"/>
      <c r="BZ76" s="172"/>
      <c r="CA76" s="172"/>
      <c r="CH76" s="66" t="s">
        <v>166</v>
      </c>
      <c r="CI76" s="41">
        <f>VLOOKUP(견적관리자용!$N$18,운용리스!$CH$77:$CI$79,2,FALSE)</f>
        <v>0</v>
      </c>
      <c r="CO76" s="26"/>
      <c r="CP76" s="26"/>
      <c r="CQ76" s="26"/>
      <c r="CR76" s="26"/>
      <c r="CW76" s="58" t="s">
        <v>98</v>
      </c>
      <c r="CX76" s="59" t="str">
        <f>견적관리자용!$S$8</f>
        <v>승용일반</v>
      </c>
      <c r="CY76" s="60">
        <v>0</v>
      </c>
      <c r="CZ76" s="61">
        <v>0.03</v>
      </c>
      <c r="DA76" s="61">
        <v>0.03</v>
      </c>
      <c r="DB76" s="61">
        <v>0.04</v>
      </c>
      <c r="DC76" s="61">
        <v>0.05</v>
      </c>
      <c r="DD76" s="62">
        <f t="shared" si="11"/>
        <v>0.05</v>
      </c>
      <c r="DE76" s="63">
        <v>73</v>
      </c>
      <c r="DF76" s="62">
        <f t="shared" si="8"/>
        <v>0</v>
      </c>
      <c r="DG76" s="163">
        <f>SUM(DF76:DF85)</f>
        <v>390000</v>
      </c>
      <c r="DI76" s="269"/>
      <c r="DJ76" s="269"/>
      <c r="DK76" s="269"/>
      <c r="DL76" s="269"/>
    </row>
    <row r="77" spans="1:116" ht="15.95" customHeight="1" x14ac:dyDescent="0.3">
      <c r="A77" s="172"/>
      <c r="B77" s="172"/>
      <c r="C77" s="172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4"/>
      <c r="BZ77" s="172"/>
      <c r="CA77" s="172"/>
      <c r="CH77" s="89" t="s">
        <v>160</v>
      </c>
      <c r="CI77" s="50">
        <f>ROUNDDOWN($CI$23*견적관리자용!$N$19,0)</f>
        <v>0</v>
      </c>
      <c r="CO77" s="45" t="s">
        <v>630</v>
      </c>
      <c r="CP77" s="45" t="str">
        <f>IF(CO62=CO60,ROUND(CI55*0.25,0),"")</f>
        <v/>
      </c>
      <c r="CQ77" s="26"/>
      <c r="CR77" s="26"/>
      <c r="CW77" s="68"/>
      <c r="CX77" s="69" t="str">
        <f>견적관리자용!$S$9</f>
        <v>승용SUV(~5인)</v>
      </c>
      <c r="CY77" s="70">
        <v>0</v>
      </c>
      <c r="CZ77" s="71">
        <v>0.04</v>
      </c>
      <c r="DA77" s="71">
        <v>0.04</v>
      </c>
      <c r="DB77" s="71">
        <v>0.04</v>
      </c>
      <c r="DC77" s="71">
        <v>0.04</v>
      </c>
      <c r="DD77" s="72">
        <f t="shared" si="11"/>
        <v>0.04</v>
      </c>
      <c r="DE77" s="73">
        <v>74</v>
      </c>
      <c r="DF77" s="72">
        <f t="shared" si="8"/>
        <v>0</v>
      </c>
      <c r="DG77" s="166"/>
    </row>
    <row r="78" spans="1:116" ht="15.95" customHeight="1" x14ac:dyDescent="0.3">
      <c r="A78" s="172"/>
      <c r="B78" s="172"/>
      <c r="C78" s="172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4"/>
      <c r="BZ78" s="172"/>
      <c r="CA78" s="172"/>
      <c r="CH78" s="89" t="s">
        <v>161</v>
      </c>
      <c r="CI78" s="50">
        <f>견적관리자용!$N$20</f>
        <v>0</v>
      </c>
      <c r="CO78" s="45"/>
      <c r="CP78" s="45" t="str">
        <f>IF(CO62=CO60,CI55-ROUND(CI55*0.25,0),"")</f>
        <v/>
      </c>
      <c r="CQ78" s="26"/>
      <c r="CR78" s="26"/>
      <c r="CW78" s="68"/>
      <c r="CX78" s="69" t="str">
        <f>견적관리자용!$S$10</f>
        <v>승용SUV(7~10인)</v>
      </c>
      <c r="CY78" s="70">
        <v>0</v>
      </c>
      <c r="CZ78" s="70">
        <v>390000</v>
      </c>
      <c r="DA78" s="80">
        <v>390000</v>
      </c>
      <c r="DB78" s="80">
        <v>390000</v>
      </c>
      <c r="DC78" s="80">
        <v>390000</v>
      </c>
      <c r="DD78" s="72">
        <f t="shared" si="11"/>
        <v>390000</v>
      </c>
      <c r="DE78" s="73">
        <v>75</v>
      </c>
      <c r="DF78" s="72">
        <f t="shared" si="8"/>
        <v>390000</v>
      </c>
      <c r="DG78" s="166"/>
    </row>
    <row r="79" spans="1:116" ht="15.95" customHeight="1" x14ac:dyDescent="0.3">
      <c r="A79" s="172"/>
      <c r="B79" s="172"/>
      <c r="C79" s="172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4"/>
      <c r="BZ79" s="172"/>
      <c r="CA79" s="172"/>
      <c r="CH79" s="185" t="s">
        <v>162</v>
      </c>
      <c r="CI79" s="97">
        <f>$CI$77+$CI$78</f>
        <v>0</v>
      </c>
      <c r="CO79" s="26"/>
      <c r="CP79" s="26"/>
      <c r="CQ79" s="26"/>
      <c r="CR79" s="26"/>
      <c r="CW79" s="68"/>
      <c r="CX79" s="69" t="str">
        <f>견적관리자용!$S$11</f>
        <v>승합(11~15인)</v>
      </c>
      <c r="CY79" s="70">
        <v>0</v>
      </c>
      <c r="CZ79" s="125">
        <v>1.4999999999999999E-2</v>
      </c>
      <c r="DA79" s="125">
        <v>1.4999999999999999E-2</v>
      </c>
      <c r="DB79" s="125">
        <v>1.4999999999999999E-2</v>
      </c>
      <c r="DC79" s="125">
        <v>1.4999999999999999E-2</v>
      </c>
      <c r="DD79" s="72">
        <f t="shared" si="11"/>
        <v>1.4999999999999999E-2</v>
      </c>
      <c r="DE79" s="73">
        <v>76</v>
      </c>
      <c r="DF79" s="72">
        <f t="shared" si="8"/>
        <v>0</v>
      </c>
      <c r="DG79" s="166"/>
    </row>
    <row r="80" spans="1:116" ht="15.95" customHeight="1" x14ac:dyDescent="0.3">
      <c r="A80" s="172"/>
      <c r="B80" s="172"/>
      <c r="C80" s="172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4"/>
      <c r="BZ80" s="172"/>
      <c r="CA80" s="172"/>
      <c r="CH80" s="35" t="s">
        <v>167</v>
      </c>
      <c r="CI80" s="57">
        <f>IF($BD$15="당사명의",$CI$72,$CI$76)</f>
        <v>0</v>
      </c>
      <c r="CO80" s="26"/>
      <c r="CP80" s="26"/>
      <c r="CQ80" s="26"/>
      <c r="CR80" s="26"/>
      <c r="CW80" s="68"/>
      <c r="CX80" s="69" t="str">
        <f>견적관리자용!$S$12</f>
        <v>화물(1000cc 미만)</v>
      </c>
      <c r="CY80" s="70">
        <v>0</v>
      </c>
      <c r="CZ80" s="70">
        <v>0</v>
      </c>
      <c r="DA80" s="80">
        <v>0</v>
      </c>
      <c r="DB80" s="80">
        <v>0</v>
      </c>
      <c r="DC80" s="80">
        <v>0</v>
      </c>
      <c r="DD80" s="72">
        <f t="shared" si="11"/>
        <v>0</v>
      </c>
      <c r="DE80" s="73">
        <v>77</v>
      </c>
      <c r="DF80" s="72">
        <f t="shared" si="8"/>
        <v>0</v>
      </c>
      <c r="DG80" s="166"/>
    </row>
    <row r="81" spans="1:111" ht="15.95" customHeight="1" x14ac:dyDescent="0.3">
      <c r="A81" s="172"/>
      <c r="B81" s="172"/>
      <c r="C81" s="172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4"/>
      <c r="BZ81" s="172"/>
      <c r="CA81" s="172"/>
      <c r="CH81" s="35" t="s">
        <v>168</v>
      </c>
      <c r="CI81" s="187">
        <v>10000</v>
      </c>
      <c r="CO81" s="26"/>
      <c r="CP81" s="26"/>
      <c r="CQ81" s="26"/>
      <c r="CR81" s="26"/>
      <c r="CW81" s="85"/>
      <c r="CX81" s="69" t="str">
        <f>견적관리자용!$S$13</f>
        <v>화물(0.6톤 미만)</v>
      </c>
      <c r="CY81" s="70">
        <v>0</v>
      </c>
      <c r="CZ81" s="125">
        <v>1.4999999999999999E-2</v>
      </c>
      <c r="DA81" s="125">
        <v>1.4999999999999999E-2</v>
      </c>
      <c r="DB81" s="125">
        <v>1.4999999999999999E-2</v>
      </c>
      <c r="DC81" s="125">
        <v>1.4999999999999999E-2</v>
      </c>
      <c r="DD81" s="72">
        <f t="shared" si="11"/>
        <v>1.4999999999999999E-2</v>
      </c>
      <c r="DE81" s="73">
        <v>78</v>
      </c>
      <c r="DF81" s="72">
        <f t="shared" si="8"/>
        <v>0</v>
      </c>
      <c r="DG81" s="166"/>
    </row>
    <row r="82" spans="1:111" ht="15.95" customHeight="1" x14ac:dyDescent="0.3">
      <c r="A82" s="172"/>
      <c r="B82" s="172"/>
      <c r="C82" s="172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  <c r="AM82" s="173"/>
      <c r="AN82" s="173"/>
      <c r="AO82" s="173"/>
      <c r="AP82" s="173"/>
      <c r="AQ82" s="173"/>
      <c r="AR82" s="173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4"/>
      <c r="BZ82" s="172"/>
      <c r="CA82" s="172"/>
      <c r="CH82" s="66" t="s">
        <v>169</v>
      </c>
      <c r="CI82" s="184">
        <f>ROUNDUP(IF(견적관리자용!$S$26="취득원가의",견적관리자용!$T$26*운용리스!$CP$8,IF(견적관리자용!$S$26="차량가의",견적관리자용!$T$26*운용리스!$CI$9,0)),-4)</f>
        <v>169760000</v>
      </c>
      <c r="CO82" s="26"/>
      <c r="CP82" s="26"/>
      <c r="CQ82" s="26"/>
      <c r="CR82" s="26"/>
      <c r="CW82" s="85"/>
      <c r="CX82" s="69" t="str">
        <f>견적관리자용!$S$14</f>
        <v>화물(0.6~1톤 미만)</v>
      </c>
      <c r="CY82" s="70">
        <v>0</v>
      </c>
      <c r="CZ82" s="125">
        <v>1.4999999999999999E-2</v>
      </c>
      <c r="DA82" s="125">
        <v>1.4999999999999999E-2</v>
      </c>
      <c r="DB82" s="125">
        <v>1.4999999999999999E-2</v>
      </c>
      <c r="DC82" s="125">
        <v>1.4999999999999999E-2</v>
      </c>
      <c r="DD82" s="72">
        <f t="shared" si="11"/>
        <v>1.4999999999999999E-2</v>
      </c>
      <c r="DE82" s="73">
        <v>79</v>
      </c>
      <c r="DF82" s="72">
        <f t="shared" si="8"/>
        <v>0</v>
      </c>
      <c r="DG82" s="166"/>
    </row>
    <row r="83" spans="1:111" ht="15.95" customHeight="1" x14ac:dyDescent="0.3">
      <c r="A83" s="172"/>
      <c r="B83" s="172"/>
      <c r="C83" s="172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4"/>
      <c r="BZ83" s="172"/>
      <c r="CA83" s="172"/>
      <c r="CH83" s="188"/>
      <c r="CI83" s="50">
        <f>IF(CI82=0,0,ROUNDDOWN(IF($CI$82&gt;=7500000,$CI$82*0.6%,$CI$82*0.4%+15000),0))</f>
        <v>1018560</v>
      </c>
      <c r="CO83" s="26"/>
      <c r="CP83" s="26"/>
      <c r="CQ83" s="26"/>
      <c r="CR83" s="26"/>
      <c r="CW83" s="85"/>
      <c r="CX83" s="69" t="str">
        <f>견적관리자용!$S$15</f>
        <v>화물(1~2.5톤 미만)</v>
      </c>
      <c r="CY83" s="70">
        <v>0</v>
      </c>
      <c r="CZ83" s="125">
        <v>1.4999999999999999E-2</v>
      </c>
      <c r="DA83" s="125">
        <v>1.4999999999999999E-2</v>
      </c>
      <c r="DB83" s="125">
        <v>1.4999999999999999E-2</v>
      </c>
      <c r="DC83" s="125">
        <v>1.4999999999999999E-2</v>
      </c>
      <c r="DD83" s="72">
        <f t="shared" si="11"/>
        <v>1.4999999999999999E-2</v>
      </c>
      <c r="DE83" s="73">
        <v>80</v>
      </c>
      <c r="DF83" s="72">
        <f t="shared" si="8"/>
        <v>0</v>
      </c>
      <c r="DG83" s="166"/>
    </row>
    <row r="84" spans="1:111" ht="15.95" customHeight="1" x14ac:dyDescent="0.3">
      <c r="A84" s="172"/>
      <c r="B84" s="172"/>
      <c r="C84" s="172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4"/>
      <c r="BZ84" s="172"/>
      <c r="CA84" s="172"/>
      <c r="CH84" s="103" t="s">
        <v>170</v>
      </c>
      <c r="CI84" s="104">
        <f>IF($BD$15="이용자명의",$CI$83,0)</f>
        <v>0</v>
      </c>
      <c r="CO84" s="26"/>
      <c r="CP84" s="26"/>
      <c r="CQ84" s="26"/>
      <c r="CR84" s="26"/>
      <c r="CW84" s="85"/>
      <c r="CX84" s="69" t="str">
        <f>견적관리자용!$S$16</f>
        <v>화물(2.5~4.6톤 미만)</v>
      </c>
      <c r="CY84" s="70">
        <v>0</v>
      </c>
      <c r="CZ84" s="125">
        <v>1.4999999999999999E-2</v>
      </c>
      <c r="DA84" s="125">
        <v>1.4999999999999999E-2</v>
      </c>
      <c r="DB84" s="125">
        <v>1.4999999999999999E-2</v>
      </c>
      <c r="DC84" s="125">
        <v>1.4999999999999999E-2</v>
      </c>
      <c r="DD84" s="72">
        <f t="shared" si="11"/>
        <v>1.4999999999999999E-2</v>
      </c>
      <c r="DE84" s="73">
        <v>81</v>
      </c>
      <c r="DF84" s="72">
        <f t="shared" si="8"/>
        <v>0</v>
      </c>
      <c r="DG84" s="166"/>
    </row>
    <row r="85" spans="1:111" ht="15.95" customHeight="1" x14ac:dyDescent="0.3">
      <c r="A85" s="172"/>
      <c r="B85" s="172"/>
      <c r="C85" s="172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4"/>
      <c r="BZ85" s="172"/>
      <c r="CA85" s="172"/>
      <c r="CH85" s="35" t="s">
        <v>175</v>
      </c>
      <c r="CI85" s="57">
        <f>+IF($BD$35="신차보상보험(1년)",견적관리자용!$M$26,IF(운용리스!$BD$35="신차보상보험(3년)",견적관리자용!$M$27,0))</f>
        <v>0</v>
      </c>
      <c r="CO85" s="26"/>
      <c r="CP85" s="26"/>
      <c r="CQ85" s="26"/>
      <c r="CR85" s="26"/>
      <c r="CW85" s="90"/>
      <c r="CX85" s="91" t="str">
        <f>견적관리자용!$S$17</f>
        <v>화물(4.6톤 이상)</v>
      </c>
      <c r="CY85" s="92">
        <v>0</v>
      </c>
      <c r="CZ85" s="180">
        <v>1.4999999999999999E-2</v>
      </c>
      <c r="DA85" s="180">
        <v>1.4999999999999999E-2</v>
      </c>
      <c r="DB85" s="180">
        <v>1.4999999999999999E-2</v>
      </c>
      <c r="DC85" s="180">
        <v>1.4999999999999999E-2</v>
      </c>
      <c r="DD85" s="93">
        <f t="shared" si="11"/>
        <v>1.4999999999999999E-2</v>
      </c>
      <c r="DE85" s="94">
        <v>82</v>
      </c>
      <c r="DF85" s="93">
        <f t="shared" si="8"/>
        <v>0</v>
      </c>
      <c r="DG85" s="181"/>
    </row>
    <row r="86" spans="1:111" ht="15.95" customHeight="1" x14ac:dyDescent="0.3">
      <c r="A86" s="172"/>
      <c r="B86" s="172"/>
      <c r="C86" s="172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4"/>
      <c r="BZ86" s="172"/>
      <c r="CA86" s="172"/>
      <c r="CH86" s="66" t="s">
        <v>190</v>
      </c>
      <c r="CI86" s="41">
        <f>$BD$33</f>
        <v>0</v>
      </c>
      <c r="CO86" s="26"/>
      <c r="CP86" s="26"/>
      <c r="CQ86" s="26"/>
      <c r="CR86" s="26"/>
      <c r="CW86" s="68" t="s">
        <v>105</v>
      </c>
      <c r="CX86" s="124" t="str">
        <f>견적관리자용!$S$8</f>
        <v>승용일반</v>
      </c>
      <c r="CY86" s="70">
        <v>0</v>
      </c>
      <c r="CZ86" s="125">
        <v>0.06</v>
      </c>
      <c r="DA86" s="125">
        <v>0.06</v>
      </c>
      <c r="DB86" s="125">
        <v>0.08</v>
      </c>
      <c r="DC86" s="125">
        <v>0.12</v>
      </c>
      <c r="DD86" s="72">
        <f t="shared" si="11"/>
        <v>0.12</v>
      </c>
      <c r="DE86" s="73">
        <v>83</v>
      </c>
      <c r="DF86" s="72">
        <f t="shared" si="8"/>
        <v>0</v>
      </c>
      <c r="DG86" s="166">
        <f>SUM(DF86:DF95)</f>
        <v>0.12</v>
      </c>
    </row>
    <row r="87" spans="1:111" ht="15.95" customHeight="1" x14ac:dyDescent="0.3">
      <c r="A87" s="172"/>
      <c r="B87" s="172"/>
      <c r="C87" s="172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4"/>
      <c r="BZ87" s="172"/>
      <c r="CA87" s="172"/>
      <c r="CH87" s="185" t="s">
        <v>191</v>
      </c>
      <c r="CI87" s="97">
        <f>ROUNDUP($CI$86/12,-2)</f>
        <v>0</v>
      </c>
      <c r="CO87" s="26"/>
      <c r="CP87" s="26"/>
      <c r="CQ87" s="577"/>
      <c r="CR87" s="26"/>
      <c r="CW87" s="68" t="s">
        <v>106</v>
      </c>
      <c r="CX87" s="69" t="str">
        <f>견적관리자용!$S$9</f>
        <v>승용SUV(~5인)</v>
      </c>
      <c r="CY87" s="70">
        <v>0</v>
      </c>
      <c r="CZ87" s="71">
        <v>0.06</v>
      </c>
      <c r="DA87" s="71">
        <v>0.06</v>
      </c>
      <c r="DB87" s="71">
        <v>0.08</v>
      </c>
      <c r="DC87" s="71">
        <v>0.12</v>
      </c>
      <c r="DD87" s="72">
        <f t="shared" si="11"/>
        <v>0.12</v>
      </c>
      <c r="DE87" s="73">
        <v>84</v>
      </c>
      <c r="DF87" s="72">
        <f t="shared" si="8"/>
        <v>0</v>
      </c>
      <c r="DG87" s="166"/>
    </row>
    <row r="88" spans="1:111" ht="15.95" customHeight="1" x14ac:dyDescent="0.3">
      <c r="A88" s="172"/>
      <c r="B88" s="172"/>
      <c r="C88" s="172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4"/>
      <c r="BZ88" s="172"/>
      <c r="CA88" s="172"/>
      <c r="CH88" s="35" t="s">
        <v>187</v>
      </c>
      <c r="CI88" s="57">
        <f>$BD$34</f>
        <v>0</v>
      </c>
      <c r="CO88" s="26"/>
      <c r="CP88" s="26"/>
      <c r="CQ88" s="577"/>
      <c r="CR88" s="26"/>
      <c r="CW88" s="68"/>
      <c r="CX88" s="69" t="str">
        <f>견적관리자용!$S$10</f>
        <v>승용SUV(7~10인)</v>
      </c>
      <c r="CY88" s="70">
        <v>0</v>
      </c>
      <c r="CZ88" s="71">
        <v>0.06</v>
      </c>
      <c r="DA88" s="71">
        <v>0.06</v>
      </c>
      <c r="DB88" s="71">
        <v>0.08</v>
      </c>
      <c r="DC88" s="71">
        <v>0.12</v>
      </c>
      <c r="DD88" s="72">
        <f t="shared" si="11"/>
        <v>0.12</v>
      </c>
      <c r="DE88" s="73">
        <v>85</v>
      </c>
      <c r="DF88" s="72">
        <f t="shared" si="8"/>
        <v>0.12</v>
      </c>
      <c r="DG88" s="166"/>
    </row>
    <row r="89" spans="1:111" ht="15.95" customHeight="1" x14ac:dyDescent="0.3">
      <c r="A89" s="172"/>
      <c r="B89" s="172"/>
      <c r="C89" s="172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4"/>
      <c r="BZ89" s="172"/>
      <c r="CA89" s="172"/>
      <c r="CH89" s="189"/>
      <c r="CI89" s="190"/>
      <c r="CO89" s="26"/>
      <c r="CP89" s="26"/>
      <c r="CQ89" s="577"/>
      <c r="CR89" s="26"/>
      <c r="CW89" s="68"/>
      <c r="CX89" s="69" t="str">
        <f>견적관리자용!$S$11</f>
        <v>승합(11~15인)</v>
      </c>
      <c r="CY89" s="70">
        <v>0</v>
      </c>
      <c r="CZ89" s="125">
        <v>0.03</v>
      </c>
      <c r="DA89" s="125">
        <v>0.03</v>
      </c>
      <c r="DB89" s="125">
        <v>0.03</v>
      </c>
      <c r="DC89" s="125">
        <v>0.03</v>
      </c>
      <c r="DD89" s="72">
        <f t="shared" si="11"/>
        <v>0.03</v>
      </c>
      <c r="DE89" s="73">
        <v>86</v>
      </c>
      <c r="DF89" s="72">
        <f t="shared" si="8"/>
        <v>0</v>
      </c>
      <c r="DG89" s="166"/>
    </row>
    <row r="90" spans="1:111" ht="15.95" customHeight="1" x14ac:dyDescent="0.3">
      <c r="A90" s="172"/>
      <c r="B90" s="172"/>
      <c r="C90" s="172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4"/>
      <c r="BZ90" s="172"/>
      <c r="CA90" s="172"/>
      <c r="CH90" s="353" t="s">
        <v>642</v>
      </c>
      <c r="CI90" s="529">
        <f>VLOOKUP(BD6,차량DB!F:I,4,0)</f>
        <v>120900000</v>
      </c>
      <c r="CO90" s="26"/>
      <c r="CP90" s="26"/>
      <c r="CQ90" s="26"/>
      <c r="CR90" s="26"/>
      <c r="CW90" s="68"/>
      <c r="CX90" s="69" t="str">
        <f>견적관리자용!$S$12</f>
        <v>화물(1000cc 미만)</v>
      </c>
      <c r="CY90" s="70">
        <v>0</v>
      </c>
      <c r="CZ90" s="70">
        <v>0</v>
      </c>
      <c r="DA90" s="80">
        <v>0</v>
      </c>
      <c r="DB90" s="80">
        <v>0</v>
      </c>
      <c r="DC90" s="80">
        <v>0</v>
      </c>
      <c r="DD90" s="72">
        <f t="shared" si="11"/>
        <v>0</v>
      </c>
      <c r="DE90" s="73">
        <v>87</v>
      </c>
      <c r="DF90" s="72">
        <f t="shared" si="8"/>
        <v>0</v>
      </c>
      <c r="DG90" s="166"/>
    </row>
    <row r="91" spans="1:111" ht="15.95" customHeight="1" x14ac:dyDescent="0.3">
      <c r="A91" s="172"/>
      <c r="B91" s="172"/>
      <c r="C91" s="172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/>
      <c r="AR91" s="173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4"/>
      <c r="BZ91" s="172"/>
      <c r="CA91" s="172"/>
      <c r="CI91" s="28"/>
      <c r="CO91" s="26"/>
      <c r="CP91" s="26"/>
      <c r="CQ91" s="26"/>
      <c r="CR91" s="26"/>
      <c r="CW91" s="85"/>
      <c r="CX91" s="69" t="str">
        <f>견적관리자용!$S$13</f>
        <v>화물(0.6톤 미만)</v>
      </c>
      <c r="CY91" s="70">
        <v>0</v>
      </c>
      <c r="CZ91" s="125">
        <v>0.03</v>
      </c>
      <c r="DA91" s="125">
        <v>0.03</v>
      </c>
      <c r="DB91" s="125">
        <v>0.03</v>
      </c>
      <c r="DC91" s="125">
        <v>0.03</v>
      </c>
      <c r="DD91" s="72">
        <f t="shared" si="11"/>
        <v>0.03</v>
      </c>
      <c r="DE91" s="73">
        <v>88</v>
      </c>
      <c r="DF91" s="72">
        <f t="shared" si="8"/>
        <v>0</v>
      </c>
      <c r="DG91" s="166"/>
    </row>
    <row r="92" spans="1:111" ht="15.95" customHeight="1" x14ac:dyDescent="0.3">
      <c r="A92" s="172"/>
      <c r="B92" s="172"/>
      <c r="C92" s="172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  <c r="AQ92" s="173"/>
      <c r="AR92" s="173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4"/>
      <c r="BZ92" s="172"/>
      <c r="CA92" s="172"/>
      <c r="CI92" s="28"/>
      <c r="CW92" s="85"/>
      <c r="CX92" s="69" t="str">
        <f>견적관리자용!$S$14</f>
        <v>화물(0.6~1톤 미만)</v>
      </c>
      <c r="CY92" s="70">
        <v>0</v>
      </c>
      <c r="CZ92" s="125">
        <v>0.03</v>
      </c>
      <c r="DA92" s="125">
        <v>0.03</v>
      </c>
      <c r="DB92" s="125">
        <v>0.03</v>
      </c>
      <c r="DC92" s="125">
        <v>0.03</v>
      </c>
      <c r="DD92" s="72">
        <f t="shared" si="11"/>
        <v>0.03</v>
      </c>
      <c r="DE92" s="73">
        <v>89</v>
      </c>
      <c r="DF92" s="72">
        <f t="shared" si="8"/>
        <v>0</v>
      </c>
      <c r="DG92" s="166"/>
    </row>
    <row r="93" spans="1:111" ht="15.95" customHeight="1" x14ac:dyDescent="0.3">
      <c r="A93" s="172"/>
      <c r="B93" s="172"/>
      <c r="C93" s="172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  <c r="AQ93" s="173"/>
      <c r="AR93" s="173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4"/>
      <c r="BZ93" s="172"/>
      <c r="CA93" s="172"/>
      <c r="CI93" s="28"/>
      <c r="CW93" s="85"/>
      <c r="CX93" s="69" t="str">
        <f>견적관리자용!$S$15</f>
        <v>화물(1~2.5톤 미만)</v>
      </c>
      <c r="CY93" s="70">
        <v>0</v>
      </c>
      <c r="CZ93" s="125">
        <v>0.03</v>
      </c>
      <c r="DA93" s="125">
        <v>0.03</v>
      </c>
      <c r="DB93" s="125">
        <v>0.03</v>
      </c>
      <c r="DC93" s="125">
        <v>0.03</v>
      </c>
      <c r="DD93" s="72">
        <f t="shared" si="11"/>
        <v>0.03</v>
      </c>
      <c r="DE93" s="73">
        <v>90</v>
      </c>
      <c r="DF93" s="72">
        <f t="shared" si="8"/>
        <v>0</v>
      </c>
      <c r="DG93" s="166"/>
    </row>
    <row r="94" spans="1:111" ht="15.95" customHeight="1" x14ac:dyDescent="0.3">
      <c r="A94" s="172"/>
      <c r="B94" s="172"/>
      <c r="C94" s="172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  <c r="AQ94" s="173"/>
      <c r="AR94" s="173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4"/>
      <c r="BZ94" s="172"/>
      <c r="CA94" s="172"/>
      <c r="CW94" s="85"/>
      <c r="CX94" s="69" t="str">
        <f>견적관리자용!$S$16</f>
        <v>화물(2.5~4.6톤 미만)</v>
      </c>
      <c r="CY94" s="70">
        <v>0</v>
      </c>
      <c r="CZ94" s="125">
        <v>0.03</v>
      </c>
      <c r="DA94" s="125">
        <v>0.03</v>
      </c>
      <c r="DB94" s="125">
        <v>0.03</v>
      </c>
      <c r="DC94" s="125">
        <v>0.03</v>
      </c>
      <c r="DD94" s="72">
        <f t="shared" si="11"/>
        <v>0.03</v>
      </c>
      <c r="DE94" s="73">
        <v>91</v>
      </c>
      <c r="DF94" s="72">
        <f t="shared" si="8"/>
        <v>0</v>
      </c>
      <c r="DG94" s="166"/>
    </row>
    <row r="95" spans="1:111" ht="15.95" customHeight="1" x14ac:dyDescent="0.3">
      <c r="A95" s="172"/>
      <c r="B95" s="172"/>
      <c r="C95" s="172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4"/>
      <c r="BZ95" s="172"/>
      <c r="CA95" s="172"/>
      <c r="CW95" s="85"/>
      <c r="CX95" s="69" t="str">
        <f>견적관리자용!$S$17</f>
        <v>화물(4.6톤 이상)</v>
      </c>
      <c r="CY95" s="70">
        <v>0</v>
      </c>
      <c r="CZ95" s="180">
        <v>0.03</v>
      </c>
      <c r="DA95" s="180">
        <v>0.03</v>
      </c>
      <c r="DB95" s="180">
        <v>0.03</v>
      </c>
      <c r="DC95" s="180">
        <v>0.03</v>
      </c>
      <c r="DD95" s="72">
        <f t="shared" si="11"/>
        <v>0.03</v>
      </c>
      <c r="DE95" s="73">
        <v>92</v>
      </c>
      <c r="DF95" s="72">
        <f t="shared" si="8"/>
        <v>0</v>
      </c>
      <c r="DG95" s="166"/>
    </row>
    <row r="96" spans="1:111" ht="15.95" customHeight="1" x14ac:dyDescent="0.3">
      <c r="A96" s="172"/>
      <c r="B96" s="172"/>
      <c r="C96" s="172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4"/>
      <c r="BZ96" s="172"/>
      <c r="CA96" s="172"/>
      <c r="CW96" s="58" t="s">
        <v>107</v>
      </c>
      <c r="CX96" s="59" t="str">
        <f>견적관리자용!$S$8</f>
        <v>승용일반</v>
      </c>
      <c r="CY96" s="60">
        <v>0</v>
      </c>
      <c r="CZ96" s="125">
        <f>IF($CI$9&gt;50000000,6%,0%)</f>
        <v>0.06</v>
      </c>
      <c r="DA96" s="125">
        <f>IF($CI$9&gt;50000000,6%,0%)</f>
        <v>0.06</v>
      </c>
      <c r="DB96" s="125">
        <f>IF($CI$9&gt;50000000,8%,0%)</f>
        <v>0.08</v>
      </c>
      <c r="DC96" s="125">
        <v>0.12</v>
      </c>
      <c r="DD96" s="62">
        <f t="shared" si="11"/>
        <v>0.12</v>
      </c>
      <c r="DE96" s="63">
        <v>93</v>
      </c>
      <c r="DF96" s="62">
        <f t="shared" ref="DF96:DF145" si="12">IF($CI$5=CX96,DD96,0)</f>
        <v>0</v>
      </c>
      <c r="DG96" s="163">
        <f>SUM(DF96:DF105)</f>
        <v>0.12</v>
      </c>
    </row>
    <row r="97" spans="1:111" ht="15.95" customHeight="1" x14ac:dyDescent="0.3">
      <c r="A97" s="172"/>
      <c r="B97" s="172"/>
      <c r="C97" s="172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4"/>
      <c r="BZ97" s="172"/>
      <c r="CA97" s="172"/>
      <c r="CW97" s="68"/>
      <c r="CX97" s="69" t="str">
        <f>견적관리자용!$S$9</f>
        <v>승용SUV(~5인)</v>
      </c>
      <c r="CY97" s="70">
        <v>0</v>
      </c>
      <c r="CZ97" s="71">
        <f>IF($CI$9&gt;50000000,6%,0%)</f>
        <v>0.06</v>
      </c>
      <c r="DA97" s="71">
        <f>IF($CI$9&gt;50000000,6%,0%)</f>
        <v>0.06</v>
      </c>
      <c r="DB97" s="71">
        <f>IF($CI$9&gt;50000000,8%,0%)</f>
        <v>0.08</v>
      </c>
      <c r="DC97" s="71">
        <v>0.12</v>
      </c>
      <c r="DD97" s="72">
        <f t="shared" si="11"/>
        <v>0.12</v>
      </c>
      <c r="DE97" s="73">
        <v>94</v>
      </c>
      <c r="DF97" s="72">
        <f t="shared" si="12"/>
        <v>0</v>
      </c>
      <c r="DG97" s="166"/>
    </row>
    <row r="98" spans="1:111" ht="15.95" customHeight="1" x14ac:dyDescent="0.3">
      <c r="A98" s="172"/>
      <c r="B98" s="172"/>
      <c r="C98" s="172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4"/>
      <c r="BZ98" s="172"/>
      <c r="CA98" s="172"/>
      <c r="CW98" s="68"/>
      <c r="CX98" s="69" t="str">
        <f>견적관리자용!$S$10</f>
        <v>승용SUV(7~10인)</v>
      </c>
      <c r="CY98" s="70">
        <v>0</v>
      </c>
      <c r="CZ98" s="71">
        <v>0.06</v>
      </c>
      <c r="DA98" s="71">
        <v>0.06</v>
      </c>
      <c r="DB98" s="71">
        <v>0.08</v>
      </c>
      <c r="DC98" s="71">
        <v>0.12</v>
      </c>
      <c r="DD98" s="72">
        <f t="shared" si="11"/>
        <v>0.12</v>
      </c>
      <c r="DE98" s="73">
        <v>95</v>
      </c>
      <c r="DF98" s="72">
        <f t="shared" si="12"/>
        <v>0.12</v>
      </c>
      <c r="DG98" s="166"/>
    </row>
    <row r="99" spans="1:111" ht="15.95" customHeight="1" x14ac:dyDescent="0.3">
      <c r="A99" s="172"/>
      <c r="B99" s="172"/>
      <c r="C99" s="172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3"/>
      <c r="AR99" s="173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4"/>
      <c r="BZ99" s="172"/>
      <c r="CA99" s="172"/>
      <c r="CW99" s="68"/>
      <c r="CX99" s="69" t="str">
        <f>견적관리자용!$S$11</f>
        <v>승합(11~15인)</v>
      </c>
      <c r="CY99" s="70">
        <v>0</v>
      </c>
      <c r="CZ99" s="125">
        <v>0.03</v>
      </c>
      <c r="DA99" s="125">
        <v>0.03</v>
      </c>
      <c r="DB99" s="125">
        <v>0.03</v>
      </c>
      <c r="DC99" s="125">
        <v>0.03</v>
      </c>
      <c r="DD99" s="72">
        <f t="shared" si="11"/>
        <v>0.03</v>
      </c>
      <c r="DE99" s="73">
        <v>96</v>
      </c>
      <c r="DF99" s="72">
        <f t="shared" si="12"/>
        <v>0</v>
      </c>
      <c r="DG99" s="166"/>
    </row>
    <row r="100" spans="1:111" ht="15.95" customHeight="1" x14ac:dyDescent="0.3">
      <c r="A100" s="172"/>
      <c r="B100" s="172"/>
      <c r="C100" s="172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3"/>
      <c r="AR100" s="173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4"/>
      <c r="BZ100" s="172"/>
      <c r="CA100" s="172"/>
      <c r="CW100" s="68"/>
      <c r="CX100" s="69" t="str">
        <f>견적관리자용!$S$12</f>
        <v>화물(1000cc 미만)</v>
      </c>
      <c r="CY100" s="70">
        <v>0</v>
      </c>
      <c r="CZ100" s="70">
        <v>0</v>
      </c>
      <c r="DA100" s="70">
        <v>0</v>
      </c>
      <c r="DB100" s="70">
        <v>0</v>
      </c>
      <c r="DC100" s="70">
        <v>0</v>
      </c>
      <c r="DD100" s="72">
        <f t="shared" si="11"/>
        <v>0</v>
      </c>
      <c r="DE100" s="73">
        <v>97</v>
      </c>
      <c r="DF100" s="72">
        <f t="shared" si="12"/>
        <v>0</v>
      </c>
      <c r="DG100" s="166"/>
    </row>
    <row r="101" spans="1:111" ht="15.95" customHeight="1" x14ac:dyDescent="0.3">
      <c r="A101" s="172"/>
      <c r="B101" s="172"/>
      <c r="C101" s="172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4"/>
      <c r="BZ101" s="172"/>
      <c r="CA101" s="172"/>
      <c r="CW101" s="85"/>
      <c r="CX101" s="69" t="str">
        <f>견적관리자용!$S$13</f>
        <v>화물(0.6톤 미만)</v>
      </c>
      <c r="CY101" s="70">
        <v>0</v>
      </c>
      <c r="CZ101" s="125">
        <v>1.4999999999999999E-2</v>
      </c>
      <c r="DA101" s="125">
        <v>1.4999999999999999E-2</v>
      </c>
      <c r="DB101" s="125">
        <v>1.4999999999999999E-2</v>
      </c>
      <c r="DC101" s="125">
        <v>1.4999999999999999E-2</v>
      </c>
      <c r="DD101" s="72">
        <f t="shared" si="11"/>
        <v>1.4999999999999999E-2</v>
      </c>
      <c r="DE101" s="73">
        <v>98</v>
      </c>
      <c r="DF101" s="72">
        <f t="shared" si="12"/>
        <v>0</v>
      </c>
      <c r="DG101" s="166"/>
    </row>
    <row r="102" spans="1:111" ht="15.95" customHeight="1" x14ac:dyDescent="0.3">
      <c r="A102" s="172"/>
      <c r="B102" s="172"/>
      <c r="C102" s="172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4"/>
      <c r="BZ102" s="172"/>
      <c r="CA102" s="172"/>
      <c r="CW102" s="85"/>
      <c r="CX102" s="69" t="str">
        <f>견적관리자용!$S$14</f>
        <v>화물(0.6~1톤 미만)</v>
      </c>
      <c r="CY102" s="70">
        <v>0</v>
      </c>
      <c r="CZ102" s="125">
        <v>1.4999999999999999E-2</v>
      </c>
      <c r="DA102" s="125">
        <v>1.4999999999999999E-2</v>
      </c>
      <c r="DB102" s="125">
        <v>1.4999999999999999E-2</v>
      </c>
      <c r="DC102" s="125">
        <v>1.4999999999999999E-2</v>
      </c>
      <c r="DD102" s="72">
        <f t="shared" ref="DD102:DD133" si="13">HLOOKUP($CI$6,$CY$4:$DC$145,DE102,TRUE)</f>
        <v>1.4999999999999999E-2</v>
      </c>
      <c r="DE102" s="73">
        <v>99</v>
      </c>
      <c r="DF102" s="72">
        <f t="shared" si="12"/>
        <v>0</v>
      </c>
      <c r="DG102" s="166"/>
    </row>
    <row r="103" spans="1:111" ht="15.95" customHeight="1" x14ac:dyDescent="0.3">
      <c r="A103" s="172"/>
      <c r="B103" s="172"/>
      <c r="C103" s="172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4"/>
      <c r="BZ103" s="172"/>
      <c r="CA103" s="172"/>
      <c r="CW103" s="85"/>
      <c r="CX103" s="69" t="str">
        <f>견적관리자용!$S$15</f>
        <v>화물(1~2.5톤 미만)</v>
      </c>
      <c r="CY103" s="70">
        <v>0</v>
      </c>
      <c r="CZ103" s="125">
        <v>0.03</v>
      </c>
      <c r="DA103" s="125">
        <v>0.03</v>
      </c>
      <c r="DB103" s="125">
        <v>0.03</v>
      </c>
      <c r="DC103" s="125">
        <v>0.03</v>
      </c>
      <c r="DD103" s="72">
        <f t="shared" si="13"/>
        <v>0.03</v>
      </c>
      <c r="DE103" s="73">
        <v>100</v>
      </c>
      <c r="DF103" s="72">
        <f t="shared" si="12"/>
        <v>0</v>
      </c>
      <c r="DG103" s="166"/>
    </row>
    <row r="104" spans="1:111" ht="15.95" customHeight="1" x14ac:dyDescent="0.3">
      <c r="A104" s="172"/>
      <c r="B104" s="172"/>
      <c r="C104" s="172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4"/>
      <c r="BZ104" s="172"/>
      <c r="CA104" s="172"/>
      <c r="CW104" s="85"/>
      <c r="CX104" s="69" t="str">
        <f>견적관리자용!$S$16</f>
        <v>화물(2.5~4.6톤 미만)</v>
      </c>
      <c r="CY104" s="70">
        <v>0</v>
      </c>
      <c r="CZ104" s="125">
        <v>0.03</v>
      </c>
      <c r="DA104" s="125">
        <v>0.03</v>
      </c>
      <c r="DB104" s="125">
        <v>0.03</v>
      </c>
      <c r="DC104" s="125">
        <v>0.03</v>
      </c>
      <c r="DD104" s="72">
        <f t="shared" si="13"/>
        <v>0.03</v>
      </c>
      <c r="DE104" s="73">
        <v>101</v>
      </c>
      <c r="DF104" s="72">
        <f t="shared" si="12"/>
        <v>0</v>
      </c>
      <c r="DG104" s="166"/>
    </row>
    <row r="105" spans="1:111" ht="15.95" customHeight="1" x14ac:dyDescent="0.3">
      <c r="A105" s="172"/>
      <c r="B105" s="172"/>
      <c r="C105" s="172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4"/>
      <c r="BZ105" s="172"/>
      <c r="CA105" s="172"/>
      <c r="CW105" s="85"/>
      <c r="CX105" s="69" t="str">
        <f>견적관리자용!$S$17</f>
        <v>화물(4.6톤 이상)</v>
      </c>
      <c r="CY105" s="70">
        <v>0</v>
      </c>
      <c r="CZ105" s="125">
        <v>0.03</v>
      </c>
      <c r="DA105" s="125">
        <v>0.03</v>
      </c>
      <c r="DB105" s="125">
        <v>0.03</v>
      </c>
      <c r="DC105" s="125">
        <v>0.03</v>
      </c>
      <c r="DD105" s="72">
        <f t="shared" si="13"/>
        <v>0.03</v>
      </c>
      <c r="DE105" s="73">
        <v>102</v>
      </c>
      <c r="DF105" s="72">
        <f t="shared" si="12"/>
        <v>0</v>
      </c>
      <c r="DG105" s="166"/>
    </row>
    <row r="106" spans="1:111" ht="15.95" customHeight="1" x14ac:dyDescent="0.3">
      <c r="A106" s="172"/>
      <c r="B106" s="172"/>
      <c r="C106" s="172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4"/>
      <c r="BZ106" s="172"/>
      <c r="CA106" s="172"/>
      <c r="CW106" s="58" t="s">
        <v>108</v>
      </c>
      <c r="CX106" s="59" t="str">
        <f>견적관리자용!$S$8</f>
        <v>승용일반</v>
      </c>
      <c r="CY106" s="60">
        <v>0</v>
      </c>
      <c r="CZ106" s="61">
        <v>0.04</v>
      </c>
      <c r="DA106" s="61">
        <v>0.04</v>
      </c>
      <c r="DB106" s="61">
        <v>0.04</v>
      </c>
      <c r="DC106" s="61">
        <v>0.05</v>
      </c>
      <c r="DD106" s="62">
        <f t="shared" si="13"/>
        <v>0.05</v>
      </c>
      <c r="DE106" s="63">
        <v>103</v>
      </c>
      <c r="DF106" s="62">
        <f t="shared" si="12"/>
        <v>0</v>
      </c>
      <c r="DG106" s="163">
        <f>SUM(DF106:DF115)</f>
        <v>0.05</v>
      </c>
    </row>
    <row r="107" spans="1:111" ht="15.95" customHeight="1" x14ac:dyDescent="0.3">
      <c r="A107" s="172"/>
      <c r="B107" s="172"/>
      <c r="C107" s="172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4"/>
      <c r="BZ107" s="172"/>
      <c r="CA107" s="172"/>
      <c r="CW107" s="68"/>
      <c r="CX107" s="69" t="str">
        <f>견적관리자용!$S$9</f>
        <v>승용SUV(~5인)</v>
      </c>
      <c r="CY107" s="70">
        <v>0</v>
      </c>
      <c r="CZ107" s="71">
        <v>0.04</v>
      </c>
      <c r="DA107" s="71">
        <v>0.04</v>
      </c>
      <c r="DB107" s="71">
        <v>0.04</v>
      </c>
      <c r="DC107" s="71">
        <v>0.05</v>
      </c>
      <c r="DD107" s="72">
        <f t="shared" si="13"/>
        <v>0.05</v>
      </c>
      <c r="DE107" s="73">
        <v>104</v>
      </c>
      <c r="DF107" s="72">
        <f t="shared" si="12"/>
        <v>0</v>
      </c>
      <c r="DG107" s="166"/>
    </row>
    <row r="108" spans="1:111" ht="15.95" customHeight="1" x14ac:dyDescent="0.3">
      <c r="A108" s="172"/>
      <c r="B108" s="172"/>
      <c r="C108" s="172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4"/>
      <c r="BZ108" s="172"/>
      <c r="CA108" s="172"/>
      <c r="CW108" s="68"/>
      <c r="CX108" s="69" t="str">
        <f>견적관리자용!$S$10</f>
        <v>승용SUV(7~10인)</v>
      </c>
      <c r="CY108" s="70">
        <v>0</v>
      </c>
      <c r="CZ108" s="71">
        <v>0.04</v>
      </c>
      <c r="DA108" s="71">
        <v>0.04</v>
      </c>
      <c r="DB108" s="71">
        <v>0.04</v>
      </c>
      <c r="DC108" s="71">
        <v>0.05</v>
      </c>
      <c r="DD108" s="72">
        <f t="shared" si="13"/>
        <v>0.05</v>
      </c>
      <c r="DE108" s="73">
        <v>105</v>
      </c>
      <c r="DF108" s="72">
        <f t="shared" si="12"/>
        <v>0.05</v>
      </c>
      <c r="DG108" s="166"/>
    </row>
    <row r="109" spans="1:111" ht="15.95" customHeight="1" x14ac:dyDescent="0.3">
      <c r="A109" s="172"/>
      <c r="B109" s="172"/>
      <c r="C109" s="172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4"/>
      <c r="BZ109" s="172"/>
      <c r="CA109" s="172"/>
      <c r="CW109" s="68"/>
      <c r="CX109" s="69" t="str">
        <f>견적관리자용!$S$11</f>
        <v>승합(11~15인)</v>
      </c>
      <c r="CY109" s="70">
        <v>0</v>
      </c>
      <c r="CZ109" s="125">
        <v>0.03</v>
      </c>
      <c r="DA109" s="125">
        <v>0.03</v>
      </c>
      <c r="DB109" s="125">
        <v>0.03</v>
      </c>
      <c r="DC109" s="125">
        <v>0.03</v>
      </c>
      <c r="DD109" s="72">
        <f t="shared" si="13"/>
        <v>0.03</v>
      </c>
      <c r="DE109" s="73">
        <v>106</v>
      </c>
      <c r="DF109" s="72">
        <f t="shared" si="12"/>
        <v>0</v>
      </c>
      <c r="DG109" s="166"/>
    </row>
    <row r="110" spans="1:111" ht="15" customHeight="1" x14ac:dyDescent="0.3">
      <c r="A110" s="172"/>
      <c r="B110" s="172"/>
      <c r="C110" s="172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4"/>
      <c r="BZ110" s="172"/>
      <c r="CA110" s="172"/>
      <c r="CW110" s="68"/>
      <c r="CX110" s="69" t="str">
        <f>견적관리자용!$S$12</f>
        <v>화물(1000cc 미만)</v>
      </c>
      <c r="CY110" s="70">
        <v>0</v>
      </c>
      <c r="CZ110" s="70">
        <v>0</v>
      </c>
      <c r="DA110" s="80">
        <v>0</v>
      </c>
      <c r="DB110" s="80">
        <v>0</v>
      </c>
      <c r="DC110" s="80">
        <v>0</v>
      </c>
      <c r="DD110" s="72">
        <f t="shared" si="13"/>
        <v>0</v>
      </c>
      <c r="DE110" s="73">
        <v>107</v>
      </c>
      <c r="DF110" s="72">
        <f t="shared" si="12"/>
        <v>0</v>
      </c>
      <c r="DG110" s="166"/>
    </row>
    <row r="111" spans="1:111" ht="15" customHeight="1" x14ac:dyDescent="0.3">
      <c r="A111" s="172"/>
      <c r="B111" s="172"/>
      <c r="C111" s="172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4"/>
      <c r="BZ111" s="172"/>
      <c r="CA111" s="172"/>
      <c r="CW111" s="85"/>
      <c r="CX111" s="69" t="str">
        <f>견적관리자용!$S$13</f>
        <v>화물(0.6톤 미만)</v>
      </c>
      <c r="CY111" s="70">
        <v>0</v>
      </c>
      <c r="CZ111" s="125">
        <v>0.03</v>
      </c>
      <c r="DA111" s="125">
        <v>0.03</v>
      </c>
      <c r="DB111" s="125">
        <v>0.03</v>
      </c>
      <c r="DC111" s="125">
        <v>0.03</v>
      </c>
      <c r="DD111" s="72">
        <f t="shared" si="13"/>
        <v>0.03</v>
      </c>
      <c r="DE111" s="73">
        <v>108</v>
      </c>
      <c r="DF111" s="72">
        <f t="shared" si="12"/>
        <v>0</v>
      </c>
      <c r="DG111" s="166"/>
    </row>
    <row r="112" spans="1:111" ht="15" customHeight="1" x14ac:dyDescent="0.3">
      <c r="A112" s="172"/>
      <c r="B112" s="172"/>
      <c r="C112" s="172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4"/>
      <c r="BZ112" s="172"/>
      <c r="CA112" s="172"/>
      <c r="CW112" s="85"/>
      <c r="CX112" s="69" t="str">
        <f>견적관리자용!$S$14</f>
        <v>화물(0.6~1톤 미만)</v>
      </c>
      <c r="CY112" s="70">
        <v>0</v>
      </c>
      <c r="CZ112" s="125">
        <v>0.03</v>
      </c>
      <c r="DA112" s="125">
        <v>0.03</v>
      </c>
      <c r="DB112" s="125">
        <v>0.03</v>
      </c>
      <c r="DC112" s="125">
        <v>0.03</v>
      </c>
      <c r="DD112" s="72">
        <f t="shared" si="13"/>
        <v>0.03</v>
      </c>
      <c r="DE112" s="73">
        <v>109</v>
      </c>
      <c r="DF112" s="72">
        <f t="shared" si="12"/>
        <v>0</v>
      </c>
      <c r="DG112" s="166"/>
    </row>
    <row r="113" spans="1:111" ht="15" customHeight="1" x14ac:dyDescent="0.3">
      <c r="A113" s="172"/>
      <c r="B113" s="172"/>
      <c r="C113" s="172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4"/>
      <c r="BZ113" s="172"/>
      <c r="CA113" s="172"/>
      <c r="CW113" s="85"/>
      <c r="CX113" s="69" t="str">
        <f>견적관리자용!$S$15</f>
        <v>화물(1~2.5톤 미만)</v>
      </c>
      <c r="CY113" s="70">
        <v>0</v>
      </c>
      <c r="CZ113" s="125">
        <v>0.03</v>
      </c>
      <c r="DA113" s="125">
        <v>0.03</v>
      </c>
      <c r="DB113" s="125">
        <v>0.03</v>
      </c>
      <c r="DC113" s="125">
        <v>0.03</v>
      </c>
      <c r="DD113" s="72">
        <f t="shared" si="13"/>
        <v>0.03</v>
      </c>
      <c r="DE113" s="73">
        <v>110</v>
      </c>
      <c r="DF113" s="72">
        <f t="shared" si="12"/>
        <v>0</v>
      </c>
      <c r="DG113" s="166"/>
    </row>
    <row r="114" spans="1:111" ht="15" customHeight="1" x14ac:dyDescent="0.3">
      <c r="A114" s="172"/>
      <c r="B114" s="172"/>
      <c r="C114" s="172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4"/>
      <c r="BZ114" s="172"/>
      <c r="CA114" s="172"/>
      <c r="CW114" s="85"/>
      <c r="CX114" s="69" t="str">
        <f>견적관리자용!$S$16</f>
        <v>화물(2.5~4.6톤 미만)</v>
      </c>
      <c r="CY114" s="70">
        <v>0</v>
      </c>
      <c r="CZ114" s="125">
        <v>0.03</v>
      </c>
      <c r="DA114" s="125">
        <v>0.03</v>
      </c>
      <c r="DB114" s="125">
        <v>0.03</v>
      </c>
      <c r="DC114" s="125">
        <v>0.03</v>
      </c>
      <c r="DD114" s="72">
        <f t="shared" si="13"/>
        <v>0.03</v>
      </c>
      <c r="DE114" s="73">
        <v>111</v>
      </c>
      <c r="DF114" s="72">
        <f t="shared" si="12"/>
        <v>0</v>
      </c>
      <c r="DG114" s="166"/>
    </row>
    <row r="115" spans="1:111" ht="15" customHeight="1" x14ac:dyDescent="0.3">
      <c r="A115" s="172"/>
      <c r="B115" s="172"/>
      <c r="C115" s="172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4"/>
      <c r="BZ115" s="172"/>
      <c r="CA115" s="172"/>
      <c r="CW115" s="90"/>
      <c r="CX115" s="91" t="str">
        <f>견적관리자용!$S$17</f>
        <v>화물(4.6톤 이상)</v>
      </c>
      <c r="CY115" s="92">
        <v>0</v>
      </c>
      <c r="CZ115" s="180">
        <v>0.03</v>
      </c>
      <c r="DA115" s="180">
        <v>0.03</v>
      </c>
      <c r="DB115" s="180">
        <v>0.03</v>
      </c>
      <c r="DC115" s="180">
        <v>0.03</v>
      </c>
      <c r="DD115" s="93">
        <f t="shared" si="13"/>
        <v>0.03</v>
      </c>
      <c r="DE115" s="94">
        <v>112</v>
      </c>
      <c r="DF115" s="93">
        <f t="shared" si="12"/>
        <v>0</v>
      </c>
      <c r="DG115" s="181"/>
    </row>
    <row r="116" spans="1:111" ht="15" customHeight="1" x14ac:dyDescent="0.3">
      <c r="A116" s="172"/>
      <c r="B116" s="172"/>
      <c r="C116" s="172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4"/>
      <c r="BZ116" s="172"/>
      <c r="CA116" s="172"/>
      <c r="CW116" s="58" t="s">
        <v>109</v>
      </c>
      <c r="CX116" s="59" t="str">
        <f>견적관리자용!$S$8</f>
        <v>승용일반</v>
      </c>
      <c r="CY116" s="60">
        <v>0</v>
      </c>
      <c r="CZ116" s="61">
        <v>0.06</v>
      </c>
      <c r="DA116" s="61">
        <v>0.06</v>
      </c>
      <c r="DB116" s="61">
        <v>0.08</v>
      </c>
      <c r="DC116" s="61">
        <v>0.12</v>
      </c>
      <c r="DD116" s="62">
        <f t="shared" si="13"/>
        <v>0.12</v>
      </c>
      <c r="DE116" s="63">
        <v>113</v>
      </c>
      <c r="DF116" s="62">
        <f t="shared" si="12"/>
        <v>0</v>
      </c>
      <c r="DG116" s="163">
        <f>SUM(DF116:DF125)</f>
        <v>0.12</v>
      </c>
    </row>
    <row r="117" spans="1:111" ht="15" customHeight="1" x14ac:dyDescent="0.3">
      <c r="A117" s="172"/>
      <c r="B117" s="172"/>
      <c r="C117" s="172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4"/>
      <c r="BZ117" s="172"/>
      <c r="CA117" s="172"/>
      <c r="CW117" s="68"/>
      <c r="CX117" s="69" t="str">
        <f>견적관리자용!$S$9</f>
        <v>승용SUV(~5인)</v>
      </c>
      <c r="CY117" s="70">
        <v>0</v>
      </c>
      <c r="CZ117" s="71">
        <v>0.06</v>
      </c>
      <c r="DA117" s="71">
        <v>0.06</v>
      </c>
      <c r="DB117" s="71">
        <v>0.08</v>
      </c>
      <c r="DC117" s="71">
        <v>0.12</v>
      </c>
      <c r="DD117" s="72">
        <f t="shared" si="13"/>
        <v>0.12</v>
      </c>
      <c r="DE117" s="73">
        <v>114</v>
      </c>
      <c r="DF117" s="72">
        <f t="shared" si="12"/>
        <v>0</v>
      </c>
      <c r="DG117" s="166"/>
    </row>
    <row r="118" spans="1:111" ht="15" customHeight="1" x14ac:dyDescent="0.3">
      <c r="A118" s="172"/>
      <c r="B118" s="172"/>
      <c r="C118" s="172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4"/>
      <c r="BZ118" s="172"/>
      <c r="CA118" s="172"/>
      <c r="CW118" s="68"/>
      <c r="CX118" s="69" t="str">
        <f>견적관리자용!$S$10</f>
        <v>승용SUV(7~10인)</v>
      </c>
      <c r="CY118" s="70">
        <v>0</v>
      </c>
      <c r="CZ118" s="71">
        <v>0.06</v>
      </c>
      <c r="DA118" s="71">
        <v>0.06</v>
      </c>
      <c r="DB118" s="71">
        <v>0.08</v>
      </c>
      <c r="DC118" s="71">
        <v>0.12</v>
      </c>
      <c r="DD118" s="72">
        <f t="shared" si="13"/>
        <v>0.12</v>
      </c>
      <c r="DE118" s="73">
        <v>115</v>
      </c>
      <c r="DF118" s="72">
        <f t="shared" si="12"/>
        <v>0.12</v>
      </c>
      <c r="DG118" s="166"/>
    </row>
    <row r="119" spans="1:111" ht="15" customHeight="1" x14ac:dyDescent="0.3">
      <c r="A119" s="172"/>
      <c r="B119" s="172"/>
      <c r="C119" s="172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4"/>
      <c r="BZ119" s="172"/>
      <c r="CA119" s="172"/>
      <c r="CW119" s="68"/>
      <c r="CX119" s="69" t="str">
        <f>견적관리자용!$S$11</f>
        <v>승합(11~15인)</v>
      </c>
      <c r="CY119" s="70">
        <v>0</v>
      </c>
      <c r="CZ119" s="125">
        <v>0.03</v>
      </c>
      <c r="DA119" s="125">
        <v>0.03</v>
      </c>
      <c r="DB119" s="125">
        <v>0.03</v>
      </c>
      <c r="DC119" s="125">
        <v>0.03</v>
      </c>
      <c r="DD119" s="72">
        <f t="shared" si="13"/>
        <v>0.03</v>
      </c>
      <c r="DE119" s="73">
        <v>116</v>
      </c>
      <c r="DF119" s="72">
        <f t="shared" si="12"/>
        <v>0</v>
      </c>
      <c r="DG119" s="166"/>
    </row>
    <row r="120" spans="1:111" ht="15" customHeight="1" x14ac:dyDescent="0.3">
      <c r="A120" s="172"/>
      <c r="B120" s="172"/>
      <c r="C120" s="172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4"/>
      <c r="BZ120" s="172"/>
      <c r="CA120" s="172"/>
      <c r="CW120" s="68"/>
      <c r="CX120" s="69" t="str">
        <f>견적관리자용!$S$12</f>
        <v>화물(1000cc 미만)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2">
        <f t="shared" si="13"/>
        <v>0</v>
      </c>
      <c r="DE120" s="73">
        <v>117</v>
      </c>
      <c r="DF120" s="72">
        <f t="shared" si="12"/>
        <v>0</v>
      </c>
      <c r="DG120" s="166"/>
    </row>
    <row r="121" spans="1:111" ht="15" customHeight="1" x14ac:dyDescent="0.3">
      <c r="A121" s="172"/>
      <c r="B121" s="172"/>
      <c r="C121" s="172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4"/>
      <c r="BZ121" s="172"/>
      <c r="CA121" s="172"/>
      <c r="CW121" s="85"/>
      <c r="CX121" s="69" t="str">
        <f>견적관리자용!$S$13</f>
        <v>화물(0.6톤 미만)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2">
        <f t="shared" si="13"/>
        <v>0</v>
      </c>
      <c r="DE121" s="73">
        <v>118</v>
      </c>
      <c r="DF121" s="72">
        <f t="shared" si="12"/>
        <v>0</v>
      </c>
      <c r="DG121" s="166"/>
    </row>
    <row r="122" spans="1:111" ht="15" customHeight="1" x14ac:dyDescent="0.3">
      <c r="A122" s="172"/>
      <c r="B122" s="172"/>
      <c r="C122" s="172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4"/>
      <c r="BZ122" s="172"/>
      <c r="CA122" s="172"/>
      <c r="CW122" s="85"/>
      <c r="CX122" s="69" t="str">
        <f>견적관리자용!$S$14</f>
        <v>화물(0.6~1톤 미만)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2">
        <f t="shared" si="13"/>
        <v>0</v>
      </c>
      <c r="DE122" s="73">
        <v>119</v>
      </c>
      <c r="DF122" s="72">
        <f t="shared" si="12"/>
        <v>0</v>
      </c>
      <c r="DG122" s="166"/>
    </row>
    <row r="123" spans="1:111" ht="15" customHeight="1" x14ac:dyDescent="0.3">
      <c r="A123" s="172"/>
      <c r="B123" s="172"/>
      <c r="C123" s="172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4"/>
      <c r="BZ123" s="172"/>
      <c r="CA123" s="172"/>
      <c r="CW123" s="85"/>
      <c r="CX123" s="69" t="str">
        <f>견적관리자용!$S$15</f>
        <v>화물(1~2.5톤 미만)</v>
      </c>
      <c r="CY123" s="70">
        <v>0</v>
      </c>
      <c r="CZ123" s="125">
        <v>0.03</v>
      </c>
      <c r="DA123" s="125">
        <v>0.03</v>
      </c>
      <c r="DB123" s="125">
        <v>0.03</v>
      </c>
      <c r="DC123" s="125">
        <v>0.03</v>
      </c>
      <c r="DD123" s="72">
        <f t="shared" si="13"/>
        <v>0.03</v>
      </c>
      <c r="DE123" s="73">
        <v>120</v>
      </c>
      <c r="DF123" s="72">
        <f t="shared" si="12"/>
        <v>0</v>
      </c>
      <c r="DG123" s="166"/>
    </row>
    <row r="124" spans="1:111" ht="15" customHeight="1" x14ac:dyDescent="0.3">
      <c r="A124" s="172"/>
      <c r="B124" s="172"/>
      <c r="C124" s="172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4"/>
      <c r="BZ124" s="172"/>
      <c r="CA124" s="172"/>
      <c r="CW124" s="85"/>
      <c r="CX124" s="69" t="str">
        <f>견적관리자용!$S$16</f>
        <v>화물(2.5~4.6톤 미만)</v>
      </c>
      <c r="CY124" s="70">
        <v>0</v>
      </c>
      <c r="CZ124" s="125">
        <v>0.03</v>
      </c>
      <c r="DA124" s="125">
        <v>0.03</v>
      </c>
      <c r="DB124" s="125">
        <v>0.03</v>
      </c>
      <c r="DC124" s="125">
        <v>0.03</v>
      </c>
      <c r="DD124" s="72">
        <f t="shared" si="13"/>
        <v>0.03</v>
      </c>
      <c r="DE124" s="73">
        <v>121</v>
      </c>
      <c r="DF124" s="72">
        <f t="shared" si="12"/>
        <v>0</v>
      </c>
      <c r="DG124" s="166"/>
    </row>
    <row r="125" spans="1:111" ht="15" customHeight="1" x14ac:dyDescent="0.3">
      <c r="A125" s="172"/>
      <c r="B125" s="172"/>
      <c r="C125" s="172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4"/>
      <c r="BZ125" s="172"/>
      <c r="CA125" s="172"/>
      <c r="CW125" s="90"/>
      <c r="CX125" s="91" t="str">
        <f>견적관리자용!$S$17</f>
        <v>화물(4.6톤 이상)</v>
      </c>
      <c r="CY125" s="92">
        <v>0</v>
      </c>
      <c r="CZ125" s="180">
        <v>0.03</v>
      </c>
      <c r="DA125" s="180">
        <v>0.03</v>
      </c>
      <c r="DB125" s="180">
        <v>0.03</v>
      </c>
      <c r="DC125" s="180">
        <v>0.03</v>
      </c>
      <c r="DD125" s="93">
        <f t="shared" si="13"/>
        <v>0.03</v>
      </c>
      <c r="DE125" s="94">
        <v>122</v>
      </c>
      <c r="DF125" s="93">
        <f t="shared" si="12"/>
        <v>0</v>
      </c>
      <c r="DG125" s="181"/>
    </row>
    <row r="126" spans="1:111" ht="15" customHeight="1" x14ac:dyDescent="0.3">
      <c r="A126" s="172"/>
      <c r="B126" s="172"/>
      <c r="C126" s="172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4"/>
      <c r="BZ126" s="172"/>
      <c r="CA126" s="172"/>
      <c r="CW126" s="68" t="s">
        <v>110</v>
      </c>
      <c r="CX126" s="124" t="str">
        <f>견적관리자용!$S$8</f>
        <v>승용일반</v>
      </c>
      <c r="CY126" s="70">
        <v>0</v>
      </c>
      <c r="CZ126" s="125">
        <v>0.04</v>
      </c>
      <c r="DA126" s="125">
        <v>0.04</v>
      </c>
      <c r="DB126" s="125">
        <v>0.06</v>
      </c>
      <c r="DC126" s="125">
        <v>0.1</v>
      </c>
      <c r="DD126" s="72">
        <f t="shared" si="13"/>
        <v>0.1</v>
      </c>
      <c r="DE126" s="73">
        <v>123</v>
      </c>
      <c r="DF126" s="72">
        <f t="shared" si="12"/>
        <v>0</v>
      </c>
      <c r="DG126" s="166">
        <f>SUM(DF126:DF135)</f>
        <v>0.1</v>
      </c>
    </row>
    <row r="127" spans="1:111" ht="15" customHeight="1" x14ac:dyDescent="0.3">
      <c r="A127" s="172"/>
      <c r="B127" s="172"/>
      <c r="C127" s="172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4"/>
      <c r="BZ127" s="172"/>
      <c r="CA127" s="172"/>
      <c r="CW127" s="68"/>
      <c r="CX127" s="69" t="str">
        <f>견적관리자용!$S$9</f>
        <v>승용SUV(~5인)</v>
      </c>
      <c r="CY127" s="70">
        <v>0</v>
      </c>
      <c r="CZ127" s="71">
        <v>0.04</v>
      </c>
      <c r="DA127" s="71">
        <v>0.04</v>
      </c>
      <c r="DB127" s="71">
        <v>0.06</v>
      </c>
      <c r="DC127" s="71">
        <v>0.1</v>
      </c>
      <c r="DD127" s="72">
        <f t="shared" si="13"/>
        <v>0.1</v>
      </c>
      <c r="DE127" s="73">
        <v>124</v>
      </c>
      <c r="DF127" s="72">
        <f t="shared" si="12"/>
        <v>0</v>
      </c>
      <c r="DG127" s="166"/>
    </row>
    <row r="128" spans="1:111" ht="15" customHeight="1" x14ac:dyDescent="0.3">
      <c r="A128" s="172"/>
      <c r="B128" s="172"/>
      <c r="C128" s="172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4"/>
      <c r="BZ128" s="172"/>
      <c r="CA128" s="172"/>
      <c r="CW128" s="68"/>
      <c r="CX128" s="69" t="str">
        <f>견적관리자용!$S$10</f>
        <v>승용SUV(7~10인)</v>
      </c>
      <c r="CY128" s="70">
        <v>0</v>
      </c>
      <c r="CZ128" s="71">
        <v>0.04</v>
      </c>
      <c r="DA128" s="71">
        <v>0.04</v>
      </c>
      <c r="DB128" s="71">
        <v>0.06</v>
      </c>
      <c r="DC128" s="71">
        <v>0.1</v>
      </c>
      <c r="DD128" s="72">
        <f t="shared" si="13"/>
        <v>0.1</v>
      </c>
      <c r="DE128" s="73">
        <v>125</v>
      </c>
      <c r="DF128" s="72">
        <f t="shared" si="12"/>
        <v>0.1</v>
      </c>
      <c r="DG128" s="166"/>
    </row>
    <row r="129" spans="1:114" ht="15" customHeight="1" x14ac:dyDescent="0.3">
      <c r="A129" s="172"/>
      <c r="B129" s="172"/>
      <c r="C129" s="172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4"/>
      <c r="BZ129" s="172"/>
      <c r="CA129" s="172"/>
      <c r="CW129" s="68"/>
      <c r="CX129" s="69" t="str">
        <f>견적관리자용!$S$11</f>
        <v>승합(11~15인)</v>
      </c>
      <c r="CY129" s="70">
        <v>0</v>
      </c>
      <c r="CZ129" s="125">
        <v>1.4999999999999999E-2</v>
      </c>
      <c r="DA129" s="125">
        <v>1.4999999999999999E-2</v>
      </c>
      <c r="DB129" s="125">
        <v>1.4999999999999999E-2</v>
      </c>
      <c r="DC129" s="125">
        <v>1.4999999999999999E-2</v>
      </c>
      <c r="DD129" s="72">
        <f t="shared" si="13"/>
        <v>1.4999999999999999E-2</v>
      </c>
      <c r="DE129" s="73">
        <v>126</v>
      </c>
      <c r="DF129" s="72">
        <f t="shared" si="12"/>
        <v>0</v>
      </c>
      <c r="DG129" s="166"/>
    </row>
    <row r="130" spans="1:114" ht="15" customHeight="1" x14ac:dyDescent="0.3">
      <c r="A130" s="172"/>
      <c r="B130" s="172"/>
      <c r="C130" s="172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4"/>
      <c r="BZ130" s="172"/>
      <c r="CA130" s="172"/>
      <c r="CW130" s="68"/>
      <c r="CX130" s="69" t="str">
        <f>견적관리자용!$S$12</f>
        <v>화물(1000cc 미만)</v>
      </c>
      <c r="CY130" s="70">
        <v>0</v>
      </c>
      <c r="CZ130" s="70">
        <v>0</v>
      </c>
      <c r="DA130" s="80">
        <v>0</v>
      </c>
      <c r="DB130" s="80">
        <v>0</v>
      </c>
      <c r="DC130" s="80">
        <v>0</v>
      </c>
      <c r="DD130" s="72">
        <f t="shared" si="13"/>
        <v>0</v>
      </c>
      <c r="DE130" s="73">
        <v>127</v>
      </c>
      <c r="DF130" s="72">
        <f t="shared" si="12"/>
        <v>0</v>
      </c>
      <c r="DG130" s="166"/>
    </row>
    <row r="131" spans="1:114" ht="15" customHeight="1" x14ac:dyDescent="0.3">
      <c r="A131" s="172"/>
      <c r="B131" s="172"/>
      <c r="C131" s="172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4"/>
      <c r="BZ131" s="172"/>
      <c r="CA131" s="172"/>
      <c r="CW131" s="85"/>
      <c r="CX131" s="69" t="str">
        <f>견적관리자용!$S$13</f>
        <v>화물(0.6톤 미만)</v>
      </c>
      <c r="CY131" s="70">
        <v>0</v>
      </c>
      <c r="CZ131" s="70">
        <v>0</v>
      </c>
      <c r="DA131" s="80">
        <v>0</v>
      </c>
      <c r="DB131" s="80">
        <v>0</v>
      </c>
      <c r="DC131" s="80">
        <v>0</v>
      </c>
      <c r="DD131" s="72">
        <f t="shared" si="13"/>
        <v>0</v>
      </c>
      <c r="DE131" s="73">
        <v>128</v>
      </c>
      <c r="DF131" s="72">
        <f t="shared" si="12"/>
        <v>0</v>
      </c>
      <c r="DG131" s="166"/>
    </row>
    <row r="132" spans="1:114" ht="15" customHeight="1" x14ac:dyDescent="0.3">
      <c r="A132" s="172"/>
      <c r="B132" s="172"/>
      <c r="C132" s="172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4"/>
      <c r="BZ132" s="172"/>
      <c r="CA132" s="172"/>
      <c r="CW132" s="85"/>
      <c r="CX132" s="69" t="str">
        <f>견적관리자용!$S$14</f>
        <v>화물(0.6~1톤 미만)</v>
      </c>
      <c r="CY132" s="70">
        <v>0</v>
      </c>
      <c r="CZ132" s="125">
        <v>1.4999999999999999E-2</v>
      </c>
      <c r="DA132" s="125">
        <v>1.4999999999999999E-2</v>
      </c>
      <c r="DB132" s="125">
        <v>1.4999999999999999E-2</v>
      </c>
      <c r="DC132" s="125">
        <v>1.4999999999999999E-2</v>
      </c>
      <c r="DD132" s="72">
        <f t="shared" si="13"/>
        <v>1.4999999999999999E-2</v>
      </c>
      <c r="DE132" s="73">
        <v>129</v>
      </c>
      <c r="DF132" s="72">
        <f t="shared" si="12"/>
        <v>0</v>
      </c>
      <c r="DG132" s="166"/>
    </row>
    <row r="133" spans="1:114" ht="15" customHeight="1" x14ac:dyDescent="0.3">
      <c r="A133" s="172"/>
      <c r="B133" s="172"/>
      <c r="C133" s="172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4"/>
      <c r="BZ133" s="172"/>
      <c r="CA133" s="172"/>
      <c r="CW133" s="85"/>
      <c r="CX133" s="69" t="str">
        <f>견적관리자용!$S$15</f>
        <v>화물(1~2.5톤 미만)</v>
      </c>
      <c r="CY133" s="70">
        <v>0</v>
      </c>
      <c r="CZ133" s="125">
        <v>1.4999999999999999E-2</v>
      </c>
      <c r="DA133" s="125">
        <v>1.4999999999999999E-2</v>
      </c>
      <c r="DB133" s="125">
        <v>1.4999999999999999E-2</v>
      </c>
      <c r="DC133" s="125">
        <v>1.4999999999999999E-2</v>
      </c>
      <c r="DD133" s="72">
        <f t="shared" si="13"/>
        <v>1.4999999999999999E-2</v>
      </c>
      <c r="DE133" s="73">
        <v>130</v>
      </c>
      <c r="DF133" s="72">
        <f t="shared" si="12"/>
        <v>0</v>
      </c>
      <c r="DG133" s="166"/>
    </row>
    <row r="134" spans="1:114" ht="15" customHeight="1" x14ac:dyDescent="0.3">
      <c r="A134" s="172"/>
      <c r="B134" s="172"/>
      <c r="C134" s="172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4"/>
      <c r="BZ134" s="172"/>
      <c r="CA134" s="172"/>
      <c r="CW134" s="85"/>
      <c r="CX134" s="69" t="str">
        <f>견적관리자용!$S$16</f>
        <v>화물(2.5~4.6톤 미만)</v>
      </c>
      <c r="CY134" s="70">
        <v>0</v>
      </c>
      <c r="CZ134" s="125">
        <v>1.4999999999999999E-2</v>
      </c>
      <c r="DA134" s="125">
        <v>1.4999999999999999E-2</v>
      </c>
      <c r="DB134" s="125">
        <v>1.4999999999999999E-2</v>
      </c>
      <c r="DC134" s="125">
        <v>1.4999999999999999E-2</v>
      </c>
      <c r="DD134" s="72">
        <f t="shared" ref="DD134:DD145" si="14">HLOOKUP($CI$6,$CY$4:$DC$145,DE134,TRUE)</f>
        <v>1.4999999999999999E-2</v>
      </c>
      <c r="DE134" s="73">
        <v>131</v>
      </c>
      <c r="DF134" s="72">
        <f t="shared" si="12"/>
        <v>0</v>
      </c>
      <c r="DG134" s="166"/>
    </row>
    <row r="135" spans="1:114" ht="15" customHeight="1" x14ac:dyDescent="0.3">
      <c r="A135" s="172"/>
      <c r="B135" s="172"/>
      <c r="C135" s="172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4"/>
      <c r="BZ135" s="172"/>
      <c r="CA135" s="172"/>
      <c r="CW135" s="85"/>
      <c r="CX135" s="69" t="str">
        <f>견적관리자용!$S$17</f>
        <v>화물(4.6톤 이상)</v>
      </c>
      <c r="CY135" s="70">
        <v>0</v>
      </c>
      <c r="CZ135" s="180">
        <v>1.4999999999999999E-2</v>
      </c>
      <c r="DA135" s="180">
        <v>1.4999999999999999E-2</v>
      </c>
      <c r="DB135" s="180">
        <v>1.4999999999999999E-2</v>
      </c>
      <c r="DC135" s="180">
        <v>1.4999999999999999E-2</v>
      </c>
      <c r="DD135" s="72">
        <f t="shared" si="14"/>
        <v>1.4999999999999999E-2</v>
      </c>
      <c r="DE135" s="73">
        <v>132</v>
      </c>
      <c r="DF135" s="72">
        <f t="shared" si="12"/>
        <v>0</v>
      </c>
      <c r="DG135" s="166"/>
    </row>
    <row r="136" spans="1:114" ht="15" customHeight="1" x14ac:dyDescent="0.3">
      <c r="A136" s="172"/>
      <c r="B136" s="172"/>
      <c r="C136" s="172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4"/>
      <c r="BZ136" s="172"/>
      <c r="CA136" s="172"/>
      <c r="CW136" s="58" t="s">
        <v>94</v>
      </c>
      <c r="CX136" s="59" t="str">
        <f>견적관리자용!$S$8</f>
        <v>승용일반</v>
      </c>
      <c r="CY136" s="60">
        <v>0</v>
      </c>
      <c r="CZ136" s="61">
        <v>0</v>
      </c>
      <c r="DA136" s="61">
        <v>0.04</v>
      </c>
      <c r="DB136" s="61">
        <v>0.04</v>
      </c>
      <c r="DC136" s="61">
        <v>0.05</v>
      </c>
      <c r="DD136" s="191">
        <f t="shared" si="14"/>
        <v>0.05</v>
      </c>
      <c r="DE136" s="63">
        <v>133</v>
      </c>
      <c r="DF136" s="62">
        <f t="shared" si="12"/>
        <v>0</v>
      </c>
      <c r="DG136" s="163">
        <f>SUM(DF136:DF145)</f>
        <v>390000</v>
      </c>
      <c r="DJ136" s="493"/>
    </row>
    <row r="137" spans="1:114" ht="15" customHeight="1" x14ac:dyDescent="0.3">
      <c r="A137" s="172"/>
      <c r="B137" s="172"/>
      <c r="C137" s="172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4"/>
      <c r="BZ137" s="172"/>
      <c r="CA137" s="172"/>
      <c r="CW137" s="68"/>
      <c r="CX137" s="69" t="str">
        <f>견적관리자용!$S$9</f>
        <v>승용SUV(~5인)</v>
      </c>
      <c r="CY137" s="70">
        <v>0</v>
      </c>
      <c r="CZ137" s="71">
        <v>0.04</v>
      </c>
      <c r="DA137" s="71">
        <v>0.04</v>
      </c>
      <c r="DB137" s="71">
        <v>0.04</v>
      </c>
      <c r="DC137" s="71">
        <v>0.04</v>
      </c>
      <c r="DD137" s="192">
        <f t="shared" si="14"/>
        <v>0.04</v>
      </c>
      <c r="DE137" s="73">
        <v>134</v>
      </c>
      <c r="DF137" s="72">
        <f t="shared" si="12"/>
        <v>0</v>
      </c>
      <c r="DG137" s="166"/>
      <c r="DJ137" s="493"/>
    </row>
    <row r="138" spans="1:114" ht="15" customHeight="1" x14ac:dyDescent="0.3">
      <c r="A138" s="172"/>
      <c r="B138" s="172"/>
      <c r="C138" s="172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4"/>
      <c r="BZ138" s="172"/>
      <c r="CA138" s="172"/>
      <c r="CW138" s="68"/>
      <c r="CX138" s="69" t="str">
        <f>견적관리자용!$S$10</f>
        <v>승용SUV(7~10인)</v>
      </c>
      <c r="CY138" s="70">
        <v>0</v>
      </c>
      <c r="CZ138" s="70">
        <v>390000</v>
      </c>
      <c r="DA138" s="80">
        <v>390000</v>
      </c>
      <c r="DB138" s="80">
        <v>390000</v>
      </c>
      <c r="DC138" s="80">
        <v>390000</v>
      </c>
      <c r="DD138" s="192">
        <f t="shared" si="14"/>
        <v>390000</v>
      </c>
      <c r="DE138" s="73">
        <v>135</v>
      </c>
      <c r="DF138" s="72">
        <f t="shared" si="12"/>
        <v>390000</v>
      </c>
      <c r="DG138" s="166"/>
      <c r="DJ138" s="493"/>
    </row>
    <row r="139" spans="1:114" ht="15" customHeight="1" x14ac:dyDescent="0.3">
      <c r="A139" s="172"/>
      <c r="B139" s="172"/>
      <c r="C139" s="172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4"/>
      <c r="BZ139" s="172"/>
      <c r="CA139" s="172"/>
      <c r="CW139" s="68"/>
      <c r="CX139" s="69" t="str">
        <f>견적관리자용!$S$11</f>
        <v>승합(11~15인)</v>
      </c>
      <c r="CY139" s="70">
        <v>0</v>
      </c>
      <c r="CZ139" s="125">
        <v>1.4999999999999999E-2</v>
      </c>
      <c r="DA139" s="125">
        <v>1.4999999999999999E-2</v>
      </c>
      <c r="DB139" s="125">
        <v>1.4999999999999999E-2</v>
      </c>
      <c r="DC139" s="125">
        <v>1.4999999999999999E-2</v>
      </c>
      <c r="DD139" s="192">
        <f t="shared" si="14"/>
        <v>1.4999999999999999E-2</v>
      </c>
      <c r="DE139" s="73">
        <v>136</v>
      </c>
      <c r="DF139" s="72">
        <f t="shared" si="12"/>
        <v>0</v>
      </c>
      <c r="DG139" s="166"/>
      <c r="DJ139" s="493"/>
    </row>
    <row r="140" spans="1:114" ht="15" customHeight="1" x14ac:dyDescent="0.3">
      <c r="A140" s="172"/>
      <c r="B140" s="172"/>
      <c r="C140" s="172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4"/>
      <c r="BZ140" s="172"/>
      <c r="CA140" s="172"/>
      <c r="CW140" s="68"/>
      <c r="CX140" s="69" t="str">
        <f>견적관리자용!$S$12</f>
        <v>화물(1000cc 미만)</v>
      </c>
      <c r="CY140" s="70">
        <v>0</v>
      </c>
      <c r="CZ140" s="70">
        <v>0</v>
      </c>
      <c r="DA140" s="80">
        <v>0</v>
      </c>
      <c r="DB140" s="80">
        <v>0</v>
      </c>
      <c r="DC140" s="80">
        <v>0</v>
      </c>
      <c r="DD140" s="192">
        <f t="shared" si="14"/>
        <v>0</v>
      </c>
      <c r="DE140" s="73">
        <v>137</v>
      </c>
      <c r="DF140" s="72">
        <f t="shared" si="12"/>
        <v>0</v>
      </c>
      <c r="DG140" s="166"/>
      <c r="DJ140" s="493"/>
    </row>
    <row r="141" spans="1:114" ht="15" customHeight="1" x14ac:dyDescent="0.3">
      <c r="A141" s="172"/>
      <c r="B141" s="172"/>
      <c r="C141" s="172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  <c r="AQ141" s="173"/>
      <c r="AR141" s="173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4"/>
      <c r="BZ141" s="172"/>
      <c r="CA141" s="172"/>
      <c r="CW141" s="85"/>
      <c r="CX141" s="69" t="str">
        <f>견적관리자용!$S$13</f>
        <v>화물(0.6톤 미만)</v>
      </c>
      <c r="CY141" s="70">
        <v>0</v>
      </c>
      <c r="CZ141" s="70">
        <v>0</v>
      </c>
      <c r="DA141" s="70">
        <v>0</v>
      </c>
      <c r="DB141" s="70">
        <v>0</v>
      </c>
      <c r="DC141" s="86">
        <v>0</v>
      </c>
      <c r="DD141" s="192">
        <f t="shared" si="14"/>
        <v>0</v>
      </c>
      <c r="DE141" s="73">
        <v>138</v>
      </c>
      <c r="DF141" s="72">
        <f t="shared" si="12"/>
        <v>0</v>
      </c>
      <c r="DG141" s="166"/>
      <c r="DJ141" s="493"/>
    </row>
    <row r="142" spans="1:114" ht="15" customHeight="1" x14ac:dyDescent="0.3">
      <c r="A142" s="172"/>
      <c r="B142" s="172"/>
      <c r="C142" s="172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4"/>
      <c r="BZ142" s="172"/>
      <c r="CA142" s="172"/>
      <c r="CW142" s="85"/>
      <c r="CX142" s="69" t="str">
        <f>견적관리자용!$S$14</f>
        <v>화물(0.6~1톤 미만)</v>
      </c>
      <c r="CY142" s="70">
        <v>0</v>
      </c>
      <c r="CZ142" s="125">
        <v>1.4999999999999999E-2</v>
      </c>
      <c r="DA142" s="125">
        <v>1.4999999999999999E-2</v>
      </c>
      <c r="DB142" s="125">
        <v>1.4999999999999999E-2</v>
      </c>
      <c r="DC142" s="125">
        <v>1.4999999999999999E-2</v>
      </c>
      <c r="DD142" s="192">
        <f t="shared" si="14"/>
        <v>1.4999999999999999E-2</v>
      </c>
      <c r="DE142" s="73">
        <v>139</v>
      </c>
      <c r="DF142" s="72">
        <f t="shared" si="12"/>
        <v>0</v>
      </c>
      <c r="DG142" s="166"/>
      <c r="DJ142" s="493"/>
    </row>
    <row r="143" spans="1:114" ht="15" customHeight="1" x14ac:dyDescent="0.3">
      <c r="A143" s="172"/>
      <c r="B143" s="172"/>
      <c r="C143" s="172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  <c r="AQ143" s="173"/>
      <c r="AR143" s="173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4"/>
      <c r="BZ143" s="172"/>
      <c r="CA143" s="172"/>
      <c r="CW143" s="85"/>
      <c r="CX143" s="69" t="str">
        <f>견적관리자용!$S$15</f>
        <v>화물(1~2.5톤 미만)</v>
      </c>
      <c r="CY143" s="70">
        <v>0</v>
      </c>
      <c r="CZ143" s="125">
        <v>1.4999999999999999E-2</v>
      </c>
      <c r="DA143" s="125">
        <v>1.4999999999999999E-2</v>
      </c>
      <c r="DB143" s="125">
        <v>1.4999999999999999E-2</v>
      </c>
      <c r="DC143" s="125">
        <v>1.4999999999999999E-2</v>
      </c>
      <c r="DD143" s="192">
        <f t="shared" si="14"/>
        <v>1.4999999999999999E-2</v>
      </c>
      <c r="DE143" s="73">
        <v>140</v>
      </c>
      <c r="DF143" s="72">
        <f t="shared" si="12"/>
        <v>0</v>
      </c>
      <c r="DG143" s="166"/>
      <c r="DJ143" s="493"/>
    </row>
    <row r="144" spans="1:114" ht="15" customHeight="1" x14ac:dyDescent="0.3">
      <c r="A144" s="172"/>
      <c r="B144" s="172"/>
      <c r="C144" s="172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4"/>
      <c r="BZ144" s="172"/>
      <c r="CA144" s="172"/>
      <c r="CW144" s="85"/>
      <c r="CX144" s="69" t="str">
        <f>견적관리자용!$S$16</f>
        <v>화물(2.5~4.6톤 미만)</v>
      </c>
      <c r="CY144" s="70">
        <v>0</v>
      </c>
      <c r="CZ144" s="125">
        <v>1.4999999999999999E-2</v>
      </c>
      <c r="DA144" s="125">
        <v>1.4999999999999999E-2</v>
      </c>
      <c r="DB144" s="125">
        <v>1.4999999999999999E-2</v>
      </c>
      <c r="DC144" s="125">
        <v>1.4999999999999999E-2</v>
      </c>
      <c r="DD144" s="192">
        <f t="shared" si="14"/>
        <v>1.4999999999999999E-2</v>
      </c>
      <c r="DE144" s="73">
        <v>141</v>
      </c>
      <c r="DF144" s="72">
        <f t="shared" si="12"/>
        <v>0</v>
      </c>
      <c r="DG144" s="166"/>
      <c r="DJ144" s="493"/>
    </row>
    <row r="145" spans="1:116" ht="15" customHeight="1" x14ac:dyDescent="0.3">
      <c r="A145" s="172"/>
      <c r="B145" s="172"/>
      <c r="C145" s="172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4"/>
      <c r="BZ145" s="172"/>
      <c r="CA145" s="172"/>
      <c r="CW145" s="90"/>
      <c r="CX145" s="91" t="str">
        <f>견적관리자용!$S$17</f>
        <v>화물(4.6톤 이상)</v>
      </c>
      <c r="CY145" s="92">
        <v>0</v>
      </c>
      <c r="CZ145" s="180">
        <v>1.4999999999999999E-2</v>
      </c>
      <c r="DA145" s="180">
        <v>1.4999999999999999E-2</v>
      </c>
      <c r="DB145" s="180">
        <v>1.4999999999999999E-2</v>
      </c>
      <c r="DC145" s="180">
        <v>1.4999999999999999E-2</v>
      </c>
      <c r="DD145" s="193">
        <f t="shared" si="14"/>
        <v>1.4999999999999999E-2</v>
      </c>
      <c r="DE145" s="94">
        <v>142</v>
      </c>
      <c r="DF145" s="93">
        <f t="shared" si="12"/>
        <v>0</v>
      </c>
      <c r="DG145" s="181"/>
      <c r="DJ145" s="493"/>
    </row>
    <row r="146" spans="1:116" ht="15" customHeight="1" x14ac:dyDescent="0.3">
      <c r="A146" s="172"/>
      <c r="B146" s="172"/>
      <c r="C146" s="172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4"/>
      <c r="BZ146" s="172"/>
      <c r="CA146" s="172"/>
    </row>
    <row r="147" spans="1:116" ht="15" customHeight="1" x14ac:dyDescent="0.3">
      <c r="A147" s="172"/>
      <c r="B147" s="172"/>
      <c r="C147" s="172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4"/>
      <c r="BZ147" s="172"/>
      <c r="CA147" s="172"/>
    </row>
    <row r="148" spans="1:116" s="24" customFormat="1" x14ac:dyDescent="0.3">
      <c r="A148" s="172"/>
      <c r="B148" s="172"/>
      <c r="C148" s="172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4"/>
      <c r="BZ148" s="172"/>
      <c r="CA148" s="172"/>
      <c r="CD148" s="194"/>
      <c r="CE148" s="194"/>
      <c r="CF148" s="194"/>
      <c r="CG148" s="194"/>
      <c r="CH148" s="27"/>
      <c r="CI148" s="26"/>
      <c r="CJ148" s="194"/>
      <c r="CK148" s="194"/>
      <c r="CL148" s="196"/>
      <c r="CM148" s="196"/>
      <c r="CN148" s="194"/>
      <c r="CO148" s="197"/>
      <c r="CP148" s="196"/>
      <c r="CQ148" s="196"/>
      <c r="CR148" s="196"/>
      <c r="CS148" s="196"/>
      <c r="CT148" s="196"/>
      <c r="CU148" s="196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6"/>
      <c r="DG148" s="198"/>
      <c r="DH148" s="194"/>
      <c r="DI148" s="282"/>
      <c r="DJ148" s="282"/>
      <c r="DK148" s="282"/>
      <c r="DL148" s="282"/>
    </row>
    <row r="149" spans="1:116" s="24" customFormat="1" x14ac:dyDescent="0.3">
      <c r="A149" s="172"/>
      <c r="B149" s="172"/>
      <c r="C149" s="172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4"/>
      <c r="BZ149" s="172"/>
      <c r="CA149" s="172"/>
      <c r="CD149" s="194"/>
      <c r="CE149" s="194"/>
      <c r="CF149" s="194"/>
      <c r="CG149" s="194"/>
      <c r="CH149" s="27"/>
      <c r="CI149" s="26"/>
      <c r="CJ149" s="194"/>
      <c r="CK149" s="194"/>
      <c r="CL149" s="196"/>
      <c r="CM149" s="196"/>
      <c r="CN149" s="194"/>
      <c r="CO149" s="197"/>
      <c r="CP149" s="196"/>
      <c r="CQ149" s="196"/>
      <c r="CR149" s="196"/>
      <c r="CS149" s="196"/>
      <c r="CT149" s="196"/>
      <c r="CU149" s="196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6"/>
      <c r="DG149" s="198"/>
      <c r="DH149" s="194"/>
      <c r="DI149" s="282"/>
      <c r="DJ149" s="282"/>
      <c r="DK149" s="282"/>
      <c r="DL149" s="282"/>
    </row>
    <row r="150" spans="1:116" s="24" customFormat="1" x14ac:dyDescent="0.3">
      <c r="A150" s="172"/>
      <c r="B150" s="172"/>
      <c r="C150" s="172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4"/>
      <c r="BZ150" s="172"/>
      <c r="CA150" s="172"/>
      <c r="CD150" s="194"/>
      <c r="CE150" s="194"/>
      <c r="CF150" s="194"/>
      <c r="CG150" s="194"/>
      <c r="CH150" s="195"/>
      <c r="CI150" s="194"/>
      <c r="CJ150" s="194"/>
      <c r="CK150" s="194"/>
      <c r="CL150" s="196"/>
      <c r="CM150" s="196"/>
      <c r="CN150" s="194"/>
      <c r="CO150" s="197"/>
      <c r="CP150" s="196"/>
      <c r="CQ150" s="196"/>
      <c r="CR150" s="196"/>
      <c r="CS150" s="196"/>
      <c r="CT150" s="196"/>
      <c r="CU150" s="196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6"/>
      <c r="DG150" s="198"/>
      <c r="DH150" s="194"/>
      <c r="DI150" s="282"/>
      <c r="DJ150" s="282"/>
      <c r="DK150" s="282"/>
      <c r="DL150" s="282"/>
    </row>
    <row r="151" spans="1:116" s="24" customFormat="1" x14ac:dyDescent="0.3">
      <c r="A151" s="172"/>
      <c r="B151" s="172"/>
      <c r="C151" s="172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4"/>
      <c r="BZ151" s="172"/>
      <c r="CA151" s="172"/>
      <c r="CD151" s="194"/>
      <c r="CE151" s="194"/>
      <c r="CF151" s="194"/>
      <c r="CG151" s="194"/>
      <c r="CH151" s="195"/>
      <c r="CI151" s="194"/>
      <c r="CJ151" s="194"/>
      <c r="CK151" s="194"/>
      <c r="CL151" s="196"/>
      <c r="CM151" s="196"/>
      <c r="CN151" s="194"/>
      <c r="CO151" s="197"/>
      <c r="CP151" s="196"/>
      <c r="CQ151" s="196"/>
      <c r="CR151" s="196"/>
      <c r="CS151" s="196"/>
      <c r="CT151" s="196"/>
      <c r="CU151" s="196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6"/>
      <c r="DG151" s="198"/>
      <c r="DH151" s="194"/>
      <c r="DI151" s="282"/>
      <c r="DJ151" s="282"/>
      <c r="DK151" s="282"/>
      <c r="DL151" s="282"/>
    </row>
    <row r="152" spans="1:116" s="24" customFormat="1" x14ac:dyDescent="0.3">
      <c r="A152" s="172"/>
      <c r="B152" s="172"/>
      <c r="C152" s="172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4"/>
      <c r="BZ152" s="172"/>
      <c r="CA152" s="172"/>
      <c r="CD152" s="194"/>
      <c r="CE152" s="194"/>
      <c r="CF152" s="194"/>
      <c r="CG152" s="194"/>
      <c r="CH152" s="195"/>
      <c r="CI152" s="194"/>
      <c r="CJ152" s="194"/>
      <c r="CK152" s="194"/>
      <c r="CL152" s="196"/>
      <c r="CM152" s="196"/>
      <c r="CN152" s="194"/>
      <c r="CO152" s="197"/>
      <c r="CP152" s="196"/>
      <c r="CQ152" s="196"/>
      <c r="CR152" s="196"/>
      <c r="CS152" s="196"/>
      <c r="CT152" s="196"/>
      <c r="CU152" s="196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6"/>
      <c r="DG152" s="198"/>
      <c r="DH152" s="194"/>
      <c r="DI152" s="282"/>
      <c r="DJ152" s="282"/>
      <c r="DK152" s="282"/>
      <c r="DL152" s="282"/>
    </row>
    <row r="153" spans="1:116" s="24" customFormat="1" x14ac:dyDescent="0.3">
      <c r="A153" s="172"/>
      <c r="B153" s="172"/>
      <c r="C153" s="172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4"/>
      <c r="BZ153" s="172"/>
      <c r="CA153" s="172"/>
      <c r="CD153" s="194"/>
      <c r="CE153" s="194"/>
      <c r="CF153" s="194"/>
      <c r="CG153" s="194"/>
      <c r="CH153" s="195"/>
      <c r="CI153" s="194"/>
      <c r="CJ153" s="194"/>
      <c r="CK153" s="194"/>
      <c r="CL153" s="196"/>
      <c r="CM153" s="196"/>
      <c r="CN153" s="194"/>
      <c r="CO153" s="197"/>
      <c r="CP153" s="196"/>
      <c r="CQ153" s="196"/>
      <c r="CR153" s="196"/>
      <c r="CS153" s="196"/>
      <c r="CT153" s="196"/>
      <c r="CU153" s="196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6"/>
      <c r="DG153" s="198"/>
      <c r="DH153" s="194"/>
      <c r="DI153" s="282"/>
      <c r="DJ153" s="282"/>
      <c r="DK153" s="282"/>
      <c r="DL153" s="282"/>
    </row>
    <row r="154" spans="1:116" s="24" customFormat="1" x14ac:dyDescent="0.3">
      <c r="A154" s="172"/>
      <c r="B154" s="172"/>
      <c r="C154" s="172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4"/>
      <c r="BZ154" s="172"/>
      <c r="CA154" s="172"/>
      <c r="CD154" s="194"/>
      <c r="CE154" s="194"/>
      <c r="CF154" s="194"/>
      <c r="CG154" s="194"/>
      <c r="CH154" s="195"/>
      <c r="CI154" s="194"/>
      <c r="CJ154" s="194"/>
      <c r="CK154" s="194"/>
      <c r="CL154" s="196"/>
      <c r="CM154" s="196"/>
      <c r="CN154" s="194"/>
      <c r="CO154" s="197"/>
      <c r="CP154" s="196"/>
      <c r="CQ154" s="196"/>
      <c r="CR154" s="196"/>
      <c r="CS154" s="196"/>
      <c r="CT154" s="196"/>
      <c r="CU154" s="196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6"/>
      <c r="DG154" s="198"/>
      <c r="DH154" s="194"/>
      <c r="DI154" s="282"/>
      <c r="DJ154" s="282"/>
      <c r="DK154" s="282"/>
      <c r="DL154" s="282"/>
    </row>
    <row r="155" spans="1:116" s="24" customFormat="1" x14ac:dyDescent="0.3">
      <c r="A155" s="172"/>
      <c r="B155" s="172"/>
      <c r="C155" s="172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4"/>
      <c r="BZ155" s="172"/>
      <c r="CA155" s="172"/>
      <c r="CD155" s="194"/>
      <c r="CE155" s="194"/>
      <c r="CF155" s="194"/>
      <c r="CG155" s="194"/>
      <c r="CH155" s="195"/>
      <c r="CI155" s="194"/>
      <c r="CJ155" s="194"/>
      <c r="CK155" s="194"/>
      <c r="CL155" s="196"/>
      <c r="CM155" s="196"/>
      <c r="CN155" s="194"/>
      <c r="CO155" s="197"/>
      <c r="CP155" s="196"/>
      <c r="CQ155" s="196"/>
      <c r="CR155" s="196"/>
      <c r="CS155" s="196"/>
      <c r="CT155" s="196"/>
      <c r="CU155" s="196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6"/>
      <c r="DG155" s="198"/>
      <c r="DH155" s="194"/>
      <c r="DI155" s="282"/>
      <c r="DJ155" s="282"/>
      <c r="DK155" s="282"/>
      <c r="DL155" s="282"/>
    </row>
    <row r="156" spans="1:116" s="24" customFormat="1" x14ac:dyDescent="0.3">
      <c r="A156" s="172"/>
      <c r="B156" s="172"/>
      <c r="C156" s="172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4"/>
      <c r="BZ156" s="172"/>
      <c r="CA156" s="172"/>
      <c r="CD156" s="194"/>
      <c r="CE156" s="194"/>
      <c r="CF156" s="194"/>
      <c r="CG156" s="194"/>
      <c r="CH156" s="195"/>
      <c r="CI156" s="194"/>
      <c r="CJ156" s="194"/>
      <c r="CK156" s="194"/>
      <c r="CL156" s="196"/>
      <c r="CM156" s="196"/>
      <c r="CN156" s="194"/>
      <c r="CO156" s="197"/>
      <c r="CP156" s="196"/>
      <c r="CQ156" s="196"/>
      <c r="CR156" s="196"/>
      <c r="CS156" s="196"/>
      <c r="CT156" s="196"/>
      <c r="CU156" s="196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6"/>
      <c r="DG156" s="198"/>
      <c r="DH156" s="194"/>
      <c r="DI156" s="282"/>
      <c r="DJ156" s="282"/>
      <c r="DK156" s="282"/>
      <c r="DL156" s="282"/>
    </row>
    <row r="157" spans="1:116" s="24" customFormat="1" x14ac:dyDescent="0.3">
      <c r="A157" s="172"/>
      <c r="B157" s="172"/>
      <c r="C157" s="172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4"/>
      <c r="BZ157" s="172"/>
      <c r="CA157" s="172"/>
      <c r="CD157" s="194"/>
      <c r="CE157" s="194"/>
      <c r="CF157" s="194"/>
      <c r="CG157" s="194"/>
      <c r="CH157" s="195"/>
      <c r="CI157" s="194"/>
      <c r="CJ157" s="194"/>
      <c r="CK157" s="194"/>
      <c r="CL157" s="196"/>
      <c r="CM157" s="196"/>
      <c r="CN157" s="194"/>
      <c r="CO157" s="197"/>
      <c r="CP157" s="196"/>
      <c r="CQ157" s="196"/>
      <c r="CR157" s="196"/>
      <c r="CS157" s="196"/>
      <c r="CT157" s="196"/>
      <c r="CU157" s="196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6"/>
      <c r="DG157" s="198"/>
      <c r="DH157" s="194"/>
      <c r="DI157" s="282"/>
      <c r="DJ157" s="282"/>
      <c r="DK157" s="282"/>
      <c r="DL157" s="282"/>
    </row>
    <row r="158" spans="1:116" s="24" customFormat="1" x14ac:dyDescent="0.3">
      <c r="A158" s="172"/>
      <c r="B158" s="172"/>
      <c r="C158" s="172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4"/>
      <c r="BZ158" s="172"/>
      <c r="CA158" s="172"/>
      <c r="CD158" s="194"/>
      <c r="CE158" s="194"/>
      <c r="CF158" s="194"/>
      <c r="CG158" s="194"/>
      <c r="CH158" s="195"/>
      <c r="CI158" s="194"/>
      <c r="CJ158" s="194"/>
      <c r="CK158" s="194"/>
      <c r="CL158" s="196"/>
      <c r="CM158" s="196"/>
      <c r="CN158" s="194"/>
      <c r="CO158" s="197"/>
      <c r="CP158" s="196"/>
      <c r="CQ158" s="196"/>
      <c r="CR158" s="196"/>
      <c r="CS158" s="196"/>
      <c r="CT158" s="196"/>
      <c r="CU158" s="196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6"/>
      <c r="DG158" s="198"/>
      <c r="DH158" s="194"/>
      <c r="DI158" s="282"/>
      <c r="DJ158" s="282"/>
      <c r="DK158" s="282"/>
      <c r="DL158" s="282"/>
    </row>
    <row r="159" spans="1:116" s="24" customFormat="1" x14ac:dyDescent="0.3">
      <c r="A159" s="172"/>
      <c r="B159" s="172"/>
      <c r="C159" s="172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4"/>
      <c r="BZ159" s="172"/>
      <c r="CA159" s="172"/>
      <c r="CD159" s="194"/>
      <c r="CE159" s="194"/>
      <c r="CF159" s="194"/>
      <c r="CG159" s="194"/>
      <c r="CH159" s="195"/>
      <c r="CI159" s="194"/>
      <c r="CJ159" s="194"/>
      <c r="CK159" s="194"/>
      <c r="CL159" s="196"/>
      <c r="CM159" s="196"/>
      <c r="CN159" s="194"/>
      <c r="CO159" s="197"/>
      <c r="CP159" s="196"/>
      <c r="CQ159" s="196"/>
      <c r="CR159" s="196"/>
      <c r="CS159" s="196"/>
      <c r="CT159" s="196"/>
      <c r="CU159" s="196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6"/>
      <c r="DG159" s="198"/>
      <c r="DH159" s="194"/>
      <c r="DI159" s="282"/>
      <c r="DJ159" s="282"/>
      <c r="DK159" s="282"/>
      <c r="DL159" s="282"/>
    </row>
    <row r="160" spans="1:116" s="24" customFormat="1" x14ac:dyDescent="0.3">
      <c r="A160" s="172"/>
      <c r="B160" s="172"/>
      <c r="C160" s="172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4"/>
      <c r="BZ160" s="172"/>
      <c r="CA160" s="172"/>
      <c r="CD160" s="194"/>
      <c r="CE160" s="194"/>
      <c r="CF160" s="194"/>
      <c r="CG160" s="194"/>
      <c r="CH160" s="195"/>
      <c r="CI160" s="194"/>
      <c r="CJ160" s="194"/>
      <c r="CK160" s="194"/>
      <c r="CL160" s="196"/>
      <c r="CM160" s="196"/>
      <c r="CN160" s="194"/>
      <c r="CO160" s="197"/>
      <c r="CP160" s="196"/>
      <c r="CQ160" s="196"/>
      <c r="CR160" s="196"/>
      <c r="CS160" s="196"/>
      <c r="CT160" s="196"/>
      <c r="CU160" s="196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6"/>
      <c r="DG160" s="198"/>
      <c r="DH160" s="194"/>
      <c r="DI160" s="282"/>
      <c r="DJ160" s="282"/>
      <c r="DK160" s="282"/>
      <c r="DL160" s="282"/>
    </row>
    <row r="161" spans="1:116" s="24" customFormat="1" x14ac:dyDescent="0.3">
      <c r="A161" s="172"/>
      <c r="B161" s="172"/>
      <c r="C161" s="172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4"/>
      <c r="BZ161" s="172"/>
      <c r="CA161" s="172"/>
      <c r="CD161" s="194"/>
      <c r="CE161" s="194"/>
      <c r="CF161" s="194"/>
      <c r="CG161" s="194"/>
      <c r="CH161" s="195"/>
      <c r="CI161" s="194"/>
      <c r="CJ161" s="194"/>
      <c r="CK161" s="194"/>
      <c r="CL161" s="196"/>
      <c r="CM161" s="196"/>
      <c r="CN161" s="194"/>
      <c r="CO161" s="197"/>
      <c r="CP161" s="196"/>
      <c r="CQ161" s="196"/>
      <c r="CR161" s="196"/>
      <c r="CS161" s="196"/>
      <c r="CT161" s="196"/>
      <c r="CU161" s="196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6"/>
      <c r="DG161" s="198"/>
      <c r="DH161" s="194"/>
      <c r="DI161" s="282"/>
      <c r="DJ161" s="282"/>
      <c r="DK161" s="282"/>
      <c r="DL161" s="282"/>
    </row>
    <row r="162" spans="1:116" s="24" customFormat="1" x14ac:dyDescent="0.3">
      <c r="A162" s="172"/>
      <c r="B162" s="172"/>
      <c r="C162" s="172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4"/>
      <c r="BZ162" s="172"/>
      <c r="CA162" s="172"/>
      <c r="CD162" s="194"/>
      <c r="CE162" s="194"/>
      <c r="CF162" s="194"/>
      <c r="CG162" s="194"/>
      <c r="CH162" s="195"/>
      <c r="CI162" s="194"/>
      <c r="CJ162" s="194"/>
      <c r="CK162" s="194"/>
      <c r="CL162" s="196"/>
      <c r="CM162" s="196"/>
      <c r="CN162" s="194"/>
      <c r="CO162" s="197"/>
      <c r="CP162" s="196"/>
      <c r="CQ162" s="196"/>
      <c r="CR162" s="196"/>
      <c r="CS162" s="196"/>
      <c r="CT162" s="196"/>
      <c r="CU162" s="196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6"/>
      <c r="DG162" s="198"/>
      <c r="DH162" s="194"/>
      <c r="DI162" s="282"/>
      <c r="DJ162" s="282"/>
      <c r="DK162" s="282"/>
      <c r="DL162" s="282"/>
    </row>
    <row r="163" spans="1:116" s="24" customFormat="1" x14ac:dyDescent="0.3">
      <c r="A163" s="172"/>
      <c r="B163" s="172"/>
      <c r="C163" s="172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4"/>
      <c r="BZ163" s="172"/>
      <c r="CA163" s="172"/>
      <c r="CD163" s="194"/>
      <c r="CE163" s="194"/>
      <c r="CF163" s="194"/>
      <c r="CG163" s="194"/>
      <c r="CH163" s="195"/>
      <c r="CI163" s="194"/>
      <c r="CJ163" s="194"/>
      <c r="CK163" s="194"/>
      <c r="CL163" s="196"/>
      <c r="CM163" s="196"/>
      <c r="CN163" s="194"/>
      <c r="CO163" s="197"/>
      <c r="CP163" s="196"/>
      <c r="CQ163" s="196"/>
      <c r="CR163" s="196"/>
      <c r="CS163" s="196"/>
      <c r="CT163" s="196"/>
      <c r="CU163" s="196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6"/>
      <c r="DG163" s="198"/>
      <c r="DH163" s="194"/>
      <c r="DI163" s="282"/>
      <c r="DJ163" s="282"/>
      <c r="DK163" s="282"/>
      <c r="DL163" s="282"/>
    </row>
    <row r="164" spans="1:116" s="24" customFormat="1" x14ac:dyDescent="0.3">
      <c r="A164" s="172"/>
      <c r="B164" s="172"/>
      <c r="C164" s="172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4"/>
      <c r="BZ164" s="172"/>
      <c r="CA164" s="172"/>
      <c r="CD164" s="194"/>
      <c r="CE164" s="194"/>
      <c r="CF164" s="194"/>
      <c r="CG164" s="194"/>
      <c r="CH164" s="195"/>
      <c r="CI164" s="194"/>
      <c r="CJ164" s="194"/>
      <c r="CK164" s="194"/>
      <c r="CL164" s="196"/>
      <c r="CM164" s="196"/>
      <c r="CN164" s="194"/>
      <c r="CO164" s="197"/>
      <c r="CP164" s="196"/>
      <c r="CQ164" s="196"/>
      <c r="CR164" s="196"/>
      <c r="CS164" s="196"/>
      <c r="CT164" s="196"/>
      <c r="CU164" s="196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6"/>
      <c r="DG164" s="198"/>
      <c r="DH164" s="194"/>
      <c r="DI164" s="282"/>
      <c r="DJ164" s="282"/>
      <c r="DK164" s="282"/>
      <c r="DL164" s="282"/>
    </row>
    <row r="165" spans="1:116" s="24" customFormat="1" x14ac:dyDescent="0.3">
      <c r="A165" s="172"/>
      <c r="B165" s="172"/>
      <c r="C165" s="172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4"/>
      <c r="BZ165" s="172"/>
      <c r="CA165" s="172"/>
      <c r="CD165" s="194"/>
      <c r="CE165" s="194"/>
      <c r="CF165" s="194"/>
      <c r="CG165" s="194"/>
      <c r="CH165" s="195"/>
      <c r="CI165" s="194"/>
      <c r="CJ165" s="194"/>
      <c r="CK165" s="194"/>
      <c r="CL165" s="196"/>
      <c r="CM165" s="196"/>
      <c r="CN165" s="194"/>
      <c r="CO165" s="197"/>
      <c r="CP165" s="196"/>
      <c r="CQ165" s="196"/>
      <c r="CR165" s="196"/>
      <c r="CS165" s="196"/>
      <c r="CT165" s="196"/>
      <c r="CU165" s="196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6"/>
      <c r="DG165" s="198"/>
      <c r="DH165" s="194"/>
      <c r="DI165" s="282"/>
      <c r="DJ165" s="282"/>
      <c r="DK165" s="282"/>
      <c r="DL165" s="282"/>
    </row>
    <row r="166" spans="1:116" s="24" customFormat="1" x14ac:dyDescent="0.3">
      <c r="A166" s="172"/>
      <c r="B166" s="172"/>
      <c r="C166" s="172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4"/>
      <c r="BZ166" s="172"/>
      <c r="CA166" s="172"/>
      <c r="CD166" s="194"/>
      <c r="CE166" s="194"/>
      <c r="CF166" s="194"/>
      <c r="CG166" s="194"/>
      <c r="CH166" s="195"/>
      <c r="CI166" s="194"/>
      <c r="CJ166" s="194"/>
      <c r="CK166" s="194"/>
      <c r="CL166" s="196"/>
      <c r="CM166" s="196"/>
      <c r="CN166" s="194"/>
      <c r="CO166" s="197"/>
      <c r="CP166" s="196"/>
      <c r="CQ166" s="196"/>
      <c r="CR166" s="196"/>
      <c r="CS166" s="196"/>
      <c r="CT166" s="196"/>
      <c r="CU166" s="196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6"/>
      <c r="DG166" s="198"/>
      <c r="DH166" s="194"/>
      <c r="DI166" s="282"/>
      <c r="DJ166" s="282"/>
      <c r="DK166" s="282"/>
      <c r="DL166" s="282"/>
    </row>
    <row r="167" spans="1:116" s="24" customFormat="1" x14ac:dyDescent="0.3">
      <c r="A167" s="172"/>
      <c r="B167" s="172"/>
      <c r="C167" s="172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4"/>
      <c r="BZ167" s="172"/>
      <c r="CA167" s="172"/>
      <c r="CD167" s="194"/>
      <c r="CE167" s="194"/>
      <c r="CF167" s="194"/>
      <c r="CG167" s="194"/>
      <c r="CH167" s="195"/>
      <c r="CI167" s="194"/>
      <c r="CJ167" s="194"/>
      <c r="CK167" s="194"/>
      <c r="CL167" s="196"/>
      <c r="CM167" s="196"/>
      <c r="CN167" s="194"/>
      <c r="CO167" s="197"/>
      <c r="CP167" s="196"/>
      <c r="CQ167" s="196"/>
      <c r="CR167" s="196"/>
      <c r="CS167" s="196"/>
      <c r="CT167" s="196"/>
      <c r="CU167" s="196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6"/>
      <c r="DG167" s="198"/>
      <c r="DH167" s="194"/>
      <c r="DI167" s="282"/>
      <c r="DJ167" s="282"/>
      <c r="DK167" s="282"/>
      <c r="DL167" s="282"/>
    </row>
    <row r="168" spans="1:116" s="24" customFormat="1" x14ac:dyDescent="0.3">
      <c r="A168" s="172"/>
      <c r="B168" s="172"/>
      <c r="C168" s="172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4"/>
      <c r="BZ168" s="172"/>
      <c r="CA168" s="172"/>
      <c r="CD168" s="194"/>
      <c r="CE168" s="194"/>
      <c r="CF168" s="194"/>
      <c r="CG168" s="194"/>
      <c r="CH168" s="195"/>
      <c r="CI168" s="194"/>
      <c r="CJ168" s="194"/>
      <c r="CK168" s="194"/>
      <c r="CL168" s="196"/>
      <c r="CM168" s="196"/>
      <c r="CN168" s="194"/>
      <c r="CO168" s="197"/>
      <c r="CP168" s="196"/>
      <c r="CQ168" s="196"/>
      <c r="CR168" s="196"/>
      <c r="CS168" s="196"/>
      <c r="CT168" s="196"/>
      <c r="CU168" s="196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6"/>
      <c r="DG168" s="198"/>
      <c r="DH168" s="194"/>
      <c r="DI168" s="282"/>
      <c r="DJ168" s="282"/>
      <c r="DK168" s="282"/>
      <c r="DL168" s="282"/>
    </row>
    <row r="169" spans="1:116" s="24" customFormat="1" x14ac:dyDescent="0.3">
      <c r="A169" s="172"/>
      <c r="B169" s="172"/>
      <c r="C169" s="172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4"/>
      <c r="BZ169" s="172"/>
      <c r="CA169" s="172"/>
      <c r="CD169" s="194"/>
      <c r="CE169" s="194"/>
      <c r="CF169" s="194"/>
      <c r="CG169" s="194"/>
      <c r="CH169" s="195"/>
      <c r="CI169" s="194"/>
      <c r="CJ169" s="194"/>
      <c r="CK169" s="194"/>
      <c r="CL169" s="196"/>
      <c r="CM169" s="196"/>
      <c r="CN169" s="194"/>
      <c r="CO169" s="197"/>
      <c r="CP169" s="196"/>
      <c r="CQ169" s="196"/>
      <c r="CR169" s="196"/>
      <c r="CS169" s="196"/>
      <c r="CT169" s="196"/>
      <c r="CU169" s="196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6"/>
      <c r="DG169" s="198"/>
      <c r="DH169" s="194"/>
      <c r="DI169" s="282"/>
      <c r="DJ169" s="282"/>
      <c r="DK169" s="282"/>
      <c r="DL169" s="282"/>
    </row>
    <row r="170" spans="1:116" s="24" customFormat="1" x14ac:dyDescent="0.3">
      <c r="A170" s="172"/>
      <c r="B170" s="172"/>
      <c r="C170" s="172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4"/>
      <c r="BZ170" s="172"/>
      <c r="CA170" s="172"/>
      <c r="CD170" s="194"/>
      <c r="CE170" s="194"/>
      <c r="CF170" s="194"/>
      <c r="CG170" s="194"/>
      <c r="CH170" s="195"/>
      <c r="CI170" s="194"/>
      <c r="CJ170" s="194"/>
      <c r="CK170" s="194"/>
      <c r="CL170" s="196"/>
      <c r="CM170" s="196"/>
      <c r="CN170" s="194"/>
      <c r="CO170" s="197"/>
      <c r="CP170" s="196"/>
      <c r="CQ170" s="196"/>
      <c r="CR170" s="196"/>
      <c r="CS170" s="196"/>
      <c r="CT170" s="196"/>
      <c r="CU170" s="196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6"/>
      <c r="DG170" s="198"/>
      <c r="DH170" s="194"/>
      <c r="DI170" s="282"/>
      <c r="DJ170" s="282"/>
      <c r="DK170" s="282"/>
      <c r="DL170" s="282"/>
    </row>
    <row r="171" spans="1:116" s="24" customFormat="1" x14ac:dyDescent="0.3">
      <c r="A171" s="172"/>
      <c r="B171" s="172"/>
      <c r="C171" s="172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4"/>
      <c r="BZ171" s="172"/>
      <c r="CA171" s="172"/>
      <c r="CD171" s="194"/>
      <c r="CE171" s="194"/>
      <c r="CF171" s="194"/>
      <c r="CG171" s="194"/>
      <c r="CH171" s="195"/>
      <c r="CI171" s="194"/>
      <c r="CJ171" s="194"/>
      <c r="CK171" s="194"/>
      <c r="CL171" s="196"/>
      <c r="CM171" s="196"/>
      <c r="CN171" s="194"/>
      <c r="CO171" s="197"/>
      <c r="CP171" s="196"/>
      <c r="CQ171" s="196"/>
      <c r="CR171" s="196"/>
      <c r="CS171" s="196"/>
      <c r="CT171" s="196"/>
      <c r="CU171" s="196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6"/>
      <c r="DG171" s="198"/>
      <c r="DH171" s="194"/>
      <c r="DI171" s="282"/>
      <c r="DJ171" s="282"/>
      <c r="DK171" s="282"/>
      <c r="DL171" s="282"/>
    </row>
    <row r="172" spans="1:116" s="24" customFormat="1" x14ac:dyDescent="0.3">
      <c r="A172" s="172"/>
      <c r="B172" s="172"/>
      <c r="C172" s="172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4"/>
      <c r="BZ172" s="172"/>
      <c r="CA172" s="172"/>
      <c r="CD172" s="194"/>
      <c r="CE172" s="194"/>
      <c r="CF172" s="194"/>
      <c r="CG172" s="194"/>
      <c r="CH172" s="195"/>
      <c r="CI172" s="194"/>
      <c r="CJ172" s="194"/>
      <c r="CK172" s="194"/>
      <c r="CL172" s="196"/>
      <c r="CM172" s="196"/>
      <c r="CN172" s="194"/>
      <c r="CO172" s="197"/>
      <c r="CP172" s="196"/>
      <c r="CQ172" s="196"/>
      <c r="CR172" s="196"/>
      <c r="CS172" s="196"/>
      <c r="CT172" s="196"/>
      <c r="CU172" s="196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6"/>
      <c r="DG172" s="198"/>
      <c r="DH172" s="194"/>
      <c r="DI172" s="282"/>
      <c r="DJ172" s="282"/>
      <c r="DK172" s="282"/>
      <c r="DL172" s="282"/>
    </row>
    <row r="173" spans="1:116" s="24" customFormat="1" x14ac:dyDescent="0.3">
      <c r="A173" s="172"/>
      <c r="B173" s="172"/>
      <c r="C173" s="172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4"/>
      <c r="BZ173" s="172"/>
      <c r="CA173" s="172"/>
      <c r="CD173" s="194"/>
      <c r="CE173" s="194"/>
      <c r="CF173" s="194"/>
      <c r="CG173" s="194"/>
      <c r="CH173" s="195"/>
      <c r="CI173" s="194"/>
      <c r="CJ173" s="194"/>
      <c r="CK173" s="194"/>
      <c r="CL173" s="196"/>
      <c r="CM173" s="196"/>
      <c r="CN173" s="194"/>
      <c r="CO173" s="197"/>
      <c r="CP173" s="196"/>
      <c r="CQ173" s="196"/>
      <c r="CR173" s="196"/>
      <c r="CS173" s="196"/>
      <c r="CT173" s="196"/>
      <c r="CU173" s="196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6"/>
      <c r="DG173" s="198"/>
      <c r="DH173" s="194"/>
      <c r="DI173" s="282"/>
      <c r="DJ173" s="282"/>
      <c r="DK173" s="282"/>
      <c r="DL173" s="282"/>
    </row>
    <row r="174" spans="1:116" s="24" customFormat="1" x14ac:dyDescent="0.3">
      <c r="A174" s="172"/>
      <c r="B174" s="172"/>
      <c r="C174" s="172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4"/>
      <c r="BZ174" s="172"/>
      <c r="CA174" s="172"/>
      <c r="CD174" s="194"/>
      <c r="CE174" s="194"/>
      <c r="CF174" s="194"/>
      <c r="CG174" s="194"/>
      <c r="CH174" s="195"/>
      <c r="CI174" s="194"/>
      <c r="CJ174" s="194"/>
      <c r="CK174" s="194"/>
      <c r="CL174" s="196"/>
      <c r="CM174" s="196"/>
      <c r="CN174" s="194"/>
      <c r="CO174" s="197"/>
      <c r="CP174" s="196"/>
      <c r="CQ174" s="196"/>
      <c r="CR174" s="196"/>
      <c r="CS174" s="196"/>
      <c r="CT174" s="196"/>
      <c r="CU174" s="196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6"/>
      <c r="DG174" s="198"/>
      <c r="DH174" s="194"/>
      <c r="DI174" s="282"/>
      <c r="DJ174" s="282"/>
      <c r="DK174" s="282"/>
      <c r="DL174" s="282"/>
    </row>
    <row r="175" spans="1:116" s="24" customFormat="1" x14ac:dyDescent="0.3">
      <c r="A175" s="172"/>
      <c r="B175" s="172"/>
      <c r="C175" s="172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4"/>
      <c r="BZ175" s="172"/>
      <c r="CA175" s="172"/>
      <c r="CD175" s="194"/>
      <c r="CE175" s="194"/>
      <c r="CF175" s="194"/>
      <c r="CG175" s="194"/>
      <c r="CH175" s="195"/>
      <c r="CI175" s="194"/>
      <c r="CJ175" s="194"/>
      <c r="CK175" s="194"/>
      <c r="CL175" s="196"/>
      <c r="CM175" s="196"/>
      <c r="CN175" s="194"/>
      <c r="CO175" s="197"/>
      <c r="CP175" s="196"/>
      <c r="CQ175" s="196"/>
      <c r="CR175" s="196"/>
      <c r="CS175" s="196"/>
      <c r="CT175" s="196"/>
      <c r="CU175" s="196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6"/>
      <c r="DG175" s="198"/>
      <c r="DH175" s="194"/>
      <c r="DI175" s="282"/>
      <c r="DJ175" s="282"/>
      <c r="DK175" s="282"/>
      <c r="DL175" s="282"/>
    </row>
    <row r="176" spans="1:116" s="24" customFormat="1" x14ac:dyDescent="0.3">
      <c r="A176" s="172"/>
      <c r="B176" s="172"/>
      <c r="C176" s="172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4"/>
      <c r="BZ176" s="172"/>
      <c r="CA176" s="172"/>
      <c r="CD176" s="194"/>
      <c r="CE176" s="194"/>
      <c r="CF176" s="194"/>
      <c r="CG176" s="194"/>
      <c r="CH176" s="195"/>
      <c r="CI176" s="194"/>
      <c r="CJ176" s="194"/>
      <c r="CK176" s="194"/>
      <c r="CL176" s="196"/>
      <c r="CM176" s="196"/>
      <c r="CN176" s="194"/>
      <c r="CO176" s="197"/>
      <c r="CP176" s="196"/>
      <c r="CQ176" s="196"/>
      <c r="CR176" s="196"/>
      <c r="CS176" s="196"/>
      <c r="CT176" s="196"/>
      <c r="CU176" s="196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6"/>
      <c r="DG176" s="198"/>
      <c r="DH176" s="194"/>
      <c r="DI176" s="282"/>
      <c r="DJ176" s="282"/>
      <c r="DK176" s="282"/>
      <c r="DL176" s="282"/>
    </row>
    <row r="177" spans="1:116" s="24" customFormat="1" x14ac:dyDescent="0.3">
      <c r="A177" s="172"/>
      <c r="B177" s="172"/>
      <c r="C177" s="172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4"/>
      <c r="BZ177" s="172"/>
      <c r="CA177" s="172"/>
      <c r="CD177" s="194"/>
      <c r="CE177" s="194"/>
      <c r="CF177" s="194"/>
      <c r="CG177" s="194"/>
      <c r="CH177" s="195"/>
      <c r="CI177" s="194"/>
      <c r="CJ177" s="194"/>
      <c r="CK177" s="194"/>
      <c r="CL177" s="196"/>
      <c r="CM177" s="196"/>
      <c r="CN177" s="194"/>
      <c r="CO177" s="197"/>
      <c r="CP177" s="196"/>
      <c r="CQ177" s="196"/>
      <c r="CR177" s="196"/>
      <c r="CS177" s="196"/>
      <c r="CT177" s="196"/>
      <c r="CU177" s="196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6"/>
      <c r="DG177" s="198"/>
      <c r="DH177" s="194"/>
      <c r="DI177" s="282"/>
      <c r="DJ177" s="282"/>
      <c r="DK177" s="282"/>
      <c r="DL177" s="282"/>
    </row>
    <row r="178" spans="1:116" s="24" customFormat="1" x14ac:dyDescent="0.3">
      <c r="A178" s="172"/>
      <c r="B178" s="172"/>
      <c r="C178" s="172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4"/>
      <c r="BZ178" s="172"/>
      <c r="CA178" s="172"/>
      <c r="CD178" s="194"/>
      <c r="CE178" s="194"/>
      <c r="CF178" s="194"/>
      <c r="CG178" s="194"/>
      <c r="CH178" s="195"/>
      <c r="CI178" s="194"/>
      <c r="CJ178" s="194"/>
      <c r="CK178" s="194"/>
      <c r="CL178" s="196"/>
      <c r="CM178" s="196"/>
      <c r="CN178" s="194"/>
      <c r="CO178" s="197"/>
      <c r="CP178" s="196"/>
      <c r="CQ178" s="196"/>
      <c r="CR178" s="196"/>
      <c r="CS178" s="196"/>
      <c r="CT178" s="196"/>
      <c r="CU178" s="196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6"/>
      <c r="DG178" s="198"/>
      <c r="DH178" s="194"/>
      <c r="DI178" s="282"/>
      <c r="DJ178" s="282"/>
      <c r="DK178" s="282"/>
      <c r="DL178" s="282"/>
    </row>
    <row r="179" spans="1:116" s="24" customFormat="1" x14ac:dyDescent="0.3">
      <c r="A179" s="172"/>
      <c r="B179" s="172"/>
      <c r="C179" s="172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4"/>
      <c r="BZ179" s="172"/>
      <c r="CA179" s="172"/>
      <c r="CD179" s="194"/>
      <c r="CE179" s="194"/>
      <c r="CF179" s="194"/>
      <c r="CG179" s="194"/>
      <c r="CH179" s="195"/>
      <c r="CI179" s="194"/>
      <c r="CJ179" s="194"/>
      <c r="CK179" s="194"/>
      <c r="CL179" s="196"/>
      <c r="CM179" s="196"/>
      <c r="CN179" s="194"/>
      <c r="CO179" s="197"/>
      <c r="CP179" s="196"/>
      <c r="CQ179" s="196"/>
      <c r="CR179" s="196"/>
      <c r="CS179" s="196"/>
      <c r="CT179" s="196"/>
      <c r="CU179" s="196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6"/>
      <c r="DG179" s="198"/>
      <c r="DH179" s="194"/>
      <c r="DI179" s="282"/>
      <c r="DJ179" s="282"/>
      <c r="DK179" s="282"/>
      <c r="DL179" s="282"/>
    </row>
    <row r="180" spans="1:116" s="24" customFormat="1" x14ac:dyDescent="0.3">
      <c r="A180" s="172"/>
      <c r="B180" s="172"/>
      <c r="C180" s="172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4"/>
      <c r="BZ180" s="172"/>
      <c r="CA180" s="172"/>
      <c r="CD180" s="194"/>
      <c r="CE180" s="194"/>
      <c r="CF180" s="194"/>
      <c r="CG180" s="194"/>
      <c r="CH180" s="195"/>
      <c r="CI180" s="194"/>
      <c r="CJ180" s="194"/>
      <c r="CK180" s="194"/>
      <c r="CL180" s="196"/>
      <c r="CM180" s="196"/>
      <c r="CN180" s="194"/>
      <c r="CO180" s="197"/>
      <c r="CP180" s="196"/>
      <c r="CQ180" s="196"/>
      <c r="CR180" s="196"/>
      <c r="CS180" s="196"/>
      <c r="CT180" s="196"/>
      <c r="CU180" s="196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6"/>
      <c r="DG180" s="198"/>
      <c r="DH180" s="194"/>
      <c r="DI180" s="282"/>
      <c r="DJ180" s="282"/>
      <c r="DK180" s="282"/>
      <c r="DL180" s="282"/>
    </row>
    <row r="181" spans="1:116" s="24" customFormat="1" x14ac:dyDescent="0.3">
      <c r="A181" s="172"/>
      <c r="B181" s="172"/>
      <c r="C181" s="172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4"/>
      <c r="BZ181" s="172"/>
      <c r="CA181" s="172"/>
      <c r="CD181" s="194"/>
      <c r="CE181" s="194"/>
      <c r="CF181" s="194"/>
      <c r="CG181" s="194"/>
      <c r="CH181" s="195"/>
      <c r="CI181" s="194"/>
      <c r="CJ181" s="194"/>
      <c r="CK181" s="194"/>
      <c r="CL181" s="196"/>
      <c r="CM181" s="196"/>
      <c r="CN181" s="194"/>
      <c r="CO181" s="197"/>
      <c r="CP181" s="196"/>
      <c r="CQ181" s="196"/>
      <c r="CR181" s="196"/>
      <c r="CS181" s="196"/>
      <c r="CT181" s="196"/>
      <c r="CU181" s="196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6"/>
      <c r="DG181" s="198"/>
      <c r="DH181" s="194"/>
      <c r="DI181" s="282"/>
      <c r="DJ181" s="282"/>
      <c r="DK181" s="282"/>
      <c r="DL181" s="282"/>
    </row>
    <row r="182" spans="1:116" s="24" customFormat="1" x14ac:dyDescent="0.3">
      <c r="A182" s="172"/>
      <c r="B182" s="172"/>
      <c r="C182" s="172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4"/>
      <c r="BZ182" s="172"/>
      <c r="CA182" s="172"/>
      <c r="CD182" s="194"/>
      <c r="CE182" s="194"/>
      <c r="CF182" s="194"/>
      <c r="CG182" s="194"/>
      <c r="CH182" s="195"/>
      <c r="CI182" s="194"/>
      <c r="CJ182" s="194"/>
      <c r="CK182" s="194"/>
      <c r="CL182" s="196"/>
      <c r="CM182" s="196"/>
      <c r="CN182" s="194"/>
      <c r="CO182" s="197"/>
      <c r="CP182" s="196"/>
      <c r="CQ182" s="196"/>
      <c r="CR182" s="196"/>
      <c r="CS182" s="196"/>
      <c r="CT182" s="196"/>
      <c r="CU182" s="196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6"/>
      <c r="DG182" s="198"/>
      <c r="DH182" s="194"/>
      <c r="DI182" s="282"/>
      <c r="DJ182" s="282"/>
      <c r="DK182" s="282"/>
      <c r="DL182" s="282"/>
    </row>
    <row r="183" spans="1:116" s="24" customFormat="1" x14ac:dyDescent="0.3">
      <c r="A183" s="172"/>
      <c r="B183" s="172"/>
      <c r="C183" s="172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4"/>
      <c r="BZ183" s="172"/>
      <c r="CA183" s="172"/>
      <c r="CD183" s="194"/>
      <c r="CE183" s="194"/>
      <c r="CF183" s="194"/>
      <c r="CG183" s="194"/>
      <c r="CH183" s="195"/>
      <c r="CI183" s="194"/>
      <c r="CJ183" s="194"/>
      <c r="CK183" s="194"/>
      <c r="CL183" s="196"/>
      <c r="CM183" s="196"/>
      <c r="CN183" s="194"/>
      <c r="CO183" s="197"/>
      <c r="CP183" s="196"/>
      <c r="CQ183" s="196"/>
      <c r="CR183" s="196"/>
      <c r="CS183" s="196"/>
      <c r="CT183" s="196"/>
      <c r="CU183" s="196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6"/>
      <c r="DG183" s="198"/>
      <c r="DH183" s="194"/>
      <c r="DI183" s="282"/>
      <c r="DJ183" s="282"/>
      <c r="DK183" s="282"/>
      <c r="DL183" s="282"/>
    </row>
    <row r="184" spans="1:116" s="24" customFormat="1" x14ac:dyDescent="0.3">
      <c r="A184" s="172"/>
      <c r="B184" s="172"/>
      <c r="C184" s="172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4"/>
      <c r="BZ184" s="172"/>
      <c r="CA184" s="172"/>
      <c r="CD184" s="194"/>
      <c r="CE184" s="194"/>
      <c r="CF184" s="194"/>
      <c r="CG184" s="194"/>
      <c r="CH184" s="195"/>
      <c r="CI184" s="194"/>
      <c r="CJ184" s="194"/>
      <c r="CK184" s="194"/>
      <c r="CL184" s="196"/>
      <c r="CM184" s="196"/>
      <c r="CN184" s="194"/>
      <c r="CO184" s="197"/>
      <c r="CP184" s="196"/>
      <c r="CQ184" s="196"/>
      <c r="CR184" s="196"/>
      <c r="CS184" s="196"/>
      <c r="CT184" s="196"/>
      <c r="CU184" s="196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6"/>
      <c r="DG184" s="198"/>
      <c r="DH184" s="194"/>
      <c r="DI184" s="282"/>
      <c r="DJ184" s="282"/>
      <c r="DK184" s="282"/>
      <c r="DL184" s="282"/>
    </row>
    <row r="185" spans="1:116" s="24" customFormat="1" x14ac:dyDescent="0.3">
      <c r="A185" s="172"/>
      <c r="B185" s="172"/>
      <c r="C185" s="172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4"/>
      <c r="BZ185" s="172"/>
      <c r="CA185" s="172"/>
      <c r="CD185" s="194"/>
      <c r="CE185" s="194"/>
      <c r="CF185" s="194"/>
      <c r="CG185" s="194"/>
      <c r="CH185" s="195"/>
      <c r="CI185" s="194"/>
      <c r="CJ185" s="194"/>
      <c r="CK185" s="194"/>
      <c r="CL185" s="196"/>
      <c r="CM185" s="196"/>
      <c r="CN185" s="194"/>
      <c r="CO185" s="197"/>
      <c r="CP185" s="196"/>
      <c r="CQ185" s="196"/>
      <c r="CR185" s="196"/>
      <c r="CS185" s="196"/>
      <c r="CT185" s="196"/>
      <c r="CU185" s="196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6"/>
      <c r="DG185" s="198"/>
      <c r="DH185" s="194"/>
      <c r="DI185" s="282"/>
      <c r="DJ185" s="282"/>
      <c r="DK185" s="282"/>
      <c r="DL185" s="282"/>
    </row>
    <row r="186" spans="1:116" s="24" customFormat="1" x14ac:dyDescent="0.3">
      <c r="A186" s="172"/>
      <c r="B186" s="172"/>
      <c r="C186" s="172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4"/>
      <c r="BZ186" s="172"/>
      <c r="CA186" s="172"/>
      <c r="CD186" s="194"/>
      <c r="CE186" s="194"/>
      <c r="CF186" s="194"/>
      <c r="CG186" s="194"/>
      <c r="CH186" s="195"/>
      <c r="CI186" s="194"/>
      <c r="CJ186" s="194"/>
      <c r="CK186" s="194"/>
      <c r="CL186" s="196"/>
      <c r="CM186" s="196"/>
      <c r="CN186" s="194"/>
      <c r="CO186" s="197"/>
      <c r="CP186" s="196"/>
      <c r="CQ186" s="196"/>
      <c r="CR186" s="196"/>
      <c r="CS186" s="196"/>
      <c r="CT186" s="196"/>
      <c r="CU186" s="196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6"/>
      <c r="DG186" s="198"/>
      <c r="DH186" s="194"/>
      <c r="DI186" s="282"/>
      <c r="DJ186" s="282"/>
      <c r="DK186" s="282"/>
      <c r="DL186" s="282"/>
    </row>
    <row r="187" spans="1:116" s="24" customFormat="1" x14ac:dyDescent="0.3">
      <c r="A187" s="172"/>
      <c r="B187" s="172"/>
      <c r="C187" s="172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4"/>
      <c r="BZ187" s="172"/>
      <c r="CA187" s="172"/>
      <c r="CD187" s="194"/>
      <c r="CE187" s="194"/>
      <c r="CF187" s="194"/>
      <c r="CG187" s="194"/>
      <c r="CH187" s="195"/>
      <c r="CI187" s="194"/>
      <c r="CJ187" s="194"/>
      <c r="CK187" s="194"/>
      <c r="CL187" s="196"/>
      <c r="CM187" s="196"/>
      <c r="CN187" s="194"/>
      <c r="CO187" s="197"/>
      <c r="CP187" s="196"/>
      <c r="CQ187" s="196"/>
      <c r="CR187" s="196"/>
      <c r="CS187" s="196"/>
      <c r="CT187" s="196"/>
      <c r="CU187" s="196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6"/>
      <c r="DG187" s="198"/>
      <c r="DH187" s="194"/>
      <c r="DI187" s="282"/>
      <c r="DJ187" s="282"/>
      <c r="DK187" s="282"/>
      <c r="DL187" s="282"/>
    </row>
    <row r="188" spans="1:116" s="24" customFormat="1" x14ac:dyDescent="0.3">
      <c r="A188" s="172"/>
      <c r="B188" s="172"/>
      <c r="C188" s="172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4"/>
      <c r="BZ188" s="172"/>
      <c r="CA188" s="172"/>
      <c r="CD188" s="194"/>
      <c r="CE188" s="194"/>
      <c r="CF188" s="194"/>
      <c r="CG188" s="194"/>
      <c r="CH188" s="195"/>
      <c r="CI188" s="194"/>
      <c r="CJ188" s="194"/>
      <c r="CK188" s="194"/>
      <c r="CL188" s="196"/>
      <c r="CM188" s="196"/>
      <c r="CN188" s="194"/>
      <c r="CO188" s="197"/>
      <c r="CP188" s="196"/>
      <c r="CQ188" s="196"/>
      <c r="CR188" s="196"/>
      <c r="CS188" s="196"/>
      <c r="CT188" s="196"/>
      <c r="CU188" s="196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6"/>
      <c r="DG188" s="198"/>
      <c r="DH188" s="194"/>
      <c r="DI188" s="282"/>
      <c r="DJ188" s="282"/>
      <c r="DK188" s="282"/>
      <c r="DL188" s="282"/>
    </row>
    <row r="189" spans="1:116" s="24" customFormat="1" x14ac:dyDescent="0.3">
      <c r="A189" s="172"/>
      <c r="B189" s="172"/>
      <c r="C189" s="172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4"/>
      <c r="BZ189" s="172"/>
      <c r="CA189" s="172"/>
      <c r="CD189" s="194"/>
      <c r="CE189" s="194"/>
      <c r="CF189" s="194"/>
      <c r="CG189" s="194"/>
      <c r="CH189" s="195"/>
      <c r="CI189" s="194"/>
      <c r="CJ189" s="194"/>
      <c r="CK189" s="194"/>
      <c r="CL189" s="196"/>
      <c r="CM189" s="196"/>
      <c r="CN189" s="194"/>
      <c r="CO189" s="197"/>
      <c r="CP189" s="196"/>
      <c r="CQ189" s="196"/>
      <c r="CR189" s="196"/>
      <c r="CS189" s="196"/>
      <c r="CT189" s="196"/>
      <c r="CU189" s="196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6"/>
      <c r="DG189" s="198"/>
      <c r="DH189" s="194"/>
      <c r="DI189" s="282"/>
      <c r="DJ189" s="282"/>
      <c r="DK189" s="282"/>
      <c r="DL189" s="282"/>
    </row>
    <row r="190" spans="1:116" s="24" customFormat="1" x14ac:dyDescent="0.3">
      <c r="A190" s="172"/>
      <c r="B190" s="172"/>
      <c r="C190" s="172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4"/>
      <c r="BZ190" s="172"/>
      <c r="CA190" s="172"/>
      <c r="CD190" s="194"/>
      <c r="CE190" s="194"/>
      <c r="CF190" s="194"/>
      <c r="CG190" s="194"/>
      <c r="CH190" s="195"/>
      <c r="CI190" s="194"/>
      <c r="CJ190" s="194"/>
      <c r="CK190" s="194"/>
      <c r="CL190" s="196"/>
      <c r="CM190" s="196"/>
      <c r="CN190" s="194"/>
      <c r="CO190" s="197"/>
      <c r="CP190" s="196"/>
      <c r="CQ190" s="196"/>
      <c r="CR190" s="196"/>
      <c r="CS190" s="196"/>
      <c r="CT190" s="196"/>
      <c r="CU190" s="196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6"/>
      <c r="DG190" s="198"/>
      <c r="DH190" s="194"/>
      <c r="DI190" s="282"/>
      <c r="DJ190" s="282"/>
      <c r="DK190" s="282"/>
      <c r="DL190" s="282"/>
    </row>
    <row r="191" spans="1:116" s="24" customFormat="1" x14ac:dyDescent="0.3">
      <c r="A191" s="172"/>
      <c r="B191" s="172"/>
      <c r="C191" s="172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4"/>
      <c r="BZ191" s="172"/>
      <c r="CA191" s="172"/>
      <c r="CD191" s="194"/>
      <c r="CE191" s="194"/>
      <c r="CF191" s="194"/>
      <c r="CG191" s="194"/>
      <c r="CH191" s="195"/>
      <c r="CI191" s="194"/>
      <c r="CJ191" s="194"/>
      <c r="CK191" s="194"/>
      <c r="CL191" s="196"/>
      <c r="CM191" s="196"/>
      <c r="CN191" s="194"/>
      <c r="CO191" s="197"/>
      <c r="CP191" s="196"/>
      <c r="CQ191" s="196"/>
      <c r="CR191" s="196"/>
      <c r="CS191" s="196"/>
      <c r="CT191" s="196"/>
      <c r="CU191" s="196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6"/>
      <c r="DG191" s="198"/>
      <c r="DH191" s="194"/>
      <c r="DI191" s="282"/>
      <c r="DJ191" s="282"/>
      <c r="DK191" s="282"/>
      <c r="DL191" s="282"/>
    </row>
    <row r="192" spans="1:116" s="24" customFormat="1" x14ac:dyDescent="0.3">
      <c r="A192" s="172"/>
      <c r="B192" s="172"/>
      <c r="C192" s="172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4"/>
      <c r="BZ192" s="172"/>
      <c r="CA192" s="172"/>
      <c r="CD192" s="194"/>
      <c r="CE192" s="194"/>
      <c r="CF192" s="194"/>
      <c r="CG192" s="194"/>
      <c r="CH192" s="195"/>
      <c r="CI192" s="194"/>
      <c r="CJ192" s="194"/>
      <c r="CK192" s="194"/>
      <c r="CL192" s="196"/>
      <c r="CM192" s="196"/>
      <c r="CN192" s="194"/>
      <c r="CO192" s="197"/>
      <c r="CP192" s="196"/>
      <c r="CQ192" s="196"/>
      <c r="CR192" s="196"/>
      <c r="CS192" s="196"/>
      <c r="CT192" s="196"/>
      <c r="CU192" s="196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6"/>
      <c r="DG192" s="198"/>
      <c r="DH192" s="194"/>
      <c r="DI192" s="282"/>
      <c r="DJ192" s="282"/>
      <c r="DK192" s="282"/>
      <c r="DL192" s="282"/>
    </row>
    <row r="193" spans="1:116" s="24" customFormat="1" x14ac:dyDescent="0.3">
      <c r="A193" s="172"/>
      <c r="B193" s="172"/>
      <c r="C193" s="172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4"/>
      <c r="BZ193" s="172"/>
      <c r="CA193" s="172"/>
      <c r="CD193" s="194"/>
      <c r="CE193" s="194"/>
      <c r="CF193" s="194"/>
      <c r="CG193" s="194"/>
      <c r="CH193" s="195"/>
      <c r="CI193" s="194"/>
      <c r="CJ193" s="194"/>
      <c r="CK193" s="194"/>
      <c r="CL193" s="196"/>
      <c r="CM193" s="196"/>
      <c r="CN193" s="194"/>
      <c r="CO193" s="197"/>
      <c r="CP193" s="196"/>
      <c r="CQ193" s="196"/>
      <c r="CR193" s="196"/>
      <c r="CS193" s="196"/>
      <c r="CT193" s="196"/>
      <c r="CU193" s="196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6"/>
      <c r="DG193" s="198"/>
      <c r="DH193" s="194"/>
      <c r="DI193" s="282"/>
      <c r="DJ193" s="282"/>
      <c r="DK193" s="282"/>
      <c r="DL193" s="282"/>
    </row>
    <row r="194" spans="1:116" s="24" customFormat="1" x14ac:dyDescent="0.3">
      <c r="A194" s="172"/>
      <c r="B194" s="172"/>
      <c r="C194" s="172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4"/>
      <c r="BZ194" s="172"/>
      <c r="CA194" s="172"/>
      <c r="CD194" s="194"/>
      <c r="CE194" s="194"/>
      <c r="CF194" s="194"/>
      <c r="CG194" s="194"/>
      <c r="CH194" s="195"/>
      <c r="CI194" s="194"/>
      <c r="CJ194" s="194"/>
      <c r="CK194" s="194"/>
      <c r="CL194" s="196"/>
      <c r="CM194" s="196"/>
      <c r="CN194" s="194"/>
      <c r="CO194" s="197"/>
      <c r="CP194" s="196"/>
      <c r="CQ194" s="196"/>
      <c r="CR194" s="196"/>
      <c r="CS194" s="196"/>
      <c r="CT194" s="196"/>
      <c r="CU194" s="196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6"/>
      <c r="DG194" s="198"/>
      <c r="DH194" s="194"/>
      <c r="DI194" s="282"/>
      <c r="DJ194" s="282"/>
      <c r="DK194" s="282"/>
      <c r="DL194" s="282"/>
    </row>
    <row r="195" spans="1:116" s="24" customFormat="1" x14ac:dyDescent="0.3">
      <c r="A195" s="172"/>
      <c r="B195" s="172"/>
      <c r="C195" s="172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4"/>
      <c r="BZ195" s="172"/>
      <c r="CA195" s="172"/>
      <c r="CD195" s="194"/>
      <c r="CE195" s="194"/>
      <c r="CF195" s="194"/>
      <c r="CG195" s="194"/>
      <c r="CH195" s="195"/>
      <c r="CI195" s="194"/>
      <c r="CJ195" s="194"/>
      <c r="CK195" s="194"/>
      <c r="CL195" s="196"/>
      <c r="CM195" s="196"/>
      <c r="CN195" s="194"/>
      <c r="CO195" s="197"/>
      <c r="CP195" s="196"/>
      <c r="CQ195" s="196"/>
      <c r="CR195" s="196"/>
      <c r="CS195" s="196"/>
      <c r="CT195" s="196"/>
      <c r="CU195" s="196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6"/>
      <c r="DG195" s="198"/>
      <c r="DH195" s="194"/>
      <c r="DI195" s="282"/>
      <c r="DJ195" s="282"/>
      <c r="DK195" s="282"/>
      <c r="DL195" s="282"/>
    </row>
    <row r="196" spans="1:116" s="24" customFormat="1" x14ac:dyDescent="0.3">
      <c r="A196" s="172"/>
      <c r="B196" s="172"/>
      <c r="C196" s="172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4"/>
      <c r="BZ196" s="172"/>
      <c r="CA196" s="172"/>
      <c r="CD196" s="194"/>
      <c r="CE196" s="194"/>
      <c r="CF196" s="194"/>
      <c r="CG196" s="194"/>
      <c r="CH196" s="195"/>
      <c r="CI196" s="194"/>
      <c r="CJ196" s="194"/>
      <c r="CK196" s="194"/>
      <c r="CL196" s="196"/>
      <c r="CM196" s="196"/>
      <c r="CN196" s="194"/>
      <c r="CO196" s="197"/>
      <c r="CP196" s="196"/>
      <c r="CQ196" s="196"/>
      <c r="CR196" s="196"/>
      <c r="CS196" s="196"/>
      <c r="CT196" s="196"/>
      <c r="CU196" s="196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6"/>
      <c r="DG196" s="198"/>
      <c r="DH196" s="194"/>
      <c r="DI196" s="282"/>
      <c r="DJ196" s="282"/>
      <c r="DK196" s="282"/>
      <c r="DL196" s="282"/>
    </row>
    <row r="197" spans="1:116" s="24" customFormat="1" x14ac:dyDescent="0.3">
      <c r="A197" s="172"/>
      <c r="B197" s="172"/>
      <c r="C197" s="172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4"/>
      <c r="BZ197" s="172"/>
      <c r="CA197" s="172"/>
      <c r="CD197" s="194"/>
      <c r="CE197" s="194"/>
      <c r="CF197" s="194"/>
      <c r="CG197" s="194"/>
      <c r="CH197" s="195"/>
      <c r="CI197" s="194"/>
      <c r="CJ197" s="194"/>
      <c r="CK197" s="194"/>
      <c r="CL197" s="196"/>
      <c r="CM197" s="196"/>
      <c r="CN197" s="194"/>
      <c r="CO197" s="197"/>
      <c r="CP197" s="196"/>
      <c r="CQ197" s="196"/>
      <c r="CR197" s="196"/>
      <c r="CS197" s="196"/>
      <c r="CT197" s="196"/>
      <c r="CU197" s="196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6"/>
      <c r="DG197" s="198"/>
      <c r="DH197" s="194"/>
      <c r="DI197" s="282"/>
      <c r="DJ197" s="282"/>
      <c r="DK197" s="282"/>
      <c r="DL197" s="282"/>
    </row>
    <row r="198" spans="1:116" s="24" customFormat="1" x14ac:dyDescent="0.3">
      <c r="A198" s="172"/>
      <c r="B198" s="172"/>
      <c r="C198" s="172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4"/>
      <c r="BZ198" s="172"/>
      <c r="CA198" s="172"/>
      <c r="CD198" s="194"/>
      <c r="CE198" s="194"/>
      <c r="CF198" s="194"/>
      <c r="CG198" s="194"/>
      <c r="CH198" s="195"/>
      <c r="CI198" s="194"/>
      <c r="CJ198" s="194"/>
      <c r="CK198" s="194"/>
      <c r="CL198" s="196"/>
      <c r="CM198" s="196"/>
      <c r="CN198" s="194"/>
      <c r="CO198" s="197"/>
      <c r="CP198" s="196"/>
      <c r="CQ198" s="196"/>
      <c r="CR198" s="196"/>
      <c r="CS198" s="196"/>
      <c r="CT198" s="196"/>
      <c r="CU198" s="196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6"/>
      <c r="DG198" s="198"/>
      <c r="DH198" s="194"/>
      <c r="DI198" s="282"/>
      <c r="DJ198" s="282"/>
      <c r="DK198" s="282"/>
      <c r="DL198" s="282"/>
    </row>
    <row r="199" spans="1:116" s="24" customFormat="1" x14ac:dyDescent="0.3">
      <c r="A199" s="172"/>
      <c r="B199" s="172"/>
      <c r="C199" s="172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4"/>
      <c r="BZ199" s="172"/>
      <c r="CA199" s="172"/>
      <c r="CD199" s="194"/>
      <c r="CE199" s="194"/>
      <c r="CF199" s="194"/>
      <c r="CG199" s="194"/>
      <c r="CH199" s="195"/>
      <c r="CI199" s="194"/>
      <c r="CJ199" s="194"/>
      <c r="CK199" s="194"/>
      <c r="CL199" s="196"/>
      <c r="CM199" s="196"/>
      <c r="CN199" s="194"/>
      <c r="CO199" s="197"/>
      <c r="CP199" s="196"/>
      <c r="CQ199" s="196"/>
      <c r="CR199" s="196"/>
      <c r="CS199" s="196"/>
      <c r="CT199" s="196"/>
      <c r="CU199" s="196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6"/>
      <c r="DG199" s="198"/>
      <c r="DH199" s="194"/>
      <c r="DI199" s="282"/>
      <c r="DJ199" s="282"/>
      <c r="DK199" s="282"/>
      <c r="DL199" s="282"/>
    </row>
    <row r="200" spans="1:116" s="24" customFormat="1" x14ac:dyDescent="0.3">
      <c r="A200" s="172"/>
      <c r="B200" s="172"/>
      <c r="C200" s="172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4"/>
      <c r="BZ200" s="172"/>
      <c r="CA200" s="172"/>
      <c r="CD200" s="194"/>
      <c r="CE200" s="194"/>
      <c r="CF200" s="194"/>
      <c r="CG200" s="194"/>
      <c r="CH200" s="195"/>
      <c r="CI200" s="194"/>
      <c r="CJ200" s="194"/>
      <c r="CK200" s="194"/>
      <c r="CL200" s="196"/>
      <c r="CM200" s="196"/>
      <c r="CN200" s="194"/>
      <c r="CO200" s="197"/>
      <c r="CP200" s="196"/>
      <c r="CQ200" s="196"/>
      <c r="CR200" s="196"/>
      <c r="CS200" s="196"/>
      <c r="CT200" s="196"/>
      <c r="CU200" s="196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6"/>
      <c r="DG200" s="198"/>
      <c r="DH200" s="194"/>
      <c r="DI200" s="282"/>
      <c r="DJ200" s="282"/>
      <c r="DK200" s="282"/>
      <c r="DL200" s="282"/>
    </row>
    <row r="201" spans="1:116" s="24" customFormat="1" x14ac:dyDescent="0.3">
      <c r="A201" s="172"/>
      <c r="B201" s="172"/>
      <c r="C201" s="172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4"/>
      <c r="BZ201" s="172"/>
      <c r="CA201" s="172"/>
      <c r="CD201" s="194"/>
      <c r="CE201" s="194"/>
      <c r="CF201" s="194"/>
      <c r="CG201" s="194"/>
      <c r="CH201" s="195"/>
      <c r="CI201" s="194"/>
      <c r="CJ201" s="194"/>
      <c r="CK201" s="194"/>
      <c r="CL201" s="196"/>
      <c r="CM201" s="196"/>
      <c r="CN201" s="194"/>
      <c r="CO201" s="197"/>
      <c r="CP201" s="196"/>
      <c r="CQ201" s="196"/>
      <c r="CR201" s="196"/>
      <c r="CS201" s="196"/>
      <c r="CT201" s="196"/>
      <c r="CU201" s="196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6"/>
      <c r="DG201" s="198"/>
      <c r="DH201" s="194"/>
      <c r="DI201" s="282"/>
      <c r="DJ201" s="282"/>
      <c r="DK201" s="282"/>
      <c r="DL201" s="282"/>
    </row>
    <row r="202" spans="1:116" s="24" customFormat="1" x14ac:dyDescent="0.3">
      <c r="A202" s="172"/>
      <c r="B202" s="172"/>
      <c r="C202" s="172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4"/>
      <c r="BZ202" s="172"/>
      <c r="CA202" s="172"/>
      <c r="CD202" s="194"/>
      <c r="CE202" s="194"/>
      <c r="CF202" s="194"/>
      <c r="CG202" s="194"/>
      <c r="CH202" s="195"/>
      <c r="CI202" s="194"/>
      <c r="CJ202" s="194"/>
      <c r="CK202" s="194"/>
      <c r="CL202" s="196"/>
      <c r="CM202" s="196"/>
      <c r="CN202" s="194"/>
      <c r="CO202" s="197"/>
      <c r="CP202" s="196"/>
      <c r="CQ202" s="196"/>
      <c r="CR202" s="196"/>
      <c r="CS202" s="196"/>
      <c r="CT202" s="196"/>
      <c r="CU202" s="196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6"/>
      <c r="DG202" s="198"/>
      <c r="DH202" s="194"/>
      <c r="DI202" s="282"/>
      <c r="DJ202" s="282"/>
      <c r="DK202" s="282"/>
      <c r="DL202" s="282"/>
    </row>
    <row r="203" spans="1:116" s="24" customFormat="1" x14ac:dyDescent="0.3">
      <c r="A203" s="172"/>
      <c r="B203" s="172"/>
      <c r="C203" s="172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4"/>
      <c r="BZ203" s="172"/>
      <c r="CA203" s="172"/>
      <c r="CD203" s="194"/>
      <c r="CE203" s="194"/>
      <c r="CF203" s="194"/>
      <c r="CG203" s="194"/>
      <c r="CH203" s="195"/>
      <c r="CI203" s="194"/>
      <c r="CJ203" s="194"/>
      <c r="CK203" s="194"/>
      <c r="CL203" s="196"/>
      <c r="CM203" s="196"/>
      <c r="CN203" s="194"/>
      <c r="CO203" s="197"/>
      <c r="CP203" s="196"/>
      <c r="CQ203" s="196"/>
      <c r="CR203" s="196"/>
      <c r="CS203" s="196"/>
      <c r="CT203" s="196"/>
      <c r="CU203" s="196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6"/>
      <c r="DG203" s="198"/>
      <c r="DH203" s="194"/>
      <c r="DI203" s="282"/>
      <c r="DJ203" s="282"/>
      <c r="DK203" s="282"/>
      <c r="DL203" s="282"/>
    </row>
    <row r="204" spans="1:116" s="24" customFormat="1" x14ac:dyDescent="0.3">
      <c r="A204" s="172"/>
      <c r="B204" s="172"/>
      <c r="C204" s="172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4"/>
      <c r="BZ204" s="172"/>
      <c r="CA204" s="172"/>
      <c r="CD204" s="194"/>
      <c r="CE204" s="194"/>
      <c r="CF204" s="194"/>
      <c r="CG204" s="194"/>
      <c r="CH204" s="195"/>
      <c r="CI204" s="194"/>
      <c r="CJ204" s="194"/>
      <c r="CK204" s="194"/>
      <c r="CL204" s="196"/>
      <c r="CM204" s="196"/>
      <c r="CN204" s="194"/>
      <c r="CO204" s="197"/>
      <c r="CP204" s="196"/>
      <c r="CQ204" s="196"/>
      <c r="CR204" s="196"/>
      <c r="CS204" s="196"/>
      <c r="CT204" s="196"/>
      <c r="CU204" s="196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6"/>
      <c r="DG204" s="198"/>
      <c r="DH204" s="194"/>
      <c r="DI204" s="282"/>
      <c r="DJ204" s="282"/>
      <c r="DK204" s="282"/>
      <c r="DL204" s="282"/>
    </row>
    <row r="205" spans="1:116" s="24" customFormat="1" x14ac:dyDescent="0.3">
      <c r="A205" s="172"/>
      <c r="B205" s="172"/>
      <c r="C205" s="172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4"/>
      <c r="BZ205" s="172"/>
      <c r="CA205" s="172"/>
      <c r="CD205" s="194"/>
      <c r="CE205" s="194"/>
      <c r="CF205" s="194"/>
      <c r="CG205" s="194"/>
      <c r="CH205" s="195"/>
      <c r="CI205" s="194"/>
      <c r="CJ205" s="194"/>
      <c r="CK205" s="194"/>
      <c r="CL205" s="196"/>
      <c r="CM205" s="196"/>
      <c r="CN205" s="194"/>
      <c r="CO205" s="197"/>
      <c r="CP205" s="196"/>
      <c r="CQ205" s="196"/>
      <c r="CR205" s="196"/>
      <c r="CS205" s="196"/>
      <c r="CT205" s="196"/>
      <c r="CU205" s="196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6"/>
      <c r="DG205" s="198"/>
      <c r="DH205" s="194"/>
      <c r="DI205" s="282"/>
      <c r="DJ205" s="282"/>
      <c r="DK205" s="282"/>
      <c r="DL205" s="282"/>
    </row>
    <row r="206" spans="1:116" s="24" customFormat="1" x14ac:dyDescent="0.3">
      <c r="A206" s="172"/>
      <c r="B206" s="172"/>
      <c r="C206" s="172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4"/>
      <c r="BZ206" s="172"/>
      <c r="CA206" s="172"/>
      <c r="CD206" s="194"/>
      <c r="CE206" s="194"/>
      <c r="CF206" s="194"/>
      <c r="CG206" s="194"/>
      <c r="CH206" s="195"/>
      <c r="CI206" s="194"/>
      <c r="CJ206" s="194"/>
      <c r="CK206" s="194"/>
      <c r="CL206" s="196"/>
      <c r="CM206" s="196"/>
      <c r="CN206" s="194"/>
      <c r="CO206" s="197"/>
      <c r="CP206" s="196"/>
      <c r="CQ206" s="196"/>
      <c r="CR206" s="196"/>
      <c r="CS206" s="196"/>
      <c r="CT206" s="196"/>
      <c r="CU206" s="196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6"/>
      <c r="DG206" s="198"/>
      <c r="DH206" s="194"/>
      <c r="DI206" s="282"/>
      <c r="DJ206" s="282"/>
      <c r="DK206" s="282"/>
      <c r="DL206" s="282"/>
    </row>
    <row r="207" spans="1:116" s="24" customFormat="1" x14ac:dyDescent="0.3">
      <c r="A207" s="172"/>
      <c r="B207" s="172"/>
      <c r="C207" s="172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4"/>
      <c r="BZ207" s="172"/>
      <c r="CA207" s="172"/>
      <c r="CD207" s="194"/>
      <c r="CE207" s="194"/>
      <c r="CF207" s="194"/>
      <c r="CG207" s="194"/>
      <c r="CH207" s="195"/>
      <c r="CI207" s="194"/>
      <c r="CJ207" s="194"/>
      <c r="CK207" s="194"/>
      <c r="CL207" s="196"/>
      <c r="CM207" s="196"/>
      <c r="CN207" s="194"/>
      <c r="CO207" s="197"/>
      <c r="CP207" s="196"/>
      <c r="CQ207" s="196"/>
      <c r="CR207" s="196"/>
      <c r="CS207" s="196"/>
      <c r="CT207" s="196"/>
      <c r="CU207" s="196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6"/>
      <c r="DG207" s="198"/>
      <c r="DH207" s="194"/>
      <c r="DI207" s="282"/>
      <c r="DJ207" s="282"/>
      <c r="DK207" s="282"/>
      <c r="DL207" s="282"/>
    </row>
    <row r="208" spans="1:116" s="24" customFormat="1" x14ac:dyDescent="0.3">
      <c r="A208" s="172"/>
      <c r="B208" s="172"/>
      <c r="C208" s="172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4"/>
      <c r="BZ208" s="172"/>
      <c r="CA208" s="172"/>
      <c r="CD208" s="194"/>
      <c r="CE208" s="194"/>
      <c r="CF208" s="194"/>
      <c r="CG208" s="194"/>
      <c r="CH208" s="195"/>
      <c r="CI208" s="194"/>
      <c r="CJ208" s="194"/>
      <c r="CK208" s="194"/>
      <c r="CL208" s="196"/>
      <c r="CM208" s="196"/>
      <c r="CN208" s="194"/>
      <c r="CO208" s="197"/>
      <c r="CP208" s="196"/>
      <c r="CQ208" s="196"/>
      <c r="CR208" s="196"/>
      <c r="CS208" s="196"/>
      <c r="CT208" s="196"/>
      <c r="CU208" s="196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6"/>
      <c r="DG208" s="198"/>
      <c r="DH208" s="194"/>
      <c r="DI208" s="282"/>
      <c r="DJ208" s="282"/>
      <c r="DK208" s="282"/>
      <c r="DL208" s="282"/>
    </row>
    <row r="209" spans="1:116" s="24" customFormat="1" x14ac:dyDescent="0.3">
      <c r="A209" s="172"/>
      <c r="B209" s="172"/>
      <c r="C209" s="172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4"/>
      <c r="BZ209" s="172"/>
      <c r="CA209" s="172"/>
      <c r="CD209" s="194"/>
      <c r="CE209" s="194"/>
      <c r="CF209" s="194"/>
      <c r="CG209" s="194"/>
      <c r="CH209" s="195"/>
      <c r="CI209" s="194"/>
      <c r="CJ209" s="194"/>
      <c r="CK209" s="194"/>
      <c r="CL209" s="196"/>
      <c r="CM209" s="196"/>
      <c r="CN209" s="194"/>
      <c r="CO209" s="197"/>
      <c r="CP209" s="196"/>
      <c r="CQ209" s="196"/>
      <c r="CR209" s="196"/>
      <c r="CS209" s="196"/>
      <c r="CT209" s="196"/>
      <c r="CU209" s="196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6"/>
      <c r="DG209" s="198"/>
      <c r="DH209" s="194"/>
      <c r="DI209" s="282"/>
      <c r="DJ209" s="282"/>
      <c r="DK209" s="282"/>
      <c r="DL209" s="282"/>
    </row>
    <row r="210" spans="1:116" s="24" customFormat="1" x14ac:dyDescent="0.3">
      <c r="A210" s="172"/>
      <c r="B210" s="172"/>
      <c r="C210" s="172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4"/>
      <c r="BZ210" s="172"/>
      <c r="CA210" s="172"/>
      <c r="CD210" s="194"/>
      <c r="CE210" s="194"/>
      <c r="CF210" s="194"/>
      <c r="CG210" s="194"/>
      <c r="CH210" s="195"/>
      <c r="CI210" s="194"/>
      <c r="CJ210" s="194"/>
      <c r="CK210" s="194"/>
      <c r="CL210" s="196"/>
      <c r="CM210" s="196"/>
      <c r="CN210" s="194"/>
      <c r="CO210" s="197"/>
      <c r="CP210" s="196"/>
      <c r="CQ210" s="196"/>
      <c r="CR210" s="196"/>
      <c r="CS210" s="196"/>
      <c r="CT210" s="196"/>
      <c r="CU210" s="196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6"/>
      <c r="DG210" s="198"/>
      <c r="DH210" s="194"/>
      <c r="DI210" s="282"/>
      <c r="DJ210" s="282"/>
      <c r="DK210" s="282"/>
      <c r="DL210" s="282"/>
    </row>
    <row r="211" spans="1:116" s="24" customFormat="1" x14ac:dyDescent="0.3">
      <c r="A211" s="172"/>
      <c r="B211" s="172"/>
      <c r="C211" s="172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4"/>
      <c r="BZ211" s="172"/>
      <c r="CA211" s="172"/>
      <c r="CD211" s="194"/>
      <c r="CE211" s="194"/>
      <c r="CF211" s="194"/>
      <c r="CG211" s="194"/>
      <c r="CH211" s="195"/>
      <c r="CI211" s="194"/>
      <c r="CJ211" s="194"/>
      <c r="CK211" s="194"/>
      <c r="CL211" s="196"/>
      <c r="CM211" s="196"/>
      <c r="CN211" s="194"/>
      <c r="CO211" s="197"/>
      <c r="CP211" s="196"/>
      <c r="CQ211" s="196"/>
      <c r="CR211" s="196"/>
      <c r="CS211" s="196"/>
      <c r="CT211" s="196"/>
      <c r="CU211" s="196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6"/>
      <c r="DG211" s="198"/>
      <c r="DH211" s="194"/>
      <c r="DI211" s="282"/>
      <c r="DJ211" s="282"/>
      <c r="DK211" s="282"/>
      <c r="DL211" s="282"/>
    </row>
    <row r="212" spans="1:116" s="24" customFormat="1" x14ac:dyDescent="0.3">
      <c r="A212" s="172"/>
      <c r="B212" s="172"/>
      <c r="C212" s="172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4"/>
      <c r="BZ212" s="172"/>
      <c r="CA212" s="172"/>
      <c r="CD212" s="194"/>
      <c r="CE212" s="194"/>
      <c r="CF212" s="194"/>
      <c r="CG212" s="194"/>
      <c r="CH212" s="195"/>
      <c r="CI212" s="194"/>
      <c r="CJ212" s="194"/>
      <c r="CK212" s="194"/>
      <c r="CL212" s="196"/>
      <c r="CM212" s="196"/>
      <c r="CN212" s="194"/>
      <c r="CO212" s="197"/>
      <c r="CP212" s="196"/>
      <c r="CQ212" s="196"/>
      <c r="CR212" s="196"/>
      <c r="CS212" s="196"/>
      <c r="CT212" s="196"/>
      <c r="CU212" s="196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6"/>
      <c r="DG212" s="198"/>
      <c r="DH212" s="194"/>
      <c r="DI212" s="282"/>
      <c r="DJ212" s="282"/>
      <c r="DK212" s="282"/>
      <c r="DL212" s="282"/>
    </row>
    <row r="213" spans="1:116" s="24" customFormat="1" x14ac:dyDescent="0.3">
      <c r="A213" s="172"/>
      <c r="B213" s="172"/>
      <c r="C213" s="172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4"/>
      <c r="BZ213" s="172"/>
      <c r="CA213" s="172"/>
      <c r="CD213" s="194"/>
      <c r="CE213" s="194"/>
      <c r="CF213" s="194"/>
      <c r="CG213" s="194"/>
      <c r="CH213" s="195"/>
      <c r="CI213" s="194"/>
      <c r="CJ213" s="194"/>
      <c r="CK213" s="194"/>
      <c r="CL213" s="196"/>
      <c r="CM213" s="196"/>
      <c r="CN213" s="194"/>
      <c r="CO213" s="197"/>
      <c r="CP213" s="196"/>
      <c r="CQ213" s="196"/>
      <c r="CR213" s="196"/>
      <c r="CS213" s="196"/>
      <c r="CT213" s="196"/>
      <c r="CU213" s="196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6"/>
      <c r="DG213" s="198"/>
      <c r="DH213" s="194"/>
      <c r="DI213" s="282"/>
      <c r="DJ213" s="282"/>
      <c r="DK213" s="282"/>
      <c r="DL213" s="282"/>
    </row>
    <row r="214" spans="1:116" s="24" customFormat="1" x14ac:dyDescent="0.3">
      <c r="A214" s="172"/>
      <c r="B214" s="172"/>
      <c r="C214" s="172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4"/>
      <c r="BZ214" s="172"/>
      <c r="CA214" s="172"/>
      <c r="CD214" s="194"/>
      <c r="CE214" s="194"/>
      <c r="CF214" s="194"/>
      <c r="CG214" s="194"/>
      <c r="CH214" s="195"/>
      <c r="CI214" s="194"/>
      <c r="CJ214" s="194"/>
      <c r="CK214" s="194"/>
      <c r="CL214" s="196"/>
      <c r="CM214" s="196"/>
      <c r="CN214" s="194"/>
      <c r="CO214" s="197"/>
      <c r="CP214" s="196"/>
      <c r="CQ214" s="196"/>
      <c r="CR214" s="196"/>
      <c r="CS214" s="196"/>
      <c r="CT214" s="196"/>
      <c r="CU214" s="196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6"/>
      <c r="DG214" s="198"/>
      <c r="DH214" s="194"/>
      <c r="DI214" s="282"/>
      <c r="DJ214" s="282"/>
      <c r="DK214" s="282"/>
      <c r="DL214" s="282"/>
    </row>
    <row r="215" spans="1:116" s="24" customFormat="1" x14ac:dyDescent="0.3">
      <c r="A215" s="172"/>
      <c r="B215" s="172"/>
      <c r="C215" s="172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4"/>
      <c r="BZ215" s="172"/>
      <c r="CA215" s="172"/>
      <c r="CD215" s="194"/>
      <c r="CE215" s="194"/>
      <c r="CF215" s="194"/>
      <c r="CG215" s="194"/>
      <c r="CH215" s="195"/>
      <c r="CI215" s="194"/>
      <c r="CJ215" s="194"/>
      <c r="CK215" s="194"/>
      <c r="CL215" s="196"/>
      <c r="CM215" s="196"/>
      <c r="CN215" s="194"/>
      <c r="CO215" s="197"/>
      <c r="CP215" s="196"/>
      <c r="CQ215" s="196"/>
      <c r="CR215" s="196"/>
      <c r="CS215" s="196"/>
      <c r="CT215" s="196"/>
      <c r="CU215" s="196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6"/>
      <c r="DG215" s="198"/>
      <c r="DH215" s="194"/>
      <c r="DI215" s="282"/>
      <c r="DJ215" s="282"/>
      <c r="DK215" s="282"/>
      <c r="DL215" s="282"/>
    </row>
    <row r="216" spans="1:116" s="24" customFormat="1" x14ac:dyDescent="0.3">
      <c r="A216" s="172"/>
      <c r="B216" s="172"/>
      <c r="C216" s="172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4"/>
      <c r="BZ216" s="172"/>
      <c r="CA216" s="172"/>
      <c r="CD216" s="194"/>
      <c r="CE216" s="194"/>
      <c r="CF216" s="194"/>
      <c r="CG216" s="194"/>
      <c r="CH216" s="195"/>
      <c r="CI216" s="194"/>
      <c r="CJ216" s="194"/>
      <c r="CK216" s="194"/>
      <c r="CL216" s="196"/>
      <c r="CM216" s="196"/>
      <c r="CN216" s="194"/>
      <c r="CO216" s="197"/>
      <c r="CP216" s="196"/>
      <c r="CQ216" s="196"/>
      <c r="CR216" s="196"/>
      <c r="CS216" s="196"/>
      <c r="CT216" s="196"/>
      <c r="CU216" s="196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6"/>
      <c r="DG216" s="198"/>
      <c r="DH216" s="194"/>
      <c r="DI216" s="282"/>
      <c r="DJ216" s="282"/>
      <c r="DK216" s="282"/>
      <c r="DL216" s="282"/>
    </row>
    <row r="217" spans="1:116" s="24" customFormat="1" x14ac:dyDescent="0.3">
      <c r="A217" s="172"/>
      <c r="B217" s="172"/>
      <c r="C217" s="172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4"/>
      <c r="BZ217" s="172"/>
      <c r="CA217" s="172"/>
      <c r="CD217" s="194"/>
      <c r="CE217" s="194"/>
      <c r="CF217" s="194"/>
      <c r="CG217" s="194"/>
      <c r="CH217" s="195"/>
      <c r="CI217" s="194"/>
      <c r="CJ217" s="194"/>
      <c r="CK217" s="194"/>
      <c r="CL217" s="196"/>
      <c r="CM217" s="196"/>
      <c r="CN217" s="194"/>
      <c r="CO217" s="197"/>
      <c r="CP217" s="196"/>
      <c r="CQ217" s="196"/>
      <c r="CR217" s="196"/>
      <c r="CS217" s="196"/>
      <c r="CT217" s="196"/>
      <c r="CU217" s="196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6"/>
      <c r="DG217" s="198"/>
      <c r="DH217" s="194"/>
      <c r="DI217" s="282"/>
      <c r="DJ217" s="282"/>
      <c r="DK217" s="282"/>
      <c r="DL217" s="282"/>
    </row>
    <row r="218" spans="1:116" s="24" customFormat="1" x14ac:dyDescent="0.3">
      <c r="A218" s="172"/>
      <c r="B218" s="172"/>
      <c r="C218" s="172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4"/>
      <c r="BZ218" s="172"/>
      <c r="CA218" s="172"/>
      <c r="CD218" s="194"/>
      <c r="CE218" s="194"/>
      <c r="CF218" s="194"/>
      <c r="CG218" s="194"/>
      <c r="CH218" s="195"/>
      <c r="CI218" s="194"/>
      <c r="CJ218" s="194"/>
      <c r="CK218" s="194"/>
      <c r="CL218" s="196"/>
      <c r="CM218" s="196"/>
      <c r="CN218" s="194"/>
      <c r="CO218" s="197"/>
      <c r="CP218" s="196"/>
      <c r="CQ218" s="196"/>
      <c r="CR218" s="196"/>
      <c r="CS218" s="196"/>
      <c r="CT218" s="196"/>
      <c r="CU218" s="196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6"/>
      <c r="DG218" s="198"/>
      <c r="DH218" s="194"/>
      <c r="DI218" s="282"/>
      <c r="DJ218" s="282"/>
      <c r="DK218" s="282"/>
      <c r="DL218" s="282"/>
    </row>
    <row r="219" spans="1:116" s="24" customFormat="1" x14ac:dyDescent="0.3">
      <c r="A219" s="172"/>
      <c r="B219" s="172"/>
      <c r="C219" s="172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4"/>
      <c r="BZ219" s="172"/>
      <c r="CA219" s="172"/>
      <c r="CD219" s="194"/>
      <c r="CE219" s="194"/>
      <c r="CF219" s="194"/>
      <c r="CG219" s="194"/>
      <c r="CH219" s="195"/>
      <c r="CI219" s="194"/>
      <c r="CJ219" s="194"/>
      <c r="CK219" s="194"/>
      <c r="CL219" s="196"/>
      <c r="CM219" s="196"/>
      <c r="CN219" s="194"/>
      <c r="CO219" s="197"/>
      <c r="CP219" s="196"/>
      <c r="CQ219" s="196"/>
      <c r="CR219" s="196"/>
      <c r="CS219" s="196"/>
      <c r="CT219" s="196"/>
      <c r="CU219" s="196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6"/>
      <c r="DG219" s="198"/>
      <c r="DH219" s="194"/>
      <c r="DI219" s="282"/>
      <c r="DJ219" s="282"/>
      <c r="DK219" s="282"/>
      <c r="DL219" s="282"/>
    </row>
    <row r="220" spans="1:116" s="24" customFormat="1" x14ac:dyDescent="0.3">
      <c r="A220" s="172"/>
      <c r="B220" s="172"/>
      <c r="C220" s="172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4"/>
      <c r="BZ220" s="172"/>
      <c r="CA220" s="172"/>
      <c r="CD220" s="194"/>
      <c r="CE220" s="194"/>
      <c r="CF220" s="194"/>
      <c r="CG220" s="194"/>
      <c r="CH220" s="195"/>
      <c r="CI220" s="194"/>
      <c r="CJ220" s="194"/>
      <c r="CK220" s="194"/>
      <c r="CL220" s="196"/>
      <c r="CM220" s="196"/>
      <c r="CN220" s="194"/>
      <c r="CO220" s="197"/>
      <c r="CP220" s="196"/>
      <c r="CQ220" s="196"/>
      <c r="CR220" s="196"/>
      <c r="CS220" s="196"/>
      <c r="CT220" s="196"/>
      <c r="CU220" s="196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6"/>
      <c r="DG220" s="198"/>
      <c r="DH220" s="194"/>
      <c r="DI220" s="282"/>
      <c r="DJ220" s="282"/>
      <c r="DK220" s="282"/>
      <c r="DL220" s="282"/>
    </row>
    <row r="221" spans="1:116" s="24" customFormat="1" x14ac:dyDescent="0.3">
      <c r="A221" s="172"/>
      <c r="B221" s="172"/>
      <c r="C221" s="172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4"/>
      <c r="BZ221" s="172"/>
      <c r="CA221" s="172"/>
      <c r="CD221" s="194"/>
      <c r="CE221" s="194"/>
      <c r="CF221" s="194"/>
      <c r="CG221" s="194"/>
      <c r="CH221" s="195"/>
      <c r="CI221" s="194"/>
      <c r="CJ221" s="194"/>
      <c r="CK221" s="194"/>
      <c r="CL221" s="196"/>
      <c r="CM221" s="196"/>
      <c r="CN221" s="194"/>
      <c r="CO221" s="197"/>
      <c r="CP221" s="196"/>
      <c r="CQ221" s="196"/>
      <c r="CR221" s="196"/>
      <c r="CS221" s="196"/>
      <c r="CT221" s="196"/>
      <c r="CU221" s="196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6"/>
      <c r="DG221" s="198"/>
      <c r="DH221" s="194"/>
      <c r="DI221" s="282"/>
      <c r="DJ221" s="282"/>
      <c r="DK221" s="282"/>
      <c r="DL221" s="282"/>
    </row>
    <row r="222" spans="1:116" s="24" customFormat="1" x14ac:dyDescent="0.3">
      <c r="A222" s="172"/>
      <c r="B222" s="172"/>
      <c r="C222" s="172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4"/>
      <c r="BZ222" s="172"/>
      <c r="CA222" s="172"/>
      <c r="CD222" s="194"/>
      <c r="CE222" s="194"/>
      <c r="CF222" s="194"/>
      <c r="CG222" s="194"/>
      <c r="CH222" s="195"/>
      <c r="CI222" s="194"/>
      <c r="CJ222" s="194"/>
      <c r="CK222" s="194"/>
      <c r="CL222" s="196"/>
      <c r="CM222" s="196"/>
      <c r="CN222" s="194"/>
      <c r="CO222" s="197"/>
      <c r="CP222" s="196"/>
      <c r="CQ222" s="196"/>
      <c r="CR222" s="196"/>
      <c r="CS222" s="196"/>
      <c r="CT222" s="196"/>
      <c r="CU222" s="196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6"/>
      <c r="DG222" s="198"/>
      <c r="DH222" s="194"/>
      <c r="DI222" s="282"/>
      <c r="DJ222" s="282"/>
      <c r="DK222" s="282"/>
      <c r="DL222" s="282"/>
    </row>
    <row r="223" spans="1:116" s="24" customFormat="1" x14ac:dyDescent="0.3">
      <c r="A223" s="172"/>
      <c r="B223" s="172"/>
      <c r="C223" s="172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4"/>
      <c r="BZ223" s="172"/>
      <c r="CA223" s="172"/>
      <c r="CD223" s="194"/>
      <c r="CE223" s="194"/>
      <c r="CF223" s="194"/>
      <c r="CG223" s="194"/>
      <c r="CH223" s="195"/>
      <c r="CI223" s="194"/>
      <c r="CJ223" s="194"/>
      <c r="CK223" s="194"/>
      <c r="CL223" s="196"/>
      <c r="CM223" s="196"/>
      <c r="CN223" s="194"/>
      <c r="CO223" s="197"/>
      <c r="CP223" s="196"/>
      <c r="CQ223" s="196"/>
      <c r="CR223" s="196"/>
      <c r="CS223" s="196"/>
      <c r="CT223" s="196"/>
      <c r="CU223" s="196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6"/>
      <c r="DG223" s="198"/>
      <c r="DH223" s="194"/>
      <c r="DI223" s="282"/>
      <c r="DJ223" s="282"/>
      <c r="DK223" s="282"/>
      <c r="DL223" s="282"/>
    </row>
    <row r="224" spans="1:116" s="24" customFormat="1" x14ac:dyDescent="0.3">
      <c r="A224" s="172"/>
      <c r="B224" s="172"/>
      <c r="C224" s="172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4"/>
      <c r="BZ224" s="172"/>
      <c r="CA224" s="172"/>
      <c r="CD224" s="194"/>
      <c r="CE224" s="194"/>
      <c r="CF224" s="194"/>
      <c r="CG224" s="194"/>
      <c r="CH224" s="195"/>
      <c r="CI224" s="194"/>
      <c r="CJ224" s="194"/>
      <c r="CK224" s="194"/>
      <c r="CL224" s="196"/>
      <c r="CM224" s="196"/>
      <c r="CN224" s="194"/>
      <c r="CO224" s="197"/>
      <c r="CP224" s="196"/>
      <c r="CQ224" s="196"/>
      <c r="CR224" s="196"/>
      <c r="CS224" s="196"/>
      <c r="CT224" s="196"/>
      <c r="CU224" s="196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6"/>
      <c r="DG224" s="198"/>
      <c r="DH224" s="194"/>
      <c r="DI224" s="282"/>
      <c r="DJ224" s="282"/>
      <c r="DK224" s="282"/>
      <c r="DL224" s="282"/>
    </row>
    <row r="225" spans="1:116" s="24" customFormat="1" x14ac:dyDescent="0.3">
      <c r="A225" s="172"/>
      <c r="B225" s="172"/>
      <c r="C225" s="172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4"/>
      <c r="BZ225" s="172"/>
      <c r="CA225" s="172"/>
      <c r="CD225" s="194"/>
      <c r="CE225" s="194"/>
      <c r="CF225" s="194"/>
      <c r="CG225" s="194"/>
      <c r="CH225" s="195"/>
      <c r="CI225" s="194"/>
      <c r="CJ225" s="194"/>
      <c r="CK225" s="194"/>
      <c r="CL225" s="196"/>
      <c r="CM225" s="196"/>
      <c r="CN225" s="194"/>
      <c r="CO225" s="197"/>
      <c r="CP225" s="196"/>
      <c r="CQ225" s="196"/>
      <c r="CR225" s="196"/>
      <c r="CS225" s="196"/>
      <c r="CT225" s="196"/>
      <c r="CU225" s="196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6"/>
      <c r="DG225" s="198"/>
      <c r="DH225" s="194"/>
      <c r="DI225" s="282"/>
      <c r="DJ225" s="282"/>
      <c r="DK225" s="282"/>
      <c r="DL225" s="282"/>
    </row>
    <row r="226" spans="1:116" s="24" customFormat="1" x14ac:dyDescent="0.3">
      <c r="A226" s="172"/>
      <c r="B226" s="172"/>
      <c r="C226" s="172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4"/>
      <c r="BZ226" s="172"/>
      <c r="CA226" s="172"/>
      <c r="CD226" s="194"/>
      <c r="CE226" s="194"/>
      <c r="CF226" s="194"/>
      <c r="CG226" s="194"/>
      <c r="CH226" s="195"/>
      <c r="CI226" s="194"/>
      <c r="CJ226" s="194"/>
      <c r="CK226" s="194"/>
      <c r="CL226" s="196"/>
      <c r="CM226" s="196"/>
      <c r="CN226" s="194"/>
      <c r="CO226" s="197"/>
      <c r="CP226" s="196"/>
      <c r="CQ226" s="196"/>
      <c r="CR226" s="196"/>
      <c r="CS226" s="196"/>
      <c r="CT226" s="196"/>
      <c r="CU226" s="196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6"/>
      <c r="DG226" s="198"/>
      <c r="DH226" s="194"/>
      <c r="DI226" s="282"/>
      <c r="DJ226" s="282"/>
      <c r="DK226" s="282"/>
      <c r="DL226" s="282"/>
    </row>
    <row r="227" spans="1:116" s="24" customFormat="1" x14ac:dyDescent="0.3">
      <c r="A227" s="172"/>
      <c r="B227" s="172"/>
      <c r="C227" s="172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4"/>
      <c r="BZ227" s="172"/>
      <c r="CA227" s="172"/>
      <c r="CD227" s="194"/>
      <c r="CE227" s="194"/>
      <c r="CF227" s="194"/>
      <c r="CG227" s="194"/>
      <c r="CH227" s="195"/>
      <c r="CI227" s="194"/>
      <c r="CJ227" s="194"/>
      <c r="CK227" s="194"/>
      <c r="CL227" s="196"/>
      <c r="CM227" s="196"/>
      <c r="CN227" s="194"/>
      <c r="CO227" s="197"/>
      <c r="CP227" s="196"/>
      <c r="CQ227" s="196"/>
      <c r="CR227" s="196"/>
      <c r="CS227" s="196"/>
      <c r="CT227" s="196"/>
      <c r="CU227" s="196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6"/>
      <c r="DG227" s="198"/>
      <c r="DH227" s="194"/>
      <c r="DI227" s="282"/>
      <c r="DJ227" s="282"/>
      <c r="DK227" s="282"/>
      <c r="DL227" s="282"/>
    </row>
    <row r="228" spans="1:116" s="24" customFormat="1" x14ac:dyDescent="0.3">
      <c r="A228" s="172"/>
      <c r="B228" s="172"/>
      <c r="C228" s="172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4"/>
      <c r="BZ228" s="172"/>
      <c r="CA228" s="172"/>
      <c r="CD228" s="194"/>
      <c r="CE228" s="194"/>
      <c r="CF228" s="194"/>
      <c r="CG228" s="194"/>
      <c r="CH228" s="195"/>
      <c r="CI228" s="194"/>
      <c r="CJ228" s="194"/>
      <c r="CK228" s="194"/>
      <c r="CL228" s="196"/>
      <c r="CM228" s="196"/>
      <c r="CN228" s="194"/>
      <c r="CO228" s="197"/>
      <c r="CP228" s="196"/>
      <c r="CQ228" s="196"/>
      <c r="CR228" s="196"/>
      <c r="CS228" s="196"/>
      <c r="CT228" s="196"/>
      <c r="CU228" s="196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6"/>
      <c r="DG228" s="198"/>
      <c r="DH228" s="194"/>
      <c r="DI228" s="282"/>
      <c r="DJ228" s="282"/>
      <c r="DK228" s="282"/>
      <c r="DL228" s="282"/>
    </row>
    <row r="229" spans="1:116" s="24" customFormat="1" x14ac:dyDescent="0.3">
      <c r="A229" s="172"/>
      <c r="B229" s="172"/>
      <c r="C229" s="172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4"/>
      <c r="BZ229" s="172"/>
      <c r="CA229" s="172"/>
      <c r="CD229" s="194"/>
      <c r="CE229" s="194"/>
      <c r="CF229" s="194"/>
      <c r="CG229" s="194"/>
      <c r="CH229" s="195"/>
      <c r="CI229" s="194"/>
      <c r="CJ229" s="194"/>
      <c r="CK229" s="194"/>
      <c r="CL229" s="196"/>
      <c r="CM229" s="196"/>
      <c r="CN229" s="194"/>
      <c r="CO229" s="197"/>
      <c r="CP229" s="196"/>
      <c r="CQ229" s="196"/>
      <c r="CR229" s="196"/>
      <c r="CS229" s="196"/>
      <c r="CT229" s="196"/>
      <c r="CU229" s="196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6"/>
      <c r="DG229" s="198"/>
      <c r="DH229" s="194"/>
      <c r="DI229" s="282"/>
      <c r="DJ229" s="282"/>
      <c r="DK229" s="282"/>
      <c r="DL229" s="282"/>
    </row>
    <row r="230" spans="1:116" s="24" customFormat="1" x14ac:dyDescent="0.3">
      <c r="A230" s="172"/>
      <c r="B230" s="172"/>
      <c r="C230" s="172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4"/>
      <c r="BZ230" s="172"/>
      <c r="CA230" s="172"/>
      <c r="CD230" s="194"/>
      <c r="CE230" s="194"/>
      <c r="CF230" s="194"/>
      <c r="CG230" s="194"/>
      <c r="CH230" s="195"/>
      <c r="CI230" s="194"/>
      <c r="CJ230" s="194"/>
      <c r="CK230" s="194"/>
      <c r="CL230" s="196"/>
      <c r="CM230" s="196"/>
      <c r="CN230" s="194"/>
      <c r="CO230" s="197"/>
      <c r="CP230" s="196"/>
      <c r="CQ230" s="196"/>
      <c r="CR230" s="196"/>
      <c r="CS230" s="196"/>
      <c r="CT230" s="196"/>
      <c r="CU230" s="196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6"/>
      <c r="DG230" s="198"/>
      <c r="DH230" s="194"/>
      <c r="DI230" s="282"/>
      <c r="DJ230" s="282"/>
      <c r="DK230" s="282"/>
      <c r="DL230" s="282"/>
    </row>
    <row r="231" spans="1:116" s="24" customFormat="1" x14ac:dyDescent="0.3">
      <c r="A231" s="172"/>
      <c r="B231" s="172"/>
      <c r="C231" s="172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4"/>
      <c r="BZ231" s="172"/>
      <c r="CA231" s="172"/>
      <c r="CD231" s="194"/>
      <c r="CE231" s="194"/>
      <c r="CF231" s="194"/>
      <c r="CG231" s="194"/>
      <c r="CH231" s="195"/>
      <c r="CI231" s="194"/>
      <c r="CJ231" s="194"/>
      <c r="CK231" s="194"/>
      <c r="CL231" s="196"/>
      <c r="CM231" s="196"/>
      <c r="CN231" s="194"/>
      <c r="CO231" s="197"/>
      <c r="CP231" s="196"/>
      <c r="CQ231" s="196"/>
      <c r="CR231" s="196"/>
      <c r="CS231" s="196"/>
      <c r="CT231" s="196"/>
      <c r="CU231" s="196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6"/>
      <c r="DG231" s="198"/>
      <c r="DH231" s="194"/>
      <c r="DI231" s="282"/>
      <c r="DJ231" s="282"/>
      <c r="DK231" s="282"/>
      <c r="DL231" s="282"/>
    </row>
    <row r="232" spans="1:116" s="24" customFormat="1" x14ac:dyDescent="0.3">
      <c r="A232" s="172"/>
      <c r="B232" s="172"/>
      <c r="C232" s="172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4"/>
      <c r="BZ232" s="172"/>
      <c r="CA232" s="172"/>
      <c r="CD232" s="194"/>
      <c r="CE232" s="194"/>
      <c r="CF232" s="194"/>
      <c r="CG232" s="194"/>
      <c r="CH232" s="195"/>
      <c r="CI232" s="194"/>
      <c r="CJ232" s="194"/>
      <c r="CK232" s="194"/>
      <c r="CL232" s="196"/>
      <c r="CM232" s="196"/>
      <c r="CN232" s="194"/>
      <c r="CO232" s="197"/>
      <c r="CP232" s="196"/>
      <c r="CQ232" s="196"/>
      <c r="CR232" s="196"/>
      <c r="CS232" s="196"/>
      <c r="CT232" s="196"/>
      <c r="CU232" s="196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6"/>
      <c r="DG232" s="198"/>
      <c r="DH232" s="194"/>
      <c r="DI232" s="282"/>
      <c r="DJ232" s="282"/>
      <c r="DK232" s="282"/>
      <c r="DL232" s="282"/>
    </row>
    <row r="233" spans="1:116" s="24" customFormat="1" x14ac:dyDescent="0.3">
      <c r="A233" s="172"/>
      <c r="B233" s="172"/>
      <c r="C233" s="172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4"/>
      <c r="BZ233" s="172"/>
      <c r="CA233" s="172"/>
      <c r="CD233" s="194"/>
      <c r="CE233" s="194"/>
      <c r="CF233" s="194"/>
      <c r="CG233" s="194"/>
      <c r="CH233" s="195"/>
      <c r="CI233" s="194"/>
      <c r="CJ233" s="194"/>
      <c r="CK233" s="194"/>
      <c r="CL233" s="196"/>
      <c r="CM233" s="196"/>
      <c r="CN233" s="194"/>
      <c r="CO233" s="197"/>
      <c r="CP233" s="196"/>
      <c r="CQ233" s="196"/>
      <c r="CR233" s="196"/>
      <c r="CS233" s="196"/>
      <c r="CT233" s="196"/>
      <c r="CU233" s="196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6"/>
      <c r="DG233" s="198"/>
      <c r="DH233" s="194"/>
      <c r="DI233" s="282"/>
      <c r="DJ233" s="282"/>
      <c r="DK233" s="282"/>
      <c r="DL233" s="282"/>
    </row>
    <row r="234" spans="1:116" s="24" customFormat="1" x14ac:dyDescent="0.3">
      <c r="A234" s="172"/>
      <c r="B234" s="172"/>
      <c r="C234" s="172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4"/>
      <c r="BZ234" s="172"/>
      <c r="CA234" s="172"/>
      <c r="CD234" s="194"/>
      <c r="CE234" s="194"/>
      <c r="CF234" s="194"/>
      <c r="CG234" s="194"/>
      <c r="CH234" s="195"/>
      <c r="CI234" s="194"/>
      <c r="CJ234" s="194"/>
      <c r="CK234" s="194"/>
      <c r="CL234" s="196"/>
      <c r="CM234" s="196"/>
      <c r="CN234" s="194"/>
      <c r="CO234" s="197"/>
      <c r="CP234" s="196"/>
      <c r="CQ234" s="196"/>
      <c r="CR234" s="196"/>
      <c r="CS234" s="196"/>
      <c r="CT234" s="196"/>
      <c r="CU234" s="196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6"/>
      <c r="DG234" s="198"/>
      <c r="DH234" s="194"/>
      <c r="DI234" s="282"/>
      <c r="DJ234" s="282"/>
      <c r="DK234" s="282"/>
      <c r="DL234" s="282"/>
    </row>
    <row r="235" spans="1:116" s="24" customFormat="1" x14ac:dyDescent="0.3">
      <c r="A235" s="172"/>
      <c r="B235" s="172"/>
      <c r="C235" s="172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4"/>
      <c r="BZ235" s="172"/>
      <c r="CA235" s="172"/>
      <c r="CD235" s="194"/>
      <c r="CE235" s="194"/>
      <c r="CF235" s="194"/>
      <c r="CG235" s="194"/>
      <c r="CH235" s="195"/>
      <c r="CI235" s="194"/>
      <c r="CJ235" s="194"/>
      <c r="CK235" s="194"/>
      <c r="CL235" s="196"/>
      <c r="CM235" s="196"/>
      <c r="CN235" s="194"/>
      <c r="CO235" s="197"/>
      <c r="CP235" s="196"/>
      <c r="CQ235" s="196"/>
      <c r="CR235" s="196"/>
      <c r="CS235" s="196"/>
      <c r="CT235" s="196"/>
      <c r="CU235" s="196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6"/>
      <c r="DG235" s="198"/>
      <c r="DH235" s="194"/>
      <c r="DI235" s="282"/>
      <c r="DJ235" s="282"/>
      <c r="DK235" s="282"/>
      <c r="DL235" s="282"/>
    </row>
    <row r="236" spans="1:116" s="24" customFormat="1" x14ac:dyDescent="0.3">
      <c r="A236" s="172"/>
      <c r="B236" s="172"/>
      <c r="C236" s="172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4"/>
      <c r="BZ236" s="172"/>
      <c r="CA236" s="172"/>
      <c r="CD236" s="194"/>
      <c r="CE236" s="194"/>
      <c r="CF236" s="194"/>
      <c r="CG236" s="194"/>
      <c r="CH236" s="195"/>
      <c r="CI236" s="194"/>
      <c r="CJ236" s="194"/>
      <c r="CK236" s="194"/>
      <c r="CL236" s="196"/>
      <c r="CM236" s="196"/>
      <c r="CN236" s="194"/>
      <c r="CO236" s="197"/>
      <c r="CP236" s="196"/>
      <c r="CQ236" s="196"/>
      <c r="CR236" s="196"/>
      <c r="CS236" s="196"/>
      <c r="CT236" s="196"/>
      <c r="CU236" s="196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6"/>
      <c r="DG236" s="198"/>
      <c r="DH236" s="194"/>
      <c r="DI236" s="282"/>
      <c r="DJ236" s="282"/>
      <c r="DK236" s="282"/>
      <c r="DL236" s="282"/>
    </row>
    <row r="237" spans="1:116" s="24" customFormat="1" x14ac:dyDescent="0.3">
      <c r="A237" s="172"/>
      <c r="B237" s="172"/>
      <c r="C237" s="172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4"/>
      <c r="BZ237" s="172"/>
      <c r="CA237" s="172"/>
      <c r="CD237" s="194"/>
      <c r="CE237" s="194"/>
      <c r="CF237" s="194"/>
      <c r="CG237" s="194"/>
      <c r="CH237" s="195"/>
      <c r="CI237" s="194"/>
      <c r="CJ237" s="194"/>
      <c r="CK237" s="194"/>
      <c r="CL237" s="196"/>
      <c r="CM237" s="196"/>
      <c r="CN237" s="194"/>
      <c r="CO237" s="197"/>
      <c r="CP237" s="196"/>
      <c r="CQ237" s="196"/>
      <c r="CR237" s="196"/>
      <c r="CS237" s="196"/>
      <c r="CT237" s="196"/>
      <c r="CU237" s="196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6"/>
      <c r="DG237" s="198"/>
      <c r="DH237" s="194"/>
      <c r="DI237" s="282"/>
      <c r="DJ237" s="282"/>
      <c r="DK237" s="282"/>
      <c r="DL237" s="282"/>
    </row>
    <row r="238" spans="1:116" s="24" customFormat="1" x14ac:dyDescent="0.3">
      <c r="A238" s="172"/>
      <c r="B238" s="172"/>
      <c r="C238" s="172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4"/>
      <c r="BZ238" s="172"/>
      <c r="CA238" s="172"/>
      <c r="CD238" s="194"/>
      <c r="CE238" s="194"/>
      <c r="CF238" s="194"/>
      <c r="CG238" s="194"/>
      <c r="CH238" s="195"/>
      <c r="CI238" s="194"/>
      <c r="CJ238" s="194"/>
      <c r="CK238" s="194"/>
      <c r="CL238" s="196"/>
      <c r="CM238" s="196"/>
      <c r="CN238" s="194"/>
      <c r="CO238" s="197"/>
      <c r="CP238" s="196"/>
      <c r="CQ238" s="196"/>
      <c r="CR238" s="196"/>
      <c r="CS238" s="196"/>
      <c r="CT238" s="196"/>
      <c r="CU238" s="196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6"/>
      <c r="DG238" s="198"/>
      <c r="DH238" s="194"/>
      <c r="DI238" s="282"/>
      <c r="DJ238" s="282"/>
      <c r="DK238" s="282"/>
      <c r="DL238" s="282"/>
    </row>
    <row r="239" spans="1:116" s="24" customFormat="1" x14ac:dyDescent="0.3">
      <c r="A239" s="172"/>
      <c r="B239" s="172"/>
      <c r="C239" s="172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4"/>
      <c r="BZ239" s="172"/>
      <c r="CA239" s="172"/>
      <c r="CD239" s="194"/>
      <c r="CE239" s="194"/>
      <c r="CF239" s="194"/>
      <c r="CG239" s="194"/>
      <c r="CH239" s="195"/>
      <c r="CI239" s="194"/>
      <c r="CJ239" s="194"/>
      <c r="CK239" s="194"/>
      <c r="CL239" s="196"/>
      <c r="CM239" s="196"/>
      <c r="CN239" s="194"/>
      <c r="CO239" s="197"/>
      <c r="CP239" s="196"/>
      <c r="CQ239" s="196"/>
      <c r="CR239" s="196"/>
      <c r="CS239" s="196"/>
      <c r="CT239" s="196"/>
      <c r="CU239" s="196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6"/>
      <c r="DG239" s="198"/>
      <c r="DH239" s="194"/>
      <c r="DI239" s="282"/>
      <c r="DJ239" s="282"/>
      <c r="DK239" s="282"/>
      <c r="DL239" s="282"/>
    </row>
    <row r="240" spans="1:116" s="24" customFormat="1" x14ac:dyDescent="0.3">
      <c r="A240" s="172"/>
      <c r="B240" s="172"/>
      <c r="C240" s="172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4"/>
      <c r="BZ240" s="172"/>
      <c r="CA240" s="172"/>
      <c r="CD240" s="194"/>
      <c r="CE240" s="194"/>
      <c r="CF240" s="194"/>
      <c r="CG240" s="194"/>
      <c r="CH240" s="195"/>
      <c r="CI240" s="194"/>
      <c r="CJ240" s="194"/>
      <c r="CK240" s="194"/>
      <c r="CL240" s="196"/>
      <c r="CM240" s="196"/>
      <c r="CN240" s="194"/>
      <c r="CO240" s="197"/>
      <c r="CP240" s="196"/>
      <c r="CQ240" s="196"/>
      <c r="CR240" s="196"/>
      <c r="CS240" s="196"/>
      <c r="CT240" s="196"/>
      <c r="CU240" s="196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6"/>
      <c r="DG240" s="198"/>
      <c r="DH240" s="194"/>
      <c r="DI240" s="282"/>
      <c r="DJ240" s="282"/>
      <c r="DK240" s="282"/>
      <c r="DL240" s="282"/>
    </row>
    <row r="241" spans="1:116" s="24" customFormat="1" x14ac:dyDescent="0.3">
      <c r="A241" s="172"/>
      <c r="B241" s="172"/>
      <c r="C241" s="172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4"/>
      <c r="BZ241" s="172"/>
      <c r="CA241" s="172"/>
      <c r="CD241" s="194"/>
      <c r="CE241" s="194"/>
      <c r="CF241" s="194"/>
      <c r="CG241" s="194"/>
      <c r="CH241" s="195"/>
      <c r="CI241" s="194"/>
      <c r="CJ241" s="194"/>
      <c r="CK241" s="194"/>
      <c r="CL241" s="196"/>
      <c r="CM241" s="196"/>
      <c r="CN241" s="194"/>
      <c r="CO241" s="197"/>
      <c r="CP241" s="196"/>
      <c r="CQ241" s="196"/>
      <c r="CR241" s="196"/>
      <c r="CS241" s="196"/>
      <c r="CT241" s="196"/>
      <c r="CU241" s="196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6"/>
      <c r="DG241" s="198"/>
      <c r="DH241" s="194"/>
      <c r="DI241" s="282"/>
      <c r="DJ241" s="282"/>
      <c r="DK241" s="282"/>
      <c r="DL241" s="282"/>
    </row>
    <row r="242" spans="1:116" s="24" customFormat="1" x14ac:dyDescent="0.3">
      <c r="A242" s="172"/>
      <c r="B242" s="172"/>
      <c r="C242" s="172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4"/>
      <c r="BZ242" s="172"/>
      <c r="CA242" s="172"/>
      <c r="CD242" s="194"/>
      <c r="CE242" s="194"/>
      <c r="CF242" s="194"/>
      <c r="CG242" s="194"/>
      <c r="CH242" s="195"/>
      <c r="CI242" s="194"/>
      <c r="CJ242" s="194"/>
      <c r="CK242" s="194"/>
      <c r="CL242" s="196"/>
      <c r="CM242" s="196"/>
      <c r="CN242" s="194"/>
      <c r="CO242" s="197"/>
      <c r="CP242" s="196"/>
      <c r="CQ242" s="196"/>
      <c r="CR242" s="196"/>
      <c r="CS242" s="196"/>
      <c r="CT242" s="196"/>
      <c r="CU242" s="196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6"/>
      <c r="DG242" s="198"/>
      <c r="DH242" s="194"/>
      <c r="DI242" s="282"/>
      <c r="DJ242" s="282"/>
      <c r="DK242" s="282"/>
      <c r="DL242" s="282"/>
    </row>
    <row r="243" spans="1:116" s="24" customFormat="1" x14ac:dyDescent="0.3">
      <c r="A243" s="172"/>
      <c r="B243" s="172"/>
      <c r="C243" s="172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4"/>
      <c r="BZ243" s="172"/>
      <c r="CA243" s="172"/>
      <c r="CD243" s="194"/>
      <c r="CE243" s="194"/>
      <c r="CF243" s="194"/>
      <c r="CG243" s="194"/>
      <c r="CH243" s="195"/>
      <c r="CI243" s="194"/>
      <c r="CJ243" s="194"/>
      <c r="CK243" s="194"/>
      <c r="CL243" s="196"/>
      <c r="CM243" s="196"/>
      <c r="CN243" s="194"/>
      <c r="CO243" s="197"/>
      <c r="CP243" s="196"/>
      <c r="CQ243" s="196"/>
      <c r="CR243" s="196"/>
      <c r="CS243" s="196"/>
      <c r="CT243" s="196"/>
      <c r="CU243" s="196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6"/>
      <c r="DG243" s="198"/>
      <c r="DH243" s="194"/>
      <c r="DI243" s="282"/>
      <c r="DJ243" s="282"/>
      <c r="DK243" s="282"/>
      <c r="DL243" s="282"/>
    </row>
    <row r="244" spans="1:116" s="24" customFormat="1" x14ac:dyDescent="0.3">
      <c r="A244" s="172"/>
      <c r="B244" s="172"/>
      <c r="C244" s="172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4"/>
      <c r="BZ244" s="172"/>
      <c r="CA244" s="172"/>
      <c r="CD244" s="194"/>
      <c r="CE244" s="194"/>
      <c r="CF244" s="194"/>
      <c r="CG244" s="194"/>
      <c r="CH244" s="195"/>
      <c r="CI244" s="194"/>
      <c r="CJ244" s="194"/>
      <c r="CK244" s="194"/>
      <c r="CL244" s="196"/>
      <c r="CM244" s="196"/>
      <c r="CN244" s="194"/>
      <c r="CO244" s="197"/>
      <c r="CP244" s="196"/>
      <c r="CQ244" s="196"/>
      <c r="CR244" s="196"/>
      <c r="CS244" s="196"/>
      <c r="CT244" s="196"/>
      <c r="CU244" s="196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6"/>
      <c r="DG244" s="198"/>
      <c r="DH244" s="194"/>
      <c r="DI244" s="282"/>
      <c r="DJ244" s="282"/>
      <c r="DK244" s="282"/>
      <c r="DL244" s="282"/>
    </row>
    <row r="245" spans="1:116" s="24" customFormat="1" x14ac:dyDescent="0.3">
      <c r="A245" s="172"/>
      <c r="B245" s="172"/>
      <c r="C245" s="172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4"/>
      <c r="BZ245" s="172"/>
      <c r="CA245" s="172"/>
      <c r="CD245" s="194"/>
      <c r="CE245" s="194"/>
      <c r="CF245" s="194"/>
      <c r="CG245" s="194"/>
      <c r="CH245" s="195"/>
      <c r="CI245" s="194"/>
      <c r="CJ245" s="194"/>
      <c r="CK245" s="194"/>
      <c r="CL245" s="196"/>
      <c r="CM245" s="196"/>
      <c r="CN245" s="194"/>
      <c r="CO245" s="197"/>
      <c r="CP245" s="196"/>
      <c r="CQ245" s="196"/>
      <c r="CR245" s="196"/>
      <c r="CS245" s="196"/>
      <c r="CT245" s="196"/>
      <c r="CU245" s="196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6"/>
      <c r="DG245" s="198"/>
      <c r="DH245" s="194"/>
      <c r="DI245" s="282"/>
      <c r="DJ245" s="282"/>
      <c r="DK245" s="282"/>
      <c r="DL245" s="282"/>
    </row>
    <row r="246" spans="1:116" s="24" customFormat="1" x14ac:dyDescent="0.3">
      <c r="A246" s="172"/>
      <c r="B246" s="172"/>
      <c r="C246" s="172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4"/>
      <c r="BZ246" s="172"/>
      <c r="CA246" s="172"/>
      <c r="CD246" s="194"/>
      <c r="CE246" s="194"/>
      <c r="CF246" s="194"/>
      <c r="CG246" s="194"/>
      <c r="CH246" s="195"/>
      <c r="CI246" s="194"/>
      <c r="CJ246" s="194"/>
      <c r="CK246" s="194"/>
      <c r="CL246" s="196"/>
      <c r="CM246" s="196"/>
      <c r="CN246" s="194"/>
      <c r="CO246" s="197"/>
      <c r="CP246" s="196"/>
      <c r="CQ246" s="196"/>
      <c r="CR246" s="196"/>
      <c r="CS246" s="196"/>
      <c r="CT246" s="196"/>
      <c r="CU246" s="196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6"/>
      <c r="DG246" s="198"/>
      <c r="DH246" s="194"/>
      <c r="DI246" s="282"/>
      <c r="DJ246" s="282"/>
      <c r="DK246" s="282"/>
      <c r="DL246" s="282"/>
    </row>
    <row r="247" spans="1:116" s="24" customFormat="1" x14ac:dyDescent="0.3">
      <c r="A247" s="172"/>
      <c r="B247" s="172"/>
      <c r="C247" s="172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4"/>
      <c r="BZ247" s="172"/>
      <c r="CA247" s="172"/>
      <c r="CD247" s="194"/>
      <c r="CE247" s="194"/>
      <c r="CF247" s="194"/>
      <c r="CG247" s="194"/>
      <c r="CH247" s="195"/>
      <c r="CI247" s="194"/>
      <c r="CJ247" s="194"/>
      <c r="CK247" s="194"/>
      <c r="CL247" s="196"/>
      <c r="CM247" s="196"/>
      <c r="CN247" s="194"/>
      <c r="CO247" s="197"/>
      <c r="CP247" s="196"/>
      <c r="CQ247" s="196"/>
      <c r="CR247" s="196"/>
      <c r="CS247" s="196"/>
      <c r="CT247" s="196"/>
      <c r="CU247" s="196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6"/>
      <c r="DG247" s="198"/>
      <c r="DH247" s="194"/>
      <c r="DI247" s="282"/>
      <c r="DJ247" s="282"/>
      <c r="DK247" s="282"/>
      <c r="DL247" s="282"/>
    </row>
    <row r="248" spans="1:116" s="24" customFormat="1" x14ac:dyDescent="0.3">
      <c r="A248" s="172"/>
      <c r="B248" s="172"/>
      <c r="C248" s="172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4"/>
      <c r="BZ248" s="172"/>
      <c r="CA248" s="172"/>
      <c r="CD248" s="194"/>
      <c r="CE248" s="194"/>
      <c r="CF248" s="194"/>
      <c r="CG248" s="194"/>
      <c r="CH248" s="195"/>
      <c r="CI248" s="194"/>
      <c r="CJ248" s="194"/>
      <c r="CK248" s="194"/>
      <c r="CL248" s="196"/>
      <c r="CM248" s="196"/>
      <c r="CN248" s="194"/>
      <c r="CO248" s="197"/>
      <c r="CP248" s="196"/>
      <c r="CQ248" s="196"/>
      <c r="CR248" s="196"/>
      <c r="CS248" s="196"/>
      <c r="CT248" s="196"/>
      <c r="CU248" s="196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6"/>
      <c r="DG248" s="198"/>
      <c r="DH248" s="194"/>
      <c r="DI248" s="282"/>
      <c r="DJ248" s="282"/>
      <c r="DK248" s="282"/>
      <c r="DL248" s="282"/>
    </row>
    <row r="249" spans="1:116" s="24" customFormat="1" x14ac:dyDescent="0.3">
      <c r="A249" s="172"/>
      <c r="B249" s="172"/>
      <c r="C249" s="172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4"/>
      <c r="BZ249" s="172"/>
      <c r="CA249" s="172"/>
      <c r="CD249" s="194"/>
      <c r="CE249" s="194"/>
      <c r="CF249" s="194"/>
      <c r="CG249" s="194"/>
      <c r="CH249" s="195"/>
      <c r="CI249" s="194"/>
      <c r="CJ249" s="194"/>
      <c r="CK249" s="194"/>
      <c r="CL249" s="196"/>
      <c r="CM249" s="196"/>
      <c r="CN249" s="194"/>
      <c r="CO249" s="197"/>
      <c r="CP249" s="196"/>
      <c r="CQ249" s="196"/>
      <c r="CR249" s="196"/>
      <c r="CS249" s="196"/>
      <c r="CT249" s="196"/>
      <c r="CU249" s="196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6"/>
      <c r="DG249" s="198"/>
      <c r="DH249" s="194"/>
      <c r="DI249" s="282"/>
      <c r="DJ249" s="282"/>
      <c r="DK249" s="282"/>
      <c r="DL249" s="282"/>
    </row>
    <row r="250" spans="1:116" s="24" customFormat="1" x14ac:dyDescent="0.3">
      <c r="A250" s="172"/>
      <c r="B250" s="172"/>
      <c r="C250" s="172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4"/>
      <c r="BZ250" s="172"/>
      <c r="CA250" s="172"/>
      <c r="CD250" s="194"/>
      <c r="CE250" s="194"/>
      <c r="CF250" s="194"/>
      <c r="CG250" s="194"/>
      <c r="CH250" s="195"/>
      <c r="CI250" s="194"/>
      <c r="CJ250" s="194"/>
      <c r="CK250" s="194"/>
      <c r="CL250" s="196"/>
      <c r="CM250" s="196"/>
      <c r="CN250" s="194"/>
      <c r="CO250" s="197"/>
      <c r="CP250" s="196"/>
      <c r="CQ250" s="196"/>
      <c r="CR250" s="196"/>
      <c r="CS250" s="196"/>
      <c r="CT250" s="196"/>
      <c r="CU250" s="196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6"/>
      <c r="DG250" s="198"/>
      <c r="DH250" s="194"/>
      <c r="DI250" s="282"/>
      <c r="DJ250" s="282"/>
      <c r="DK250" s="282"/>
      <c r="DL250" s="282"/>
    </row>
    <row r="251" spans="1:116" s="24" customFormat="1" x14ac:dyDescent="0.3">
      <c r="A251" s="172"/>
      <c r="B251" s="172"/>
      <c r="C251" s="172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4"/>
      <c r="BZ251" s="172"/>
      <c r="CA251" s="172"/>
      <c r="CD251" s="194"/>
      <c r="CE251" s="194"/>
      <c r="CF251" s="194"/>
      <c r="CG251" s="194"/>
      <c r="CH251" s="195"/>
      <c r="CI251" s="194"/>
      <c r="CJ251" s="194"/>
      <c r="CK251" s="194"/>
      <c r="CL251" s="196"/>
      <c r="CM251" s="196"/>
      <c r="CN251" s="194"/>
      <c r="CO251" s="197"/>
      <c r="CP251" s="196"/>
      <c r="CQ251" s="196"/>
      <c r="CR251" s="196"/>
      <c r="CS251" s="196"/>
      <c r="CT251" s="196"/>
      <c r="CU251" s="196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6"/>
      <c r="DG251" s="198"/>
      <c r="DH251" s="194"/>
      <c r="DI251" s="282"/>
      <c r="DJ251" s="282"/>
      <c r="DK251" s="282"/>
      <c r="DL251" s="282"/>
    </row>
    <row r="252" spans="1:116" s="24" customFormat="1" x14ac:dyDescent="0.3">
      <c r="A252" s="172"/>
      <c r="B252" s="172"/>
      <c r="C252" s="172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4"/>
      <c r="BZ252" s="172"/>
      <c r="CA252" s="172"/>
      <c r="CD252" s="194"/>
      <c r="CE252" s="194"/>
      <c r="CF252" s="194"/>
      <c r="CG252" s="194"/>
      <c r="CH252" s="195"/>
      <c r="CI252" s="194"/>
      <c r="CJ252" s="194"/>
      <c r="CK252" s="194"/>
      <c r="CL252" s="196"/>
      <c r="CM252" s="196"/>
      <c r="CN252" s="194"/>
      <c r="CO252" s="197"/>
      <c r="CP252" s="196"/>
      <c r="CQ252" s="196"/>
      <c r="CR252" s="196"/>
      <c r="CS252" s="196"/>
      <c r="CT252" s="196"/>
      <c r="CU252" s="196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6"/>
      <c r="DG252" s="198"/>
      <c r="DH252" s="194"/>
      <c r="DI252" s="282"/>
      <c r="DJ252" s="282"/>
      <c r="DK252" s="282"/>
      <c r="DL252" s="282"/>
    </row>
    <row r="253" spans="1:116" s="24" customFormat="1" x14ac:dyDescent="0.3">
      <c r="A253" s="172"/>
      <c r="B253" s="172"/>
      <c r="C253" s="172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4"/>
      <c r="BZ253" s="172"/>
      <c r="CA253" s="172"/>
      <c r="CD253" s="194"/>
      <c r="CE253" s="194"/>
      <c r="CF253" s="194"/>
      <c r="CG253" s="194"/>
      <c r="CH253" s="195"/>
      <c r="CI253" s="194"/>
      <c r="CJ253" s="194"/>
      <c r="CK253" s="194"/>
      <c r="CL253" s="196"/>
      <c r="CM253" s="196"/>
      <c r="CN253" s="194"/>
      <c r="CO253" s="197"/>
      <c r="CP253" s="196"/>
      <c r="CQ253" s="196"/>
      <c r="CR253" s="196"/>
      <c r="CS253" s="196"/>
      <c r="CT253" s="196"/>
      <c r="CU253" s="196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6"/>
      <c r="DG253" s="198"/>
      <c r="DH253" s="194"/>
      <c r="DI253" s="282"/>
      <c r="DJ253" s="282"/>
      <c r="DK253" s="282"/>
      <c r="DL253" s="282"/>
    </row>
    <row r="254" spans="1:116" s="24" customFormat="1" x14ac:dyDescent="0.3">
      <c r="A254" s="172"/>
      <c r="B254" s="172"/>
      <c r="C254" s="172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4"/>
      <c r="BZ254" s="172"/>
      <c r="CA254" s="172"/>
      <c r="CD254" s="194"/>
      <c r="CE254" s="194"/>
      <c r="CF254" s="194"/>
      <c r="CG254" s="194"/>
      <c r="CH254" s="195"/>
      <c r="CI254" s="194"/>
      <c r="CJ254" s="194"/>
      <c r="CK254" s="194"/>
      <c r="CL254" s="196"/>
      <c r="CM254" s="196"/>
      <c r="CN254" s="194"/>
      <c r="CO254" s="197"/>
      <c r="CP254" s="196"/>
      <c r="CQ254" s="196"/>
      <c r="CR254" s="196"/>
      <c r="CS254" s="196"/>
      <c r="CT254" s="196"/>
      <c r="CU254" s="196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6"/>
      <c r="DG254" s="198"/>
      <c r="DH254" s="194"/>
      <c r="DI254" s="282"/>
      <c r="DJ254" s="282"/>
      <c r="DK254" s="282"/>
      <c r="DL254" s="282"/>
    </row>
    <row r="255" spans="1:116" s="24" customFormat="1" x14ac:dyDescent="0.3">
      <c r="A255" s="172"/>
      <c r="B255" s="172"/>
      <c r="C255" s="172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4"/>
      <c r="BZ255" s="172"/>
      <c r="CA255" s="172"/>
      <c r="CD255" s="194"/>
      <c r="CE255" s="194"/>
      <c r="CF255" s="194"/>
      <c r="CG255" s="194"/>
      <c r="CH255" s="195"/>
      <c r="CI255" s="194"/>
      <c r="CJ255" s="194"/>
      <c r="CK255" s="194"/>
      <c r="CL255" s="196"/>
      <c r="CM255" s="196"/>
      <c r="CN255" s="194"/>
      <c r="CO255" s="197"/>
      <c r="CP255" s="196"/>
      <c r="CQ255" s="196"/>
      <c r="CR255" s="196"/>
      <c r="CS255" s="196"/>
      <c r="CT255" s="196"/>
      <c r="CU255" s="196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6"/>
      <c r="DG255" s="198"/>
      <c r="DH255" s="194"/>
      <c r="DI255" s="282"/>
      <c r="DJ255" s="282"/>
      <c r="DK255" s="282"/>
      <c r="DL255" s="282"/>
    </row>
    <row r="256" spans="1:116" s="24" customFormat="1" x14ac:dyDescent="0.3">
      <c r="A256" s="172"/>
      <c r="B256" s="172"/>
      <c r="C256" s="172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4"/>
      <c r="BZ256" s="172"/>
      <c r="CA256" s="172"/>
      <c r="CD256" s="194"/>
      <c r="CE256" s="194"/>
      <c r="CF256" s="194"/>
      <c r="CG256" s="194"/>
      <c r="CH256" s="195"/>
      <c r="CI256" s="194"/>
      <c r="CJ256" s="194"/>
      <c r="CK256" s="194"/>
      <c r="CL256" s="196"/>
      <c r="CM256" s="196"/>
      <c r="CN256" s="194"/>
      <c r="CO256" s="197"/>
      <c r="CP256" s="196"/>
      <c r="CQ256" s="196"/>
      <c r="CR256" s="196"/>
      <c r="CS256" s="196"/>
      <c r="CT256" s="196"/>
      <c r="CU256" s="196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6"/>
      <c r="DG256" s="198"/>
      <c r="DH256" s="194"/>
      <c r="DI256" s="282"/>
      <c r="DJ256" s="282"/>
      <c r="DK256" s="282"/>
      <c r="DL256" s="282"/>
    </row>
    <row r="257" spans="1:116" s="24" customFormat="1" x14ac:dyDescent="0.3">
      <c r="A257" s="172"/>
      <c r="B257" s="172"/>
      <c r="C257" s="172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4"/>
      <c r="BZ257" s="172"/>
      <c r="CA257" s="172"/>
      <c r="CD257" s="194"/>
      <c r="CE257" s="194"/>
      <c r="CF257" s="194"/>
      <c r="CG257" s="194"/>
      <c r="CH257" s="195"/>
      <c r="CI257" s="194"/>
      <c r="CJ257" s="194"/>
      <c r="CK257" s="194"/>
      <c r="CL257" s="196"/>
      <c r="CM257" s="196"/>
      <c r="CN257" s="194"/>
      <c r="CO257" s="197"/>
      <c r="CP257" s="196"/>
      <c r="CQ257" s="196"/>
      <c r="CR257" s="196"/>
      <c r="CS257" s="196"/>
      <c r="CT257" s="196"/>
      <c r="CU257" s="196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6"/>
      <c r="DG257" s="198"/>
      <c r="DH257" s="194"/>
      <c r="DI257" s="282"/>
      <c r="DJ257" s="282"/>
      <c r="DK257" s="282"/>
      <c r="DL257" s="282"/>
    </row>
    <row r="258" spans="1:116" s="24" customFormat="1" x14ac:dyDescent="0.3">
      <c r="A258" s="172"/>
      <c r="B258" s="172"/>
      <c r="C258" s="172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4"/>
      <c r="BZ258" s="172"/>
      <c r="CA258" s="172"/>
      <c r="CD258" s="194"/>
      <c r="CE258" s="194"/>
      <c r="CF258" s="194"/>
      <c r="CG258" s="194"/>
      <c r="CH258" s="195"/>
      <c r="CI258" s="194"/>
      <c r="CJ258" s="194"/>
      <c r="CK258" s="194"/>
      <c r="CL258" s="196"/>
      <c r="CM258" s="196"/>
      <c r="CN258" s="194"/>
      <c r="CO258" s="197"/>
      <c r="CP258" s="196"/>
      <c r="CQ258" s="196"/>
      <c r="CR258" s="196"/>
      <c r="CS258" s="196"/>
      <c r="CT258" s="196"/>
      <c r="CU258" s="196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6"/>
      <c r="DG258" s="198"/>
      <c r="DH258" s="194"/>
      <c r="DI258" s="282"/>
      <c r="DJ258" s="282"/>
      <c r="DK258" s="282"/>
      <c r="DL258" s="282"/>
    </row>
    <row r="259" spans="1:116" s="24" customFormat="1" x14ac:dyDescent="0.3">
      <c r="A259" s="172"/>
      <c r="B259" s="172"/>
      <c r="C259" s="172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4"/>
      <c r="BZ259" s="172"/>
      <c r="CA259" s="172"/>
      <c r="CD259" s="194"/>
      <c r="CE259" s="194"/>
      <c r="CF259" s="194"/>
      <c r="CG259" s="194"/>
      <c r="CH259" s="195"/>
      <c r="CI259" s="194"/>
      <c r="CJ259" s="194"/>
      <c r="CK259" s="194"/>
      <c r="CL259" s="196"/>
      <c r="CM259" s="196"/>
      <c r="CN259" s="194"/>
      <c r="CO259" s="197"/>
      <c r="CP259" s="196"/>
      <c r="CQ259" s="196"/>
      <c r="CR259" s="196"/>
      <c r="CS259" s="196"/>
      <c r="CT259" s="196"/>
      <c r="CU259" s="196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6"/>
      <c r="DG259" s="198"/>
      <c r="DH259" s="194"/>
      <c r="DI259" s="282"/>
      <c r="DJ259" s="282"/>
      <c r="DK259" s="282"/>
      <c r="DL259" s="282"/>
    </row>
    <row r="260" spans="1:116" s="24" customFormat="1" x14ac:dyDescent="0.3">
      <c r="A260" s="172"/>
      <c r="B260" s="172"/>
      <c r="C260" s="172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4"/>
      <c r="BZ260" s="172"/>
      <c r="CA260" s="172"/>
      <c r="CD260" s="194"/>
      <c r="CE260" s="194"/>
      <c r="CF260" s="194"/>
      <c r="CG260" s="194"/>
      <c r="CH260" s="195"/>
      <c r="CI260" s="194"/>
      <c r="CJ260" s="194"/>
      <c r="CK260" s="194"/>
      <c r="CL260" s="196"/>
      <c r="CM260" s="196"/>
      <c r="CN260" s="194"/>
      <c r="CO260" s="197"/>
      <c r="CP260" s="196"/>
      <c r="CQ260" s="196"/>
      <c r="CR260" s="196"/>
      <c r="CS260" s="196"/>
      <c r="CT260" s="196"/>
      <c r="CU260" s="196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6"/>
      <c r="DG260" s="198"/>
      <c r="DH260" s="194"/>
      <c r="DI260" s="282"/>
      <c r="DJ260" s="282"/>
      <c r="DK260" s="282"/>
      <c r="DL260" s="282"/>
    </row>
    <row r="261" spans="1:116" s="24" customFormat="1" x14ac:dyDescent="0.3">
      <c r="A261" s="172"/>
      <c r="B261" s="172"/>
      <c r="C261" s="172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4"/>
      <c r="BZ261" s="172"/>
      <c r="CA261" s="172"/>
      <c r="CD261" s="194"/>
      <c r="CE261" s="194"/>
      <c r="CF261" s="194"/>
      <c r="CG261" s="194"/>
      <c r="CH261" s="195"/>
      <c r="CI261" s="194"/>
      <c r="CJ261" s="194"/>
      <c r="CK261" s="194"/>
      <c r="CL261" s="196"/>
      <c r="CM261" s="196"/>
      <c r="CN261" s="194"/>
      <c r="CO261" s="197"/>
      <c r="CP261" s="196"/>
      <c r="CQ261" s="196"/>
      <c r="CR261" s="196"/>
      <c r="CS261" s="196"/>
      <c r="CT261" s="196"/>
      <c r="CU261" s="196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6"/>
      <c r="DG261" s="198"/>
      <c r="DH261" s="194"/>
      <c r="DI261" s="282"/>
      <c r="DJ261" s="282"/>
      <c r="DK261" s="282"/>
      <c r="DL261" s="282"/>
    </row>
    <row r="262" spans="1:116" s="24" customFormat="1" x14ac:dyDescent="0.3">
      <c r="A262" s="172"/>
      <c r="B262" s="172"/>
      <c r="C262" s="172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4"/>
      <c r="BZ262" s="172"/>
      <c r="CA262" s="172"/>
      <c r="CD262" s="194"/>
      <c r="CE262" s="194"/>
      <c r="CF262" s="194"/>
      <c r="CG262" s="194"/>
      <c r="CH262" s="195"/>
      <c r="CI262" s="194"/>
      <c r="CJ262" s="194"/>
      <c r="CK262" s="194"/>
      <c r="CL262" s="196"/>
      <c r="CM262" s="196"/>
      <c r="CN262" s="194"/>
      <c r="CO262" s="197"/>
      <c r="CP262" s="196"/>
      <c r="CQ262" s="196"/>
      <c r="CR262" s="196"/>
      <c r="CS262" s="196"/>
      <c r="CT262" s="196"/>
      <c r="CU262" s="196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6"/>
      <c r="DG262" s="198"/>
      <c r="DH262" s="194"/>
      <c r="DI262" s="282"/>
      <c r="DJ262" s="282"/>
      <c r="DK262" s="282"/>
      <c r="DL262" s="282"/>
    </row>
    <row r="263" spans="1:116" s="24" customFormat="1" x14ac:dyDescent="0.3">
      <c r="A263" s="172"/>
      <c r="B263" s="172"/>
      <c r="C263" s="172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4"/>
      <c r="BZ263" s="172"/>
      <c r="CA263" s="172"/>
      <c r="CD263" s="194"/>
      <c r="CE263" s="194"/>
      <c r="CF263" s="194"/>
      <c r="CG263" s="194"/>
      <c r="CH263" s="195"/>
      <c r="CI263" s="194"/>
      <c r="CJ263" s="194"/>
      <c r="CK263" s="194"/>
      <c r="CL263" s="196"/>
      <c r="CM263" s="196"/>
      <c r="CN263" s="194"/>
      <c r="CO263" s="197"/>
      <c r="CP263" s="196"/>
      <c r="CQ263" s="196"/>
      <c r="CR263" s="196"/>
      <c r="CS263" s="196"/>
      <c r="CT263" s="196"/>
      <c r="CU263" s="196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6"/>
      <c r="DG263" s="198"/>
      <c r="DH263" s="194"/>
      <c r="DI263" s="282"/>
      <c r="DJ263" s="282"/>
      <c r="DK263" s="282"/>
      <c r="DL263" s="282"/>
    </row>
    <row r="264" spans="1:116" s="24" customFormat="1" x14ac:dyDescent="0.3">
      <c r="A264" s="172"/>
      <c r="B264" s="172"/>
      <c r="C264" s="172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4"/>
      <c r="BZ264" s="172"/>
      <c r="CA264" s="172"/>
      <c r="CD264" s="194"/>
      <c r="CE264" s="194"/>
      <c r="CF264" s="194"/>
      <c r="CG264" s="194"/>
      <c r="CH264" s="195"/>
      <c r="CI264" s="194"/>
      <c r="CJ264" s="194"/>
      <c r="CK264" s="194"/>
      <c r="CL264" s="196"/>
      <c r="CM264" s="196"/>
      <c r="CN264" s="194"/>
      <c r="CO264" s="197"/>
      <c r="CP264" s="196"/>
      <c r="CQ264" s="196"/>
      <c r="CR264" s="196"/>
      <c r="CS264" s="196"/>
      <c r="CT264" s="196"/>
      <c r="CU264" s="196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6"/>
      <c r="DG264" s="198"/>
      <c r="DH264" s="194"/>
      <c r="DI264" s="282"/>
      <c r="DJ264" s="282"/>
      <c r="DK264" s="282"/>
      <c r="DL264" s="282"/>
    </row>
    <row r="265" spans="1:116" s="24" customFormat="1" x14ac:dyDescent="0.3">
      <c r="A265" s="172"/>
      <c r="B265" s="172"/>
      <c r="C265" s="172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4"/>
      <c r="BZ265" s="172"/>
      <c r="CA265" s="172"/>
      <c r="CD265" s="194"/>
      <c r="CE265" s="194"/>
      <c r="CF265" s="194"/>
      <c r="CG265" s="194"/>
      <c r="CH265" s="195"/>
      <c r="CI265" s="194"/>
      <c r="CJ265" s="194"/>
      <c r="CK265" s="194"/>
      <c r="CL265" s="196"/>
      <c r="CM265" s="196"/>
      <c r="CN265" s="194"/>
      <c r="CO265" s="197"/>
      <c r="CP265" s="196"/>
      <c r="CQ265" s="196"/>
      <c r="CR265" s="196"/>
      <c r="CS265" s="196"/>
      <c r="CT265" s="196"/>
      <c r="CU265" s="196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6"/>
      <c r="DG265" s="198"/>
      <c r="DH265" s="194"/>
      <c r="DI265" s="282"/>
      <c r="DJ265" s="282"/>
      <c r="DK265" s="282"/>
      <c r="DL265" s="282"/>
    </row>
    <row r="266" spans="1:116" s="24" customFormat="1" x14ac:dyDescent="0.3">
      <c r="A266" s="172"/>
      <c r="B266" s="172"/>
      <c r="C266" s="172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4"/>
      <c r="BZ266" s="172"/>
      <c r="CA266" s="172"/>
      <c r="CD266" s="194"/>
      <c r="CE266" s="194"/>
      <c r="CF266" s="194"/>
      <c r="CG266" s="194"/>
      <c r="CH266" s="195"/>
      <c r="CI266" s="194"/>
      <c r="CJ266" s="194"/>
      <c r="CK266" s="194"/>
      <c r="CL266" s="196"/>
      <c r="CM266" s="196"/>
      <c r="CN266" s="194"/>
      <c r="CO266" s="197"/>
      <c r="CP266" s="196"/>
      <c r="CQ266" s="196"/>
      <c r="CR266" s="196"/>
      <c r="CS266" s="196"/>
      <c r="CT266" s="196"/>
      <c r="CU266" s="196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6"/>
      <c r="DG266" s="198"/>
      <c r="DH266" s="194"/>
      <c r="DI266" s="282"/>
      <c r="DJ266" s="282"/>
      <c r="DK266" s="282"/>
      <c r="DL266" s="282"/>
    </row>
    <row r="267" spans="1:116" s="24" customFormat="1" x14ac:dyDescent="0.3">
      <c r="A267" s="172"/>
      <c r="B267" s="172"/>
      <c r="C267" s="172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4"/>
      <c r="BZ267" s="172"/>
      <c r="CA267" s="172"/>
      <c r="CD267" s="194"/>
      <c r="CE267" s="194"/>
      <c r="CF267" s="194"/>
      <c r="CG267" s="194"/>
      <c r="CH267" s="195"/>
      <c r="CI267" s="194"/>
      <c r="CJ267" s="194"/>
      <c r="CK267" s="194"/>
      <c r="CL267" s="196"/>
      <c r="CM267" s="196"/>
      <c r="CN267" s="194"/>
      <c r="CO267" s="197"/>
      <c r="CP267" s="196"/>
      <c r="CQ267" s="196"/>
      <c r="CR267" s="196"/>
      <c r="CS267" s="196"/>
      <c r="CT267" s="196"/>
      <c r="CU267" s="196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6"/>
      <c r="DG267" s="198"/>
      <c r="DH267" s="194"/>
      <c r="DI267" s="282"/>
      <c r="DJ267" s="282"/>
      <c r="DK267" s="282"/>
      <c r="DL267" s="282"/>
    </row>
    <row r="268" spans="1:116" s="24" customFormat="1" x14ac:dyDescent="0.3">
      <c r="A268" s="172"/>
      <c r="B268" s="172"/>
      <c r="C268" s="172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4"/>
      <c r="BZ268" s="172"/>
      <c r="CA268" s="172"/>
      <c r="CD268" s="194"/>
      <c r="CE268" s="194"/>
      <c r="CF268" s="194"/>
      <c r="CG268" s="194"/>
      <c r="CH268" s="195"/>
      <c r="CI268" s="194"/>
      <c r="CJ268" s="194"/>
      <c r="CK268" s="194"/>
      <c r="CL268" s="196"/>
      <c r="CM268" s="196"/>
      <c r="CN268" s="194"/>
      <c r="CO268" s="197"/>
      <c r="CP268" s="196"/>
      <c r="CQ268" s="196"/>
      <c r="CR268" s="196"/>
      <c r="CS268" s="196"/>
      <c r="CT268" s="196"/>
      <c r="CU268" s="196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6"/>
      <c r="DG268" s="198"/>
      <c r="DH268" s="194"/>
      <c r="DI268" s="282"/>
      <c r="DJ268" s="282"/>
      <c r="DK268" s="282"/>
      <c r="DL268" s="282"/>
    </row>
    <row r="269" spans="1:116" s="24" customFormat="1" x14ac:dyDescent="0.3">
      <c r="A269" s="172"/>
      <c r="B269" s="172"/>
      <c r="C269" s="172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4"/>
      <c r="BZ269" s="172"/>
      <c r="CA269" s="172"/>
      <c r="CD269" s="194"/>
      <c r="CE269" s="194"/>
      <c r="CF269" s="194"/>
      <c r="CG269" s="194"/>
      <c r="CH269" s="195"/>
      <c r="CI269" s="194"/>
      <c r="CJ269" s="194"/>
      <c r="CK269" s="194"/>
      <c r="CL269" s="196"/>
      <c r="CM269" s="196"/>
      <c r="CN269" s="194"/>
      <c r="CO269" s="197"/>
      <c r="CP269" s="196"/>
      <c r="CQ269" s="196"/>
      <c r="CR269" s="196"/>
      <c r="CS269" s="196"/>
      <c r="CT269" s="196"/>
      <c r="CU269" s="196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6"/>
      <c r="DG269" s="198"/>
      <c r="DH269" s="194"/>
      <c r="DI269" s="282"/>
      <c r="DJ269" s="282"/>
      <c r="DK269" s="282"/>
      <c r="DL269" s="282"/>
    </row>
    <row r="270" spans="1:116" s="24" customFormat="1" x14ac:dyDescent="0.3">
      <c r="A270" s="172"/>
      <c r="B270" s="172"/>
      <c r="C270" s="172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4"/>
      <c r="BZ270" s="172"/>
      <c r="CA270" s="172"/>
      <c r="CD270" s="194"/>
      <c r="CE270" s="194"/>
      <c r="CF270" s="194"/>
      <c r="CG270" s="194"/>
      <c r="CH270" s="195"/>
      <c r="CI270" s="194"/>
      <c r="CJ270" s="194"/>
      <c r="CK270" s="194"/>
      <c r="CL270" s="196"/>
      <c r="CM270" s="196"/>
      <c r="CN270" s="194"/>
      <c r="CO270" s="197"/>
      <c r="CP270" s="196"/>
      <c r="CQ270" s="196"/>
      <c r="CR270" s="196"/>
      <c r="CS270" s="196"/>
      <c r="CT270" s="196"/>
      <c r="CU270" s="196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6"/>
      <c r="DG270" s="198"/>
      <c r="DH270" s="194"/>
      <c r="DI270" s="282"/>
      <c r="DJ270" s="282"/>
      <c r="DK270" s="282"/>
      <c r="DL270" s="282"/>
    </row>
    <row r="271" spans="1:116" s="24" customFormat="1" x14ac:dyDescent="0.3">
      <c r="A271" s="172"/>
      <c r="B271" s="172"/>
      <c r="C271" s="172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4"/>
      <c r="BZ271" s="172"/>
      <c r="CA271" s="172"/>
      <c r="CD271" s="194"/>
      <c r="CE271" s="194"/>
      <c r="CF271" s="194"/>
      <c r="CG271" s="194"/>
      <c r="CH271" s="195"/>
      <c r="CI271" s="194"/>
      <c r="CJ271" s="194"/>
      <c r="CK271" s="194"/>
      <c r="CL271" s="196"/>
      <c r="CM271" s="196"/>
      <c r="CN271" s="194"/>
      <c r="CO271" s="197"/>
      <c r="CP271" s="196"/>
      <c r="CQ271" s="196"/>
      <c r="CR271" s="196"/>
      <c r="CS271" s="196"/>
      <c r="CT271" s="196"/>
      <c r="CU271" s="196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6"/>
      <c r="DG271" s="198"/>
      <c r="DH271" s="194"/>
      <c r="DI271" s="282"/>
      <c r="DJ271" s="282"/>
      <c r="DK271" s="282"/>
      <c r="DL271" s="282"/>
    </row>
    <row r="272" spans="1:116" s="24" customFormat="1" x14ac:dyDescent="0.3">
      <c r="A272" s="172"/>
      <c r="B272" s="172"/>
      <c r="C272" s="172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4"/>
      <c r="BZ272" s="172"/>
      <c r="CA272" s="172"/>
      <c r="CD272" s="194"/>
      <c r="CE272" s="194"/>
      <c r="CF272" s="194"/>
      <c r="CG272" s="194"/>
      <c r="CH272" s="195"/>
      <c r="CI272" s="194"/>
      <c r="CJ272" s="194"/>
      <c r="CK272" s="194"/>
      <c r="CL272" s="196"/>
      <c r="CM272" s="196"/>
      <c r="CN272" s="194"/>
      <c r="CO272" s="197"/>
      <c r="CP272" s="196"/>
      <c r="CQ272" s="196"/>
      <c r="CR272" s="196"/>
      <c r="CS272" s="196"/>
      <c r="CT272" s="196"/>
      <c r="CU272" s="196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6"/>
      <c r="DG272" s="198"/>
      <c r="DH272" s="194"/>
      <c r="DI272" s="282"/>
      <c r="DJ272" s="282"/>
      <c r="DK272" s="282"/>
      <c r="DL272" s="282"/>
    </row>
    <row r="273" spans="1:116" s="24" customFormat="1" x14ac:dyDescent="0.3">
      <c r="A273" s="172"/>
      <c r="B273" s="172"/>
      <c r="C273" s="172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4"/>
      <c r="BZ273" s="172"/>
      <c r="CA273" s="172"/>
      <c r="CD273" s="194"/>
      <c r="CE273" s="194"/>
      <c r="CF273" s="194"/>
      <c r="CG273" s="194"/>
      <c r="CH273" s="195"/>
      <c r="CI273" s="194"/>
      <c r="CJ273" s="194"/>
      <c r="CK273" s="194"/>
      <c r="CL273" s="196"/>
      <c r="CM273" s="196"/>
      <c r="CN273" s="194"/>
      <c r="CO273" s="197"/>
      <c r="CP273" s="196"/>
      <c r="CQ273" s="196"/>
      <c r="CR273" s="196"/>
      <c r="CS273" s="196"/>
      <c r="CT273" s="196"/>
      <c r="CU273" s="196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6"/>
      <c r="DG273" s="198"/>
      <c r="DH273" s="194"/>
      <c r="DI273" s="282"/>
      <c r="DJ273" s="282"/>
      <c r="DK273" s="282"/>
      <c r="DL273" s="282"/>
    </row>
    <row r="274" spans="1:116" s="24" customFormat="1" x14ac:dyDescent="0.3">
      <c r="A274" s="172"/>
      <c r="B274" s="172"/>
      <c r="C274" s="172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4"/>
      <c r="BZ274" s="172"/>
      <c r="CA274" s="172"/>
      <c r="CD274" s="194"/>
      <c r="CE274" s="194"/>
      <c r="CF274" s="194"/>
      <c r="CG274" s="194"/>
      <c r="CH274" s="195"/>
      <c r="CI274" s="194"/>
      <c r="CJ274" s="194"/>
      <c r="CK274" s="194"/>
      <c r="CL274" s="196"/>
      <c r="CM274" s="196"/>
      <c r="CN274" s="194"/>
      <c r="CO274" s="197"/>
      <c r="CP274" s="196"/>
      <c r="CQ274" s="196"/>
      <c r="CR274" s="196"/>
      <c r="CS274" s="196"/>
      <c r="CT274" s="196"/>
      <c r="CU274" s="196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6"/>
      <c r="DG274" s="198"/>
      <c r="DH274" s="194"/>
      <c r="DI274" s="282"/>
      <c r="DJ274" s="282"/>
      <c r="DK274" s="282"/>
      <c r="DL274" s="282"/>
    </row>
    <row r="275" spans="1:116" s="24" customFormat="1" x14ac:dyDescent="0.3">
      <c r="A275" s="172"/>
      <c r="B275" s="172"/>
      <c r="C275" s="172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4"/>
      <c r="BZ275" s="172"/>
      <c r="CA275" s="172"/>
      <c r="CD275" s="194"/>
      <c r="CE275" s="194"/>
      <c r="CF275" s="194"/>
      <c r="CG275" s="194"/>
      <c r="CH275" s="195"/>
      <c r="CI275" s="194"/>
      <c r="CJ275" s="194"/>
      <c r="CK275" s="194"/>
      <c r="CL275" s="196"/>
      <c r="CM275" s="196"/>
      <c r="CN275" s="194"/>
      <c r="CO275" s="197"/>
      <c r="CP275" s="196"/>
      <c r="CQ275" s="196"/>
      <c r="CR275" s="196"/>
      <c r="CS275" s="196"/>
      <c r="CT275" s="196"/>
      <c r="CU275" s="196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6"/>
      <c r="DG275" s="198"/>
      <c r="DH275" s="194"/>
      <c r="DI275" s="282"/>
      <c r="DJ275" s="282"/>
      <c r="DK275" s="282"/>
      <c r="DL275" s="282"/>
    </row>
    <row r="276" spans="1:116" s="24" customFormat="1" x14ac:dyDescent="0.3">
      <c r="A276" s="172"/>
      <c r="B276" s="172"/>
      <c r="C276" s="172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4"/>
      <c r="BZ276" s="172"/>
      <c r="CA276" s="172"/>
      <c r="CD276" s="194"/>
      <c r="CE276" s="194"/>
      <c r="CF276" s="194"/>
      <c r="CG276" s="194"/>
      <c r="CH276" s="195"/>
      <c r="CI276" s="194"/>
      <c r="CJ276" s="194"/>
      <c r="CK276" s="194"/>
      <c r="CL276" s="196"/>
      <c r="CM276" s="196"/>
      <c r="CN276" s="194"/>
      <c r="CO276" s="197"/>
      <c r="CP276" s="196"/>
      <c r="CQ276" s="196"/>
      <c r="CR276" s="196"/>
      <c r="CS276" s="196"/>
      <c r="CT276" s="196"/>
      <c r="CU276" s="196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6"/>
      <c r="DG276" s="198"/>
      <c r="DH276" s="194"/>
      <c r="DI276" s="282"/>
      <c r="DJ276" s="282"/>
      <c r="DK276" s="282"/>
      <c r="DL276" s="282"/>
    </row>
    <row r="277" spans="1:116" s="24" customFormat="1" x14ac:dyDescent="0.3">
      <c r="A277" s="172"/>
      <c r="B277" s="172"/>
      <c r="C277" s="172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4"/>
      <c r="BZ277" s="172"/>
      <c r="CA277" s="172"/>
      <c r="CD277" s="194"/>
      <c r="CE277" s="194"/>
      <c r="CF277" s="194"/>
      <c r="CG277" s="194"/>
      <c r="CH277" s="195"/>
      <c r="CI277" s="194"/>
      <c r="CJ277" s="194"/>
      <c r="CK277" s="194"/>
      <c r="CL277" s="196"/>
      <c r="CM277" s="196"/>
      <c r="CN277" s="194"/>
      <c r="CO277" s="197"/>
      <c r="CP277" s="196"/>
      <c r="CQ277" s="196"/>
      <c r="CR277" s="196"/>
      <c r="CS277" s="196"/>
      <c r="CT277" s="196"/>
      <c r="CU277" s="196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6"/>
      <c r="DG277" s="198"/>
      <c r="DH277" s="194"/>
      <c r="DI277" s="282"/>
      <c r="DJ277" s="282"/>
      <c r="DK277" s="282"/>
      <c r="DL277" s="282"/>
    </row>
    <row r="278" spans="1:116" s="24" customFormat="1" x14ac:dyDescent="0.3">
      <c r="A278" s="172"/>
      <c r="B278" s="172"/>
      <c r="C278" s="172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4"/>
      <c r="BZ278" s="172"/>
      <c r="CA278" s="172"/>
      <c r="CD278" s="194"/>
      <c r="CE278" s="194"/>
      <c r="CF278" s="194"/>
      <c r="CG278" s="194"/>
      <c r="CH278" s="195"/>
      <c r="CI278" s="194"/>
      <c r="CJ278" s="194"/>
      <c r="CK278" s="194"/>
      <c r="CL278" s="196"/>
      <c r="CM278" s="196"/>
      <c r="CN278" s="194"/>
      <c r="CO278" s="197"/>
      <c r="CP278" s="196"/>
      <c r="CQ278" s="196"/>
      <c r="CR278" s="196"/>
      <c r="CS278" s="196"/>
      <c r="CT278" s="196"/>
      <c r="CU278" s="196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6"/>
      <c r="DG278" s="198"/>
      <c r="DH278" s="194"/>
      <c r="DI278" s="282"/>
      <c r="DJ278" s="282"/>
      <c r="DK278" s="282"/>
      <c r="DL278" s="282"/>
    </row>
    <row r="279" spans="1:116" s="24" customFormat="1" x14ac:dyDescent="0.3">
      <c r="A279" s="172"/>
      <c r="B279" s="172"/>
      <c r="C279" s="172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4"/>
      <c r="BZ279" s="172"/>
      <c r="CA279" s="172"/>
      <c r="CD279" s="194"/>
      <c r="CE279" s="194"/>
      <c r="CF279" s="194"/>
      <c r="CG279" s="194"/>
      <c r="CH279" s="195"/>
      <c r="CI279" s="194"/>
      <c r="CJ279" s="194"/>
      <c r="CK279" s="194"/>
      <c r="CL279" s="196"/>
      <c r="CM279" s="196"/>
      <c r="CN279" s="194"/>
      <c r="CO279" s="197"/>
      <c r="CP279" s="196"/>
      <c r="CQ279" s="196"/>
      <c r="CR279" s="196"/>
      <c r="CS279" s="196"/>
      <c r="CT279" s="196"/>
      <c r="CU279" s="196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6"/>
      <c r="DG279" s="198"/>
      <c r="DH279" s="194"/>
      <c r="DI279" s="282"/>
      <c r="DJ279" s="282"/>
      <c r="DK279" s="282"/>
      <c r="DL279" s="282"/>
    </row>
    <row r="280" spans="1:116" s="24" customFormat="1" x14ac:dyDescent="0.3">
      <c r="A280" s="172"/>
      <c r="B280" s="172"/>
      <c r="C280" s="172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4"/>
      <c r="BZ280" s="172"/>
      <c r="CA280" s="172"/>
      <c r="CD280" s="194"/>
      <c r="CE280" s="194"/>
      <c r="CF280" s="194"/>
      <c r="CG280" s="194"/>
      <c r="CH280" s="195"/>
      <c r="CI280" s="194"/>
      <c r="CJ280" s="194"/>
      <c r="CK280" s="194"/>
      <c r="CL280" s="196"/>
      <c r="CM280" s="196"/>
      <c r="CN280" s="194"/>
      <c r="CO280" s="197"/>
      <c r="CP280" s="196"/>
      <c r="CQ280" s="196"/>
      <c r="CR280" s="196"/>
      <c r="CS280" s="196"/>
      <c r="CT280" s="196"/>
      <c r="CU280" s="196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6"/>
      <c r="DG280" s="198"/>
      <c r="DH280" s="194"/>
      <c r="DI280" s="282"/>
      <c r="DJ280" s="282"/>
      <c r="DK280" s="282"/>
      <c r="DL280" s="282"/>
    </row>
    <row r="281" spans="1:116" s="24" customFormat="1" x14ac:dyDescent="0.3">
      <c r="A281" s="172"/>
      <c r="B281" s="172"/>
      <c r="C281" s="172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4"/>
      <c r="BZ281" s="172"/>
      <c r="CA281" s="172"/>
      <c r="CD281" s="194"/>
      <c r="CE281" s="194"/>
      <c r="CF281" s="194"/>
      <c r="CG281" s="194"/>
      <c r="CH281" s="195"/>
      <c r="CI281" s="194"/>
      <c r="CJ281" s="194"/>
      <c r="CK281" s="194"/>
      <c r="CL281" s="196"/>
      <c r="CM281" s="196"/>
      <c r="CN281" s="194"/>
      <c r="CO281" s="197"/>
      <c r="CP281" s="196"/>
      <c r="CQ281" s="196"/>
      <c r="CR281" s="196"/>
      <c r="CS281" s="196"/>
      <c r="CT281" s="196"/>
      <c r="CU281" s="196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6"/>
      <c r="DG281" s="198"/>
      <c r="DH281" s="194"/>
      <c r="DI281" s="282"/>
      <c r="DJ281" s="282"/>
      <c r="DK281" s="282"/>
      <c r="DL281" s="282"/>
    </row>
    <row r="282" spans="1:116" s="24" customFormat="1" x14ac:dyDescent="0.3">
      <c r="A282" s="172"/>
      <c r="B282" s="172"/>
      <c r="C282" s="172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4"/>
      <c r="BZ282" s="172"/>
      <c r="CA282" s="172"/>
      <c r="CD282" s="194"/>
      <c r="CE282" s="194"/>
      <c r="CF282" s="194"/>
      <c r="CG282" s="194"/>
      <c r="CH282" s="195"/>
      <c r="CI282" s="194"/>
      <c r="CJ282" s="194"/>
      <c r="CK282" s="194"/>
      <c r="CL282" s="196"/>
      <c r="CM282" s="196"/>
      <c r="CN282" s="194"/>
      <c r="CO282" s="197"/>
      <c r="CP282" s="196"/>
      <c r="CQ282" s="196"/>
      <c r="CR282" s="196"/>
      <c r="CS282" s="196"/>
      <c r="CT282" s="196"/>
      <c r="CU282" s="196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6"/>
      <c r="DG282" s="198"/>
      <c r="DH282" s="194"/>
      <c r="DI282" s="282"/>
      <c r="DJ282" s="282"/>
      <c r="DK282" s="282"/>
      <c r="DL282" s="282"/>
    </row>
    <row r="283" spans="1:116" s="24" customFormat="1" x14ac:dyDescent="0.3">
      <c r="A283" s="172"/>
      <c r="B283" s="172"/>
      <c r="C283" s="172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4"/>
      <c r="BZ283" s="172"/>
      <c r="CA283" s="172"/>
      <c r="CD283" s="194"/>
      <c r="CE283" s="194"/>
      <c r="CF283" s="194"/>
      <c r="CG283" s="194"/>
      <c r="CH283" s="195"/>
      <c r="CI283" s="194"/>
      <c r="CJ283" s="194"/>
      <c r="CK283" s="194"/>
      <c r="CL283" s="196"/>
      <c r="CM283" s="196"/>
      <c r="CN283" s="194"/>
      <c r="CO283" s="197"/>
      <c r="CP283" s="196"/>
      <c r="CQ283" s="196"/>
      <c r="CR283" s="196"/>
      <c r="CS283" s="196"/>
      <c r="CT283" s="196"/>
      <c r="CU283" s="196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6"/>
      <c r="DG283" s="198"/>
      <c r="DH283" s="194"/>
      <c r="DI283" s="282"/>
      <c r="DJ283" s="282"/>
      <c r="DK283" s="282"/>
      <c r="DL283" s="282"/>
    </row>
    <row r="284" spans="1:116" s="24" customFormat="1" x14ac:dyDescent="0.3">
      <c r="A284" s="172"/>
      <c r="B284" s="172"/>
      <c r="C284" s="172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4"/>
      <c r="BZ284" s="172"/>
      <c r="CA284" s="172"/>
      <c r="CD284" s="194"/>
      <c r="CE284" s="194"/>
      <c r="CF284" s="194"/>
      <c r="CG284" s="194"/>
      <c r="CH284" s="195"/>
      <c r="CI284" s="194"/>
      <c r="CJ284" s="194"/>
      <c r="CK284" s="194"/>
      <c r="CL284" s="196"/>
      <c r="CM284" s="196"/>
      <c r="CN284" s="194"/>
      <c r="CO284" s="197"/>
      <c r="CP284" s="196"/>
      <c r="CQ284" s="196"/>
      <c r="CR284" s="196"/>
      <c r="CS284" s="196"/>
      <c r="CT284" s="196"/>
      <c r="CU284" s="196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6"/>
      <c r="DG284" s="198"/>
      <c r="DH284" s="194"/>
      <c r="DI284" s="282"/>
      <c r="DJ284" s="282"/>
      <c r="DK284" s="282"/>
      <c r="DL284" s="282"/>
    </row>
    <row r="285" spans="1:116" s="24" customFormat="1" x14ac:dyDescent="0.3">
      <c r="A285" s="172"/>
      <c r="B285" s="172"/>
      <c r="C285" s="172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4"/>
      <c r="BZ285" s="172"/>
      <c r="CA285" s="172"/>
      <c r="CD285" s="194"/>
      <c r="CE285" s="194"/>
      <c r="CF285" s="194"/>
      <c r="CG285" s="194"/>
      <c r="CH285" s="195"/>
      <c r="CI285" s="194"/>
      <c r="CJ285" s="194"/>
      <c r="CK285" s="194"/>
      <c r="CL285" s="196"/>
      <c r="CM285" s="196"/>
      <c r="CN285" s="194"/>
      <c r="CO285" s="197"/>
      <c r="CP285" s="196"/>
      <c r="CQ285" s="196"/>
      <c r="CR285" s="196"/>
      <c r="CS285" s="196"/>
      <c r="CT285" s="196"/>
      <c r="CU285" s="196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6"/>
      <c r="DG285" s="198"/>
      <c r="DH285" s="194"/>
      <c r="DI285" s="282"/>
      <c r="DJ285" s="282"/>
      <c r="DK285" s="282"/>
      <c r="DL285" s="282"/>
    </row>
    <row r="286" spans="1:116" s="24" customFormat="1" x14ac:dyDescent="0.3">
      <c r="A286" s="172"/>
      <c r="B286" s="172"/>
      <c r="C286" s="172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4"/>
      <c r="BZ286" s="172"/>
      <c r="CA286" s="172"/>
      <c r="CD286" s="194"/>
      <c r="CE286" s="194"/>
      <c r="CF286" s="194"/>
      <c r="CG286" s="194"/>
      <c r="CH286" s="195"/>
      <c r="CI286" s="194"/>
      <c r="CJ286" s="194"/>
      <c r="CK286" s="194"/>
      <c r="CL286" s="196"/>
      <c r="CM286" s="196"/>
      <c r="CN286" s="194"/>
      <c r="CO286" s="197"/>
      <c r="CP286" s="196"/>
      <c r="CQ286" s="196"/>
      <c r="CR286" s="196"/>
      <c r="CS286" s="196"/>
      <c r="CT286" s="196"/>
      <c r="CU286" s="196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6"/>
      <c r="DG286" s="198"/>
      <c r="DH286" s="194"/>
      <c r="DI286" s="282"/>
      <c r="DJ286" s="282"/>
      <c r="DK286" s="282"/>
      <c r="DL286" s="282"/>
    </row>
    <row r="287" spans="1:116" s="24" customFormat="1" x14ac:dyDescent="0.3">
      <c r="A287" s="172"/>
      <c r="B287" s="172"/>
      <c r="C287" s="172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4"/>
      <c r="BZ287" s="172"/>
      <c r="CA287" s="172"/>
      <c r="CD287" s="194"/>
      <c r="CE287" s="194"/>
      <c r="CF287" s="194"/>
      <c r="CG287" s="194"/>
      <c r="CH287" s="195"/>
      <c r="CI287" s="194"/>
      <c r="CJ287" s="194"/>
      <c r="CK287" s="194"/>
      <c r="CL287" s="196"/>
      <c r="CM287" s="196"/>
      <c r="CN287" s="194"/>
      <c r="CO287" s="197"/>
      <c r="CP287" s="196"/>
      <c r="CQ287" s="196"/>
      <c r="CR287" s="196"/>
      <c r="CS287" s="196"/>
      <c r="CT287" s="196"/>
      <c r="CU287" s="196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6"/>
      <c r="DG287" s="198"/>
      <c r="DH287" s="194"/>
      <c r="DI287" s="282"/>
      <c r="DJ287" s="282"/>
      <c r="DK287" s="282"/>
      <c r="DL287" s="282"/>
    </row>
    <row r="288" spans="1:116" s="24" customFormat="1" x14ac:dyDescent="0.3">
      <c r="A288" s="172"/>
      <c r="B288" s="172"/>
      <c r="C288" s="172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4"/>
      <c r="BZ288" s="172"/>
      <c r="CA288" s="172"/>
      <c r="CD288" s="194"/>
      <c r="CE288" s="194"/>
      <c r="CF288" s="194"/>
      <c r="CG288" s="194"/>
      <c r="CH288" s="195"/>
      <c r="CI288" s="194"/>
      <c r="CJ288" s="194"/>
      <c r="CK288" s="194"/>
      <c r="CL288" s="196"/>
      <c r="CM288" s="196"/>
      <c r="CN288" s="194"/>
      <c r="CO288" s="197"/>
      <c r="CP288" s="196"/>
      <c r="CQ288" s="196"/>
      <c r="CR288" s="196"/>
      <c r="CS288" s="196"/>
      <c r="CT288" s="196"/>
      <c r="CU288" s="196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6"/>
      <c r="DG288" s="198"/>
      <c r="DH288" s="194"/>
      <c r="DI288" s="282"/>
      <c r="DJ288" s="282"/>
      <c r="DK288" s="282"/>
      <c r="DL288" s="282"/>
    </row>
    <row r="289" spans="1:116" s="24" customFormat="1" x14ac:dyDescent="0.3">
      <c r="A289" s="172"/>
      <c r="B289" s="172"/>
      <c r="C289" s="172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4"/>
      <c r="BZ289" s="172"/>
      <c r="CA289" s="172"/>
      <c r="CD289" s="194"/>
      <c r="CE289" s="194"/>
      <c r="CF289" s="194"/>
      <c r="CG289" s="194"/>
      <c r="CH289" s="195"/>
      <c r="CI289" s="194"/>
      <c r="CJ289" s="194"/>
      <c r="CK289" s="194"/>
      <c r="CL289" s="196"/>
      <c r="CM289" s="196"/>
      <c r="CN289" s="194"/>
      <c r="CO289" s="197"/>
      <c r="CP289" s="196"/>
      <c r="CQ289" s="196"/>
      <c r="CR289" s="196"/>
      <c r="CS289" s="196"/>
      <c r="CT289" s="196"/>
      <c r="CU289" s="196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6"/>
      <c r="DG289" s="198"/>
      <c r="DH289" s="194"/>
      <c r="DI289" s="282"/>
      <c r="DJ289" s="282"/>
      <c r="DK289" s="282"/>
      <c r="DL289" s="282"/>
    </row>
    <row r="290" spans="1:116" s="24" customFormat="1" x14ac:dyDescent="0.3">
      <c r="A290" s="172"/>
      <c r="B290" s="172"/>
      <c r="C290" s="172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4"/>
      <c r="BZ290" s="172"/>
      <c r="CA290" s="172"/>
      <c r="CD290" s="194"/>
      <c r="CE290" s="194"/>
      <c r="CF290" s="194"/>
      <c r="CG290" s="194"/>
      <c r="CH290" s="195"/>
      <c r="CI290" s="194"/>
      <c r="CJ290" s="194"/>
      <c r="CK290" s="194"/>
      <c r="CL290" s="196"/>
      <c r="CM290" s="196"/>
      <c r="CN290" s="194"/>
      <c r="CO290" s="197"/>
      <c r="CP290" s="196"/>
      <c r="CQ290" s="196"/>
      <c r="CR290" s="196"/>
      <c r="CS290" s="196"/>
      <c r="CT290" s="196"/>
      <c r="CU290" s="196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6"/>
      <c r="DG290" s="198"/>
      <c r="DH290" s="194"/>
      <c r="DI290" s="282"/>
      <c r="DJ290" s="282"/>
      <c r="DK290" s="282"/>
      <c r="DL290" s="282"/>
    </row>
    <row r="291" spans="1:116" s="24" customFormat="1" x14ac:dyDescent="0.3">
      <c r="A291" s="172"/>
      <c r="B291" s="172"/>
      <c r="C291" s="172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4"/>
      <c r="BZ291" s="172"/>
      <c r="CA291" s="172"/>
      <c r="CD291" s="194"/>
      <c r="CE291" s="194"/>
      <c r="CF291" s="194"/>
      <c r="CG291" s="194"/>
      <c r="CH291" s="195"/>
      <c r="CI291" s="194"/>
      <c r="CJ291" s="194"/>
      <c r="CK291" s="194"/>
      <c r="CL291" s="196"/>
      <c r="CM291" s="196"/>
      <c r="CN291" s="194"/>
      <c r="CO291" s="197"/>
      <c r="CP291" s="196"/>
      <c r="CQ291" s="196"/>
      <c r="CR291" s="196"/>
      <c r="CS291" s="196"/>
      <c r="CT291" s="196"/>
      <c r="CU291" s="196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6"/>
      <c r="DG291" s="198"/>
      <c r="DH291" s="194"/>
      <c r="DI291" s="282"/>
      <c r="DJ291" s="282"/>
      <c r="DK291" s="282"/>
      <c r="DL291" s="282"/>
    </row>
    <row r="292" spans="1:116" s="24" customFormat="1" x14ac:dyDescent="0.3">
      <c r="A292" s="172"/>
      <c r="B292" s="172"/>
      <c r="C292" s="172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4"/>
      <c r="BZ292" s="172"/>
      <c r="CA292" s="172"/>
      <c r="CD292" s="194"/>
      <c r="CE292" s="194"/>
      <c r="CF292" s="194"/>
      <c r="CG292" s="194"/>
      <c r="CH292" s="195"/>
      <c r="CI292" s="194"/>
      <c r="CJ292" s="194"/>
      <c r="CK292" s="194"/>
      <c r="CL292" s="196"/>
      <c r="CM292" s="196"/>
      <c r="CN292" s="194"/>
      <c r="CO292" s="197"/>
      <c r="CP292" s="196"/>
      <c r="CQ292" s="196"/>
      <c r="CR292" s="196"/>
      <c r="CS292" s="196"/>
      <c r="CT292" s="196"/>
      <c r="CU292" s="196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6"/>
      <c r="DG292" s="198"/>
      <c r="DH292" s="194"/>
      <c r="DI292" s="282"/>
      <c r="DJ292" s="282"/>
      <c r="DK292" s="282"/>
      <c r="DL292" s="282"/>
    </row>
    <row r="293" spans="1:116" s="24" customFormat="1" x14ac:dyDescent="0.3">
      <c r="A293" s="172"/>
      <c r="B293" s="172"/>
      <c r="C293" s="172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4"/>
      <c r="BZ293" s="172"/>
      <c r="CA293" s="172"/>
      <c r="CD293" s="194"/>
      <c r="CE293" s="194"/>
      <c r="CF293" s="194"/>
      <c r="CG293" s="194"/>
      <c r="CH293" s="195"/>
      <c r="CI293" s="194"/>
      <c r="CJ293" s="194"/>
      <c r="CK293" s="194"/>
      <c r="CL293" s="196"/>
      <c r="CM293" s="196"/>
      <c r="CN293" s="194"/>
      <c r="CO293" s="197"/>
      <c r="CP293" s="196"/>
      <c r="CQ293" s="196"/>
      <c r="CR293" s="196"/>
      <c r="CS293" s="196"/>
      <c r="CT293" s="196"/>
      <c r="CU293" s="196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6"/>
      <c r="DG293" s="198"/>
      <c r="DH293" s="194"/>
      <c r="DI293" s="282"/>
      <c r="DJ293" s="282"/>
      <c r="DK293" s="282"/>
      <c r="DL293" s="282"/>
    </row>
    <row r="294" spans="1:116" s="24" customFormat="1" x14ac:dyDescent="0.3">
      <c r="A294" s="172"/>
      <c r="B294" s="172"/>
      <c r="C294" s="172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4"/>
      <c r="BZ294" s="172"/>
      <c r="CA294" s="172"/>
      <c r="CD294" s="194"/>
      <c r="CE294" s="194"/>
      <c r="CF294" s="194"/>
      <c r="CG294" s="194"/>
      <c r="CH294" s="195"/>
      <c r="CI294" s="194"/>
      <c r="CJ294" s="194"/>
      <c r="CK294" s="194"/>
      <c r="CL294" s="196"/>
      <c r="CM294" s="196"/>
      <c r="CN294" s="194"/>
      <c r="CO294" s="197"/>
      <c r="CP294" s="196"/>
      <c r="CQ294" s="196"/>
      <c r="CR294" s="196"/>
      <c r="CS294" s="196"/>
      <c r="CT294" s="196"/>
      <c r="CU294" s="196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6"/>
      <c r="DG294" s="198"/>
      <c r="DH294" s="194"/>
      <c r="DI294" s="282"/>
      <c r="DJ294" s="282"/>
      <c r="DK294" s="282"/>
      <c r="DL294" s="282"/>
    </row>
    <row r="295" spans="1:116" s="24" customFormat="1" x14ac:dyDescent="0.3">
      <c r="A295" s="172"/>
      <c r="B295" s="172"/>
      <c r="C295" s="172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4"/>
      <c r="BZ295" s="172"/>
      <c r="CA295" s="172"/>
      <c r="CD295" s="194"/>
      <c r="CE295" s="194"/>
      <c r="CF295" s="194"/>
      <c r="CG295" s="194"/>
      <c r="CH295" s="195"/>
      <c r="CI295" s="194"/>
      <c r="CJ295" s="194"/>
      <c r="CK295" s="194"/>
      <c r="CL295" s="196"/>
      <c r="CM295" s="196"/>
      <c r="CN295" s="194"/>
      <c r="CO295" s="197"/>
      <c r="CP295" s="196"/>
      <c r="CQ295" s="196"/>
      <c r="CR295" s="196"/>
      <c r="CS295" s="196"/>
      <c r="CT295" s="196"/>
      <c r="CU295" s="196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6"/>
      <c r="DG295" s="198"/>
      <c r="DH295" s="194"/>
      <c r="DI295" s="282"/>
      <c r="DJ295" s="282"/>
      <c r="DK295" s="282"/>
      <c r="DL295" s="282"/>
    </row>
    <row r="296" spans="1:116" s="24" customFormat="1" x14ac:dyDescent="0.3">
      <c r="A296" s="172"/>
      <c r="B296" s="172"/>
      <c r="C296" s="172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4"/>
      <c r="BZ296" s="172"/>
      <c r="CA296" s="172"/>
      <c r="CD296" s="194"/>
      <c r="CE296" s="194"/>
      <c r="CF296" s="194"/>
      <c r="CG296" s="194"/>
      <c r="CH296" s="195"/>
      <c r="CI296" s="194"/>
      <c r="CJ296" s="194"/>
      <c r="CK296" s="194"/>
      <c r="CL296" s="196"/>
      <c r="CM296" s="196"/>
      <c r="CN296" s="194"/>
      <c r="CO296" s="197"/>
      <c r="CP296" s="196"/>
      <c r="CQ296" s="196"/>
      <c r="CR296" s="196"/>
      <c r="CS296" s="196"/>
      <c r="CT296" s="196"/>
      <c r="CU296" s="196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6"/>
      <c r="DG296" s="198"/>
      <c r="DH296" s="194"/>
      <c r="DI296" s="282"/>
      <c r="DJ296" s="282"/>
      <c r="DK296" s="282"/>
      <c r="DL296" s="282"/>
    </row>
    <row r="297" spans="1:116" s="24" customFormat="1" x14ac:dyDescent="0.3">
      <c r="A297" s="172"/>
      <c r="B297" s="172"/>
      <c r="C297" s="172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4"/>
      <c r="BZ297" s="172"/>
      <c r="CA297" s="172"/>
      <c r="CD297" s="194"/>
      <c r="CE297" s="194"/>
      <c r="CF297" s="194"/>
      <c r="CG297" s="194"/>
      <c r="CH297" s="195"/>
      <c r="CI297" s="194"/>
      <c r="CJ297" s="194"/>
      <c r="CK297" s="194"/>
      <c r="CL297" s="196"/>
      <c r="CM297" s="196"/>
      <c r="CN297" s="194"/>
      <c r="CO297" s="197"/>
      <c r="CP297" s="196"/>
      <c r="CQ297" s="196"/>
      <c r="CR297" s="196"/>
      <c r="CS297" s="196"/>
      <c r="CT297" s="196"/>
      <c r="CU297" s="196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6"/>
      <c r="DG297" s="198"/>
      <c r="DH297" s="194"/>
      <c r="DI297" s="282"/>
      <c r="DJ297" s="282"/>
      <c r="DK297" s="282"/>
      <c r="DL297" s="282"/>
    </row>
    <row r="298" spans="1:116" s="24" customFormat="1" x14ac:dyDescent="0.3">
      <c r="A298" s="172"/>
      <c r="B298" s="172"/>
      <c r="C298" s="172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4"/>
      <c r="BZ298" s="172"/>
      <c r="CA298" s="172"/>
      <c r="CD298" s="194"/>
      <c r="CE298" s="194"/>
      <c r="CF298" s="194"/>
      <c r="CG298" s="194"/>
      <c r="CH298" s="195"/>
      <c r="CI298" s="194"/>
      <c r="CJ298" s="194"/>
      <c r="CK298" s="194"/>
      <c r="CL298" s="196"/>
      <c r="CM298" s="196"/>
      <c r="CN298" s="194"/>
      <c r="CO298" s="197"/>
      <c r="CP298" s="196"/>
      <c r="CQ298" s="196"/>
      <c r="CR298" s="196"/>
      <c r="CS298" s="196"/>
      <c r="CT298" s="196"/>
      <c r="CU298" s="196"/>
      <c r="CV298" s="194"/>
      <c r="CW298" s="194"/>
      <c r="CX298" s="194"/>
      <c r="CY298" s="194"/>
      <c r="CZ298" s="194"/>
      <c r="DA298" s="194"/>
      <c r="DB298" s="194"/>
      <c r="DC298" s="194"/>
      <c r="DD298" s="194"/>
      <c r="DE298" s="194"/>
      <c r="DF298" s="196"/>
      <c r="DG298" s="198"/>
      <c r="DH298" s="194"/>
      <c r="DI298" s="282"/>
      <c r="DJ298" s="282"/>
      <c r="DK298" s="282"/>
      <c r="DL298" s="282"/>
    </row>
    <row r="299" spans="1:116" s="24" customFormat="1" x14ac:dyDescent="0.3">
      <c r="A299" s="172"/>
      <c r="B299" s="172"/>
      <c r="C299" s="172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4"/>
      <c r="BZ299" s="172"/>
      <c r="CA299" s="172"/>
      <c r="CD299" s="194"/>
      <c r="CE299" s="194"/>
      <c r="CF299" s="194"/>
      <c r="CG299" s="194"/>
      <c r="CH299" s="195"/>
      <c r="CI299" s="194"/>
      <c r="CJ299" s="194"/>
      <c r="CK299" s="194"/>
      <c r="CL299" s="196"/>
      <c r="CM299" s="196"/>
      <c r="CN299" s="194"/>
      <c r="CO299" s="197"/>
      <c r="CP299" s="196"/>
      <c r="CQ299" s="196"/>
      <c r="CR299" s="196"/>
      <c r="CS299" s="196"/>
      <c r="CT299" s="196"/>
      <c r="CU299" s="196"/>
      <c r="CV299" s="194"/>
      <c r="CW299" s="194"/>
      <c r="CX299" s="194"/>
      <c r="CY299" s="194"/>
      <c r="CZ299" s="194"/>
      <c r="DA299" s="194"/>
      <c r="DB299" s="194"/>
      <c r="DC299" s="194"/>
      <c r="DD299" s="194"/>
      <c r="DE299" s="194"/>
      <c r="DF299" s="196"/>
      <c r="DG299" s="198"/>
      <c r="DH299" s="194"/>
      <c r="DI299" s="282"/>
      <c r="DJ299" s="282"/>
      <c r="DK299" s="282"/>
      <c r="DL299" s="282"/>
    </row>
    <row r="300" spans="1:116" s="24" customFormat="1" x14ac:dyDescent="0.3">
      <c r="A300" s="172"/>
      <c r="B300" s="172"/>
      <c r="C300" s="172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4"/>
      <c r="BZ300" s="172"/>
      <c r="CA300" s="172"/>
      <c r="CD300" s="194"/>
      <c r="CE300" s="194"/>
      <c r="CF300" s="194"/>
      <c r="CG300" s="194"/>
      <c r="CH300" s="195"/>
      <c r="CI300" s="194"/>
      <c r="CJ300" s="194"/>
      <c r="CK300" s="194"/>
      <c r="CL300" s="196"/>
      <c r="CM300" s="196"/>
      <c r="CN300" s="194"/>
      <c r="CO300" s="197"/>
      <c r="CP300" s="196"/>
      <c r="CQ300" s="196"/>
      <c r="CR300" s="196"/>
      <c r="CS300" s="196"/>
      <c r="CT300" s="196"/>
      <c r="CU300" s="196"/>
      <c r="CV300" s="194"/>
      <c r="CW300" s="194"/>
      <c r="CX300" s="194"/>
      <c r="CY300" s="194"/>
      <c r="CZ300" s="194"/>
      <c r="DA300" s="194"/>
      <c r="DB300" s="194"/>
      <c r="DC300" s="194"/>
      <c r="DD300" s="194"/>
      <c r="DE300" s="194"/>
      <c r="DF300" s="196"/>
      <c r="DG300" s="198"/>
      <c r="DH300" s="194"/>
      <c r="DI300" s="282"/>
      <c r="DJ300" s="282"/>
      <c r="DK300" s="282"/>
      <c r="DL300" s="282"/>
    </row>
    <row r="301" spans="1:116" s="24" customFormat="1" x14ac:dyDescent="0.3">
      <c r="A301" s="172"/>
      <c r="B301" s="172"/>
      <c r="C301" s="172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4"/>
      <c r="BZ301" s="172"/>
      <c r="CA301" s="172"/>
      <c r="CD301" s="194"/>
      <c r="CE301" s="194"/>
      <c r="CF301" s="194"/>
      <c r="CG301" s="194"/>
      <c r="CH301" s="195"/>
      <c r="CI301" s="194"/>
      <c r="CJ301" s="194"/>
      <c r="CK301" s="194"/>
      <c r="CL301" s="196"/>
      <c r="CM301" s="196"/>
      <c r="CN301" s="194"/>
      <c r="CO301" s="197"/>
      <c r="CP301" s="196"/>
      <c r="CQ301" s="196"/>
      <c r="CR301" s="196"/>
      <c r="CS301" s="196"/>
      <c r="CT301" s="196"/>
      <c r="CU301" s="196"/>
      <c r="CV301" s="194"/>
      <c r="CW301" s="194"/>
      <c r="CX301" s="194"/>
      <c r="CY301" s="194"/>
      <c r="CZ301" s="194"/>
      <c r="DA301" s="194"/>
      <c r="DB301" s="194"/>
      <c r="DC301" s="194"/>
      <c r="DD301" s="194"/>
      <c r="DE301" s="194"/>
      <c r="DF301" s="196"/>
      <c r="DG301" s="198"/>
      <c r="DH301" s="194"/>
      <c r="DI301" s="282"/>
      <c r="DJ301" s="282"/>
      <c r="DK301" s="282"/>
      <c r="DL301" s="282"/>
    </row>
    <row r="302" spans="1:116" s="24" customFormat="1" x14ac:dyDescent="0.3">
      <c r="A302" s="172"/>
      <c r="B302" s="172"/>
      <c r="C302" s="172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4"/>
      <c r="BZ302" s="172"/>
      <c r="CA302" s="172"/>
      <c r="CD302" s="194"/>
      <c r="CE302" s="194"/>
      <c r="CF302" s="194"/>
      <c r="CG302" s="194"/>
      <c r="CH302" s="195"/>
      <c r="CI302" s="194"/>
      <c r="CJ302" s="194"/>
      <c r="CK302" s="194"/>
      <c r="CL302" s="196"/>
      <c r="CM302" s="196"/>
      <c r="CN302" s="194"/>
      <c r="CO302" s="197"/>
      <c r="CP302" s="196"/>
      <c r="CQ302" s="196"/>
      <c r="CR302" s="196"/>
      <c r="CS302" s="196"/>
      <c r="CT302" s="196"/>
      <c r="CU302" s="196"/>
      <c r="CV302" s="194"/>
      <c r="CW302" s="194"/>
      <c r="CX302" s="194"/>
      <c r="CY302" s="194"/>
      <c r="CZ302" s="194"/>
      <c r="DA302" s="194"/>
      <c r="DB302" s="194"/>
      <c r="DC302" s="194"/>
      <c r="DD302" s="194"/>
      <c r="DE302" s="194"/>
      <c r="DF302" s="196"/>
      <c r="DG302" s="198"/>
      <c r="DH302" s="194"/>
      <c r="DI302" s="282"/>
      <c r="DJ302" s="282"/>
      <c r="DK302" s="282"/>
      <c r="DL302" s="282"/>
    </row>
    <row r="303" spans="1:116" s="24" customFormat="1" x14ac:dyDescent="0.3">
      <c r="A303" s="172"/>
      <c r="B303" s="172"/>
      <c r="C303" s="172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4"/>
      <c r="BZ303" s="172"/>
      <c r="CA303" s="172"/>
      <c r="CD303" s="194"/>
      <c r="CE303" s="194"/>
      <c r="CF303" s="194"/>
      <c r="CG303" s="194"/>
      <c r="CH303" s="195"/>
      <c r="CI303" s="194"/>
      <c r="CJ303" s="194"/>
      <c r="CK303" s="194"/>
      <c r="CL303" s="196"/>
      <c r="CM303" s="196"/>
      <c r="CN303" s="194"/>
      <c r="CO303" s="197"/>
      <c r="CP303" s="196"/>
      <c r="CQ303" s="196"/>
      <c r="CR303" s="196"/>
      <c r="CS303" s="196"/>
      <c r="CT303" s="196"/>
      <c r="CU303" s="196"/>
      <c r="CV303" s="194"/>
      <c r="CW303" s="194"/>
      <c r="CX303" s="194"/>
      <c r="CY303" s="194"/>
      <c r="CZ303" s="194"/>
      <c r="DA303" s="194"/>
      <c r="DB303" s="194"/>
      <c r="DC303" s="194"/>
      <c r="DD303" s="194"/>
      <c r="DE303" s="194"/>
      <c r="DF303" s="196"/>
      <c r="DG303" s="198"/>
      <c r="DH303" s="194"/>
      <c r="DI303" s="282"/>
      <c r="DJ303" s="282"/>
      <c r="DK303" s="282"/>
      <c r="DL303" s="282"/>
    </row>
    <row r="304" spans="1:116" s="24" customFormat="1" x14ac:dyDescent="0.3">
      <c r="A304" s="172"/>
      <c r="B304" s="172"/>
      <c r="C304" s="172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4"/>
      <c r="BZ304" s="172"/>
      <c r="CA304" s="172"/>
      <c r="CD304" s="194"/>
      <c r="CE304" s="194"/>
      <c r="CF304" s="194"/>
      <c r="CG304" s="194"/>
      <c r="CH304" s="195"/>
      <c r="CI304" s="194"/>
      <c r="CJ304" s="194"/>
      <c r="CK304" s="194"/>
      <c r="CL304" s="196"/>
      <c r="CM304" s="196"/>
      <c r="CN304" s="194"/>
      <c r="CO304" s="197"/>
      <c r="CP304" s="196"/>
      <c r="CQ304" s="196"/>
      <c r="CR304" s="196"/>
      <c r="CS304" s="196"/>
      <c r="CT304" s="196"/>
      <c r="CU304" s="196"/>
      <c r="CV304" s="194"/>
      <c r="CW304" s="194"/>
      <c r="CX304" s="194"/>
      <c r="CY304" s="194"/>
      <c r="CZ304" s="194"/>
      <c r="DA304" s="194"/>
      <c r="DB304" s="194"/>
      <c r="DC304" s="194"/>
      <c r="DD304" s="194"/>
      <c r="DE304" s="194"/>
      <c r="DF304" s="196"/>
      <c r="DG304" s="198"/>
      <c r="DH304" s="194"/>
      <c r="DI304" s="282"/>
      <c r="DJ304" s="282"/>
      <c r="DK304" s="282"/>
      <c r="DL304" s="282"/>
    </row>
    <row r="305" spans="1:116" s="24" customFormat="1" x14ac:dyDescent="0.3">
      <c r="A305" s="172"/>
      <c r="B305" s="172"/>
      <c r="C305" s="172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4"/>
      <c r="BZ305" s="172"/>
      <c r="CA305" s="172"/>
      <c r="CD305" s="194"/>
      <c r="CE305" s="194"/>
      <c r="CF305" s="194"/>
      <c r="CG305" s="194"/>
      <c r="CH305" s="195"/>
      <c r="CI305" s="194"/>
      <c r="CJ305" s="194"/>
      <c r="CK305" s="194"/>
      <c r="CL305" s="196"/>
      <c r="CM305" s="196"/>
      <c r="CN305" s="194"/>
      <c r="CO305" s="197"/>
      <c r="CP305" s="196"/>
      <c r="CQ305" s="196"/>
      <c r="CR305" s="196"/>
      <c r="CS305" s="196"/>
      <c r="CT305" s="196"/>
      <c r="CU305" s="196"/>
      <c r="CV305" s="194"/>
      <c r="CW305" s="194"/>
      <c r="CX305" s="194"/>
      <c r="CY305" s="194"/>
      <c r="CZ305" s="194"/>
      <c r="DA305" s="194"/>
      <c r="DB305" s="194"/>
      <c r="DC305" s="194"/>
      <c r="DD305" s="194"/>
      <c r="DE305" s="194"/>
      <c r="DF305" s="196"/>
      <c r="DG305" s="198"/>
      <c r="DH305" s="194"/>
      <c r="DI305" s="282"/>
      <c r="DJ305" s="282"/>
      <c r="DK305" s="282"/>
      <c r="DL305" s="282"/>
    </row>
    <row r="306" spans="1:116" s="24" customFormat="1" x14ac:dyDescent="0.3">
      <c r="A306" s="172"/>
      <c r="B306" s="172"/>
      <c r="C306" s="172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4"/>
      <c r="BZ306" s="172"/>
      <c r="CA306" s="172"/>
      <c r="CD306" s="194"/>
      <c r="CE306" s="194"/>
      <c r="CF306" s="194"/>
      <c r="CG306" s="194"/>
      <c r="CH306" s="195"/>
      <c r="CI306" s="194"/>
      <c r="CJ306" s="194"/>
      <c r="CK306" s="194"/>
      <c r="CL306" s="196"/>
      <c r="CM306" s="196"/>
      <c r="CN306" s="194"/>
      <c r="CO306" s="197"/>
      <c r="CP306" s="196"/>
      <c r="CQ306" s="196"/>
      <c r="CR306" s="196"/>
      <c r="CS306" s="196"/>
      <c r="CT306" s="196"/>
      <c r="CU306" s="196"/>
      <c r="CV306" s="194"/>
      <c r="CW306" s="194"/>
      <c r="CX306" s="194"/>
      <c r="CY306" s="194"/>
      <c r="CZ306" s="194"/>
      <c r="DA306" s="194"/>
      <c r="DB306" s="194"/>
      <c r="DC306" s="194"/>
      <c r="DD306" s="194"/>
      <c r="DE306" s="194"/>
      <c r="DF306" s="196"/>
      <c r="DG306" s="198"/>
      <c r="DH306" s="194"/>
      <c r="DI306" s="282"/>
      <c r="DJ306" s="282"/>
      <c r="DK306" s="282"/>
      <c r="DL306" s="282"/>
    </row>
    <row r="307" spans="1:116" s="24" customFormat="1" x14ac:dyDescent="0.3">
      <c r="A307" s="172"/>
      <c r="B307" s="172"/>
      <c r="C307" s="172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4"/>
      <c r="BZ307" s="172"/>
      <c r="CA307" s="172"/>
      <c r="CD307" s="194"/>
      <c r="CE307" s="194"/>
      <c r="CF307" s="194"/>
      <c r="CG307" s="194"/>
      <c r="CH307" s="195"/>
      <c r="CI307" s="194"/>
      <c r="CJ307" s="194"/>
      <c r="CK307" s="194"/>
      <c r="CL307" s="196"/>
      <c r="CM307" s="196"/>
      <c r="CN307" s="194"/>
      <c r="CO307" s="197"/>
      <c r="CP307" s="196"/>
      <c r="CQ307" s="196"/>
      <c r="CR307" s="196"/>
      <c r="CS307" s="196"/>
      <c r="CT307" s="196"/>
      <c r="CU307" s="196"/>
      <c r="CV307" s="194"/>
      <c r="CW307" s="194"/>
      <c r="CX307" s="194"/>
      <c r="CY307" s="194"/>
      <c r="CZ307" s="194"/>
      <c r="DA307" s="194"/>
      <c r="DB307" s="194"/>
      <c r="DC307" s="194"/>
      <c r="DD307" s="194"/>
      <c r="DE307" s="194"/>
      <c r="DF307" s="196"/>
      <c r="DG307" s="198"/>
      <c r="DH307" s="194"/>
      <c r="DI307" s="282"/>
      <c r="DJ307" s="282"/>
      <c r="DK307" s="282"/>
      <c r="DL307" s="282"/>
    </row>
    <row r="308" spans="1:116" s="24" customFormat="1" x14ac:dyDescent="0.3">
      <c r="A308" s="172"/>
      <c r="B308" s="172"/>
      <c r="C308" s="172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4"/>
      <c r="BZ308" s="172"/>
      <c r="CA308" s="172"/>
      <c r="CD308" s="194"/>
      <c r="CE308" s="194"/>
      <c r="CF308" s="194"/>
      <c r="CG308" s="194"/>
      <c r="CH308" s="195"/>
      <c r="CI308" s="194"/>
      <c r="CJ308" s="194"/>
      <c r="CK308" s="194"/>
      <c r="CL308" s="196"/>
      <c r="CM308" s="196"/>
      <c r="CN308" s="194"/>
      <c r="CO308" s="197"/>
      <c r="CP308" s="196"/>
      <c r="CQ308" s="196"/>
      <c r="CR308" s="196"/>
      <c r="CS308" s="196"/>
      <c r="CT308" s="196"/>
      <c r="CU308" s="196"/>
      <c r="CV308" s="194"/>
      <c r="CW308" s="194"/>
      <c r="CX308" s="194"/>
      <c r="CY308" s="194"/>
      <c r="CZ308" s="194"/>
      <c r="DA308" s="194"/>
      <c r="DB308" s="194"/>
      <c r="DC308" s="194"/>
      <c r="DD308" s="194"/>
      <c r="DE308" s="194"/>
      <c r="DF308" s="196"/>
      <c r="DG308" s="198"/>
      <c r="DH308" s="194"/>
      <c r="DI308" s="282"/>
      <c r="DJ308" s="282"/>
      <c r="DK308" s="282"/>
      <c r="DL308" s="282"/>
    </row>
    <row r="309" spans="1:116" s="24" customFormat="1" x14ac:dyDescent="0.3">
      <c r="A309" s="172"/>
      <c r="B309" s="172"/>
      <c r="C309" s="172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4"/>
      <c r="BZ309" s="172"/>
      <c r="CA309" s="172"/>
      <c r="CD309" s="194"/>
      <c r="CE309" s="194"/>
      <c r="CF309" s="194"/>
      <c r="CG309" s="194"/>
      <c r="CH309" s="195"/>
      <c r="CI309" s="194"/>
      <c r="CJ309" s="194"/>
      <c r="CK309" s="194"/>
      <c r="CL309" s="196"/>
      <c r="CM309" s="196"/>
      <c r="CN309" s="194"/>
      <c r="CO309" s="197"/>
      <c r="CP309" s="196"/>
      <c r="CQ309" s="196"/>
      <c r="CR309" s="196"/>
      <c r="CS309" s="196"/>
      <c r="CT309" s="196"/>
      <c r="CU309" s="196"/>
      <c r="CV309" s="194"/>
      <c r="CW309" s="194"/>
      <c r="CX309" s="194"/>
      <c r="CY309" s="194"/>
      <c r="CZ309" s="194"/>
      <c r="DA309" s="194"/>
      <c r="DB309" s="194"/>
      <c r="DC309" s="194"/>
      <c r="DD309" s="194"/>
      <c r="DE309" s="194"/>
      <c r="DF309" s="196"/>
      <c r="DG309" s="198"/>
      <c r="DH309" s="194"/>
      <c r="DI309" s="282"/>
      <c r="DJ309" s="282"/>
      <c r="DK309" s="282"/>
      <c r="DL309" s="282"/>
    </row>
    <row r="310" spans="1:116" s="24" customFormat="1" x14ac:dyDescent="0.3">
      <c r="A310" s="172"/>
      <c r="B310" s="172"/>
      <c r="C310" s="172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4"/>
      <c r="BZ310" s="172"/>
      <c r="CA310" s="172"/>
      <c r="CD310" s="194"/>
      <c r="CE310" s="194"/>
      <c r="CF310" s="194"/>
      <c r="CG310" s="194"/>
      <c r="CH310" s="195"/>
      <c r="CI310" s="194"/>
      <c r="CJ310" s="194"/>
      <c r="CK310" s="194"/>
      <c r="CL310" s="196"/>
      <c r="CM310" s="196"/>
      <c r="CN310" s="194"/>
      <c r="CO310" s="197"/>
      <c r="CP310" s="196"/>
      <c r="CQ310" s="196"/>
      <c r="CR310" s="196"/>
      <c r="CS310" s="196"/>
      <c r="CT310" s="196"/>
      <c r="CU310" s="196"/>
      <c r="CV310" s="194"/>
      <c r="CW310" s="194"/>
      <c r="CX310" s="194"/>
      <c r="CY310" s="194"/>
      <c r="CZ310" s="194"/>
      <c r="DA310" s="194"/>
      <c r="DB310" s="194"/>
      <c r="DC310" s="194"/>
      <c r="DD310" s="194"/>
      <c r="DE310" s="194"/>
      <c r="DF310" s="196"/>
      <c r="DG310" s="198"/>
      <c r="DH310" s="194"/>
      <c r="DI310" s="282"/>
      <c r="DJ310" s="282"/>
      <c r="DK310" s="282"/>
      <c r="DL310" s="282"/>
    </row>
    <row r="311" spans="1:116" s="24" customFormat="1" x14ac:dyDescent="0.3">
      <c r="A311" s="172"/>
      <c r="B311" s="172"/>
      <c r="C311" s="172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4"/>
      <c r="BZ311" s="172"/>
      <c r="CA311" s="172"/>
      <c r="CD311" s="194"/>
      <c r="CE311" s="194"/>
      <c r="CF311" s="194"/>
      <c r="CG311" s="194"/>
      <c r="CH311" s="195"/>
      <c r="CI311" s="194"/>
      <c r="CJ311" s="194"/>
      <c r="CK311" s="194"/>
      <c r="CL311" s="196"/>
      <c r="CM311" s="196"/>
      <c r="CN311" s="194"/>
      <c r="CO311" s="197"/>
      <c r="CP311" s="196"/>
      <c r="CQ311" s="196"/>
      <c r="CR311" s="196"/>
      <c r="CS311" s="196"/>
      <c r="CT311" s="196"/>
      <c r="CU311" s="196"/>
      <c r="CV311" s="194"/>
      <c r="CW311" s="194"/>
      <c r="CX311" s="194"/>
      <c r="CY311" s="194"/>
      <c r="CZ311" s="194"/>
      <c r="DA311" s="194"/>
      <c r="DB311" s="194"/>
      <c r="DC311" s="194"/>
      <c r="DD311" s="194"/>
      <c r="DE311" s="194"/>
      <c r="DF311" s="196"/>
      <c r="DG311" s="198"/>
      <c r="DH311" s="194"/>
      <c r="DI311" s="282"/>
      <c r="DJ311" s="282"/>
      <c r="DK311" s="282"/>
      <c r="DL311" s="282"/>
    </row>
    <row r="312" spans="1:116" s="24" customFormat="1" x14ac:dyDescent="0.3">
      <c r="A312" s="172"/>
      <c r="B312" s="172"/>
      <c r="C312" s="172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4"/>
      <c r="BZ312" s="172"/>
      <c r="CA312" s="172"/>
      <c r="CD312" s="194"/>
      <c r="CE312" s="194"/>
      <c r="CF312" s="194"/>
      <c r="CG312" s="194"/>
      <c r="CH312" s="195"/>
      <c r="CI312" s="194"/>
      <c r="CJ312" s="194"/>
      <c r="CK312" s="194"/>
      <c r="CL312" s="196"/>
      <c r="CM312" s="196"/>
      <c r="CN312" s="194"/>
      <c r="CO312" s="197"/>
      <c r="CP312" s="196"/>
      <c r="CQ312" s="196"/>
      <c r="CR312" s="196"/>
      <c r="CS312" s="196"/>
      <c r="CT312" s="196"/>
      <c r="CU312" s="196"/>
      <c r="CV312" s="194"/>
      <c r="CW312" s="194"/>
      <c r="CX312" s="194"/>
      <c r="CY312" s="194"/>
      <c r="CZ312" s="194"/>
      <c r="DA312" s="194"/>
      <c r="DB312" s="194"/>
      <c r="DC312" s="194"/>
      <c r="DD312" s="194"/>
      <c r="DE312" s="194"/>
      <c r="DF312" s="196"/>
      <c r="DG312" s="198"/>
      <c r="DH312" s="194"/>
      <c r="DI312" s="282"/>
      <c r="DJ312" s="282"/>
      <c r="DK312" s="282"/>
      <c r="DL312" s="282"/>
    </row>
    <row r="313" spans="1:116" s="24" customFormat="1" x14ac:dyDescent="0.3">
      <c r="A313" s="172"/>
      <c r="B313" s="172"/>
      <c r="C313" s="172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4"/>
      <c r="BZ313" s="172"/>
      <c r="CA313" s="172"/>
      <c r="CD313" s="194"/>
      <c r="CE313" s="194"/>
      <c r="CF313" s="194"/>
      <c r="CG313" s="194"/>
      <c r="CH313" s="195"/>
      <c r="CI313" s="194"/>
      <c r="CJ313" s="194"/>
      <c r="CK313" s="194"/>
      <c r="CL313" s="196"/>
      <c r="CM313" s="196"/>
      <c r="CN313" s="194"/>
      <c r="CO313" s="197"/>
      <c r="CP313" s="196"/>
      <c r="CQ313" s="196"/>
      <c r="CR313" s="196"/>
      <c r="CS313" s="196"/>
      <c r="CT313" s="196"/>
      <c r="CU313" s="196"/>
      <c r="CV313" s="194"/>
      <c r="CW313" s="194"/>
      <c r="CX313" s="194"/>
      <c r="CY313" s="194"/>
      <c r="CZ313" s="194"/>
      <c r="DA313" s="194"/>
      <c r="DB313" s="194"/>
      <c r="DC313" s="194"/>
      <c r="DD313" s="194"/>
      <c r="DE313" s="194"/>
      <c r="DF313" s="196"/>
      <c r="DG313" s="198"/>
      <c r="DH313" s="194"/>
      <c r="DI313" s="282"/>
      <c r="DJ313" s="282"/>
      <c r="DK313" s="282"/>
      <c r="DL313" s="282"/>
    </row>
    <row r="314" spans="1:116" s="24" customFormat="1" x14ac:dyDescent="0.3">
      <c r="A314" s="172"/>
      <c r="B314" s="172"/>
      <c r="C314" s="172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4"/>
      <c r="BZ314" s="172"/>
      <c r="CA314" s="172"/>
      <c r="CD314" s="194"/>
      <c r="CE314" s="194"/>
      <c r="CF314" s="194"/>
      <c r="CG314" s="194"/>
      <c r="CH314" s="195"/>
      <c r="CI314" s="194"/>
      <c r="CJ314" s="194"/>
      <c r="CK314" s="194"/>
      <c r="CL314" s="196"/>
      <c r="CM314" s="196"/>
      <c r="CN314" s="194"/>
      <c r="CO314" s="197"/>
      <c r="CP314" s="196"/>
      <c r="CQ314" s="196"/>
      <c r="CR314" s="196"/>
      <c r="CS314" s="196"/>
      <c r="CT314" s="196"/>
      <c r="CU314" s="196"/>
      <c r="CV314" s="194"/>
      <c r="CW314" s="194"/>
      <c r="CX314" s="194"/>
      <c r="CY314" s="194"/>
      <c r="CZ314" s="194"/>
      <c r="DA314" s="194"/>
      <c r="DB314" s="194"/>
      <c r="DC314" s="194"/>
      <c r="DD314" s="194"/>
      <c r="DE314" s="194"/>
      <c r="DF314" s="196"/>
      <c r="DG314" s="198"/>
      <c r="DH314" s="194"/>
      <c r="DI314" s="282"/>
      <c r="DJ314" s="282"/>
      <c r="DK314" s="282"/>
      <c r="DL314" s="282"/>
    </row>
    <row r="315" spans="1:116" s="24" customFormat="1" x14ac:dyDescent="0.3">
      <c r="A315" s="172"/>
      <c r="B315" s="172"/>
      <c r="C315" s="172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  <c r="BT315" s="172"/>
      <c r="BU315" s="172"/>
      <c r="BV315" s="172"/>
      <c r="BW315" s="172"/>
      <c r="BX315" s="172"/>
      <c r="BY315" s="174"/>
      <c r="BZ315" s="172"/>
      <c r="CA315" s="172"/>
      <c r="CD315" s="194"/>
      <c r="CE315" s="194"/>
      <c r="CF315" s="194"/>
      <c r="CG315" s="194"/>
      <c r="CH315" s="195"/>
      <c r="CI315" s="194"/>
      <c r="CJ315" s="194"/>
      <c r="CK315" s="194"/>
      <c r="CL315" s="196"/>
      <c r="CM315" s="196"/>
      <c r="CN315" s="194"/>
      <c r="CO315" s="197"/>
      <c r="CP315" s="196"/>
      <c r="CQ315" s="196"/>
      <c r="CR315" s="196"/>
      <c r="CS315" s="196"/>
      <c r="CT315" s="196"/>
      <c r="CU315" s="196"/>
      <c r="CV315" s="194"/>
      <c r="CW315" s="194"/>
      <c r="CX315" s="194"/>
      <c r="CY315" s="194"/>
      <c r="CZ315" s="194"/>
      <c r="DA315" s="194"/>
      <c r="DB315" s="194"/>
      <c r="DC315" s="194"/>
      <c r="DD315" s="194"/>
      <c r="DE315" s="194"/>
      <c r="DF315" s="196"/>
      <c r="DG315" s="198"/>
      <c r="DH315" s="194"/>
      <c r="DI315" s="282"/>
      <c r="DJ315" s="282"/>
      <c r="DK315" s="282"/>
      <c r="DL315" s="282"/>
    </row>
    <row r="316" spans="1:116" s="24" customFormat="1" x14ac:dyDescent="0.3">
      <c r="A316" s="172"/>
      <c r="B316" s="172"/>
      <c r="C316" s="172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  <c r="BT316" s="172"/>
      <c r="BU316" s="172"/>
      <c r="BV316" s="172"/>
      <c r="BW316" s="172"/>
      <c r="BX316" s="172"/>
      <c r="BY316" s="174"/>
      <c r="BZ316" s="172"/>
      <c r="CA316" s="172"/>
      <c r="CD316" s="194"/>
      <c r="CE316" s="194"/>
      <c r="CF316" s="194"/>
      <c r="CG316" s="194"/>
      <c r="CH316" s="195"/>
      <c r="CI316" s="194"/>
      <c r="CJ316" s="194"/>
      <c r="CK316" s="194"/>
      <c r="CL316" s="196"/>
      <c r="CM316" s="196"/>
      <c r="CN316" s="194"/>
      <c r="CO316" s="197"/>
      <c r="CP316" s="196"/>
      <c r="CQ316" s="196"/>
      <c r="CR316" s="196"/>
      <c r="CS316" s="196"/>
      <c r="CT316" s="196"/>
      <c r="CU316" s="196"/>
      <c r="CV316" s="194"/>
      <c r="CW316" s="194"/>
      <c r="CX316" s="194"/>
      <c r="CY316" s="194"/>
      <c r="CZ316" s="194"/>
      <c r="DA316" s="194"/>
      <c r="DB316" s="194"/>
      <c r="DC316" s="194"/>
      <c r="DD316" s="194"/>
      <c r="DE316" s="194"/>
      <c r="DF316" s="196"/>
      <c r="DG316" s="198"/>
      <c r="DH316" s="194"/>
      <c r="DI316" s="282"/>
      <c r="DJ316" s="282"/>
      <c r="DK316" s="282"/>
      <c r="DL316" s="282"/>
    </row>
    <row r="317" spans="1:116" s="24" customFormat="1" x14ac:dyDescent="0.3">
      <c r="A317" s="172"/>
      <c r="B317" s="172"/>
      <c r="C317" s="172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  <c r="BT317" s="172"/>
      <c r="BU317" s="172"/>
      <c r="BV317" s="172"/>
      <c r="BW317" s="172"/>
      <c r="BX317" s="172"/>
      <c r="BY317" s="174"/>
      <c r="BZ317" s="172"/>
      <c r="CA317" s="172"/>
      <c r="CD317" s="194"/>
      <c r="CE317" s="194"/>
      <c r="CF317" s="194"/>
      <c r="CG317" s="194"/>
      <c r="CH317" s="195"/>
      <c r="CI317" s="194"/>
      <c r="CJ317" s="194"/>
      <c r="CK317" s="194"/>
      <c r="CL317" s="196"/>
      <c r="CM317" s="196"/>
      <c r="CN317" s="194"/>
      <c r="CO317" s="197"/>
      <c r="CP317" s="196"/>
      <c r="CQ317" s="196"/>
      <c r="CR317" s="196"/>
      <c r="CS317" s="196"/>
      <c r="CT317" s="196"/>
      <c r="CU317" s="196"/>
      <c r="CV317" s="194"/>
      <c r="CW317" s="194"/>
      <c r="CX317" s="194"/>
      <c r="CY317" s="194"/>
      <c r="CZ317" s="194"/>
      <c r="DA317" s="194"/>
      <c r="DB317" s="194"/>
      <c r="DC317" s="194"/>
      <c r="DD317" s="194"/>
      <c r="DE317" s="194"/>
      <c r="DF317" s="196"/>
      <c r="DG317" s="198"/>
      <c r="DH317" s="194"/>
      <c r="DI317" s="282"/>
      <c r="DJ317" s="282"/>
      <c r="DK317" s="282"/>
      <c r="DL317" s="282"/>
    </row>
    <row r="318" spans="1:116" s="24" customFormat="1" x14ac:dyDescent="0.3">
      <c r="A318" s="172"/>
      <c r="B318" s="172"/>
      <c r="C318" s="172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  <c r="BT318" s="172"/>
      <c r="BU318" s="172"/>
      <c r="BV318" s="172"/>
      <c r="BW318" s="172"/>
      <c r="BX318" s="172"/>
      <c r="BY318" s="174"/>
      <c r="BZ318" s="172"/>
      <c r="CA318" s="172"/>
      <c r="CD318" s="194"/>
      <c r="CE318" s="194"/>
      <c r="CF318" s="194"/>
      <c r="CG318" s="194"/>
      <c r="CH318" s="195"/>
      <c r="CI318" s="194"/>
      <c r="CJ318" s="194"/>
      <c r="CK318" s="194"/>
      <c r="CL318" s="196"/>
      <c r="CM318" s="196"/>
      <c r="CN318" s="194"/>
      <c r="CO318" s="197"/>
      <c r="CP318" s="196"/>
      <c r="CQ318" s="196"/>
      <c r="CR318" s="196"/>
      <c r="CS318" s="196"/>
      <c r="CT318" s="196"/>
      <c r="CU318" s="196"/>
      <c r="CV318" s="194"/>
      <c r="CW318" s="194"/>
      <c r="CX318" s="194"/>
      <c r="CY318" s="194"/>
      <c r="CZ318" s="194"/>
      <c r="DA318" s="194"/>
      <c r="DB318" s="194"/>
      <c r="DC318" s="194"/>
      <c r="DD318" s="194"/>
      <c r="DE318" s="194"/>
      <c r="DF318" s="196"/>
      <c r="DG318" s="198"/>
      <c r="DH318" s="194"/>
      <c r="DI318" s="282"/>
      <c r="DJ318" s="282"/>
      <c r="DK318" s="282"/>
      <c r="DL318" s="282"/>
    </row>
    <row r="319" spans="1:116" s="24" customFormat="1" x14ac:dyDescent="0.3">
      <c r="A319" s="172"/>
      <c r="B319" s="172"/>
      <c r="C319" s="172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  <c r="BT319" s="172"/>
      <c r="BU319" s="172"/>
      <c r="BV319" s="172"/>
      <c r="BW319" s="172"/>
      <c r="BX319" s="172"/>
      <c r="BY319" s="174"/>
      <c r="BZ319" s="172"/>
      <c r="CA319" s="172"/>
      <c r="CD319" s="194"/>
      <c r="CE319" s="194"/>
      <c r="CF319" s="194"/>
      <c r="CG319" s="194"/>
      <c r="CH319" s="195"/>
      <c r="CI319" s="194"/>
      <c r="CJ319" s="194"/>
      <c r="CK319" s="194"/>
      <c r="CL319" s="196"/>
      <c r="CM319" s="196"/>
      <c r="CN319" s="194"/>
      <c r="CO319" s="197"/>
      <c r="CP319" s="196"/>
      <c r="CQ319" s="196"/>
      <c r="CR319" s="196"/>
      <c r="CS319" s="196"/>
      <c r="CT319" s="196"/>
      <c r="CU319" s="196"/>
      <c r="CV319" s="194"/>
      <c r="CW319" s="194"/>
      <c r="CX319" s="194"/>
      <c r="CY319" s="194"/>
      <c r="CZ319" s="194"/>
      <c r="DA319" s="194"/>
      <c r="DB319" s="194"/>
      <c r="DC319" s="194"/>
      <c r="DD319" s="194"/>
      <c r="DE319" s="194"/>
      <c r="DF319" s="196"/>
      <c r="DG319" s="198"/>
      <c r="DH319" s="194"/>
      <c r="DI319" s="282"/>
      <c r="DJ319" s="282"/>
      <c r="DK319" s="282"/>
      <c r="DL319" s="282"/>
    </row>
    <row r="320" spans="1:116" s="24" customFormat="1" x14ac:dyDescent="0.3">
      <c r="A320" s="172"/>
      <c r="B320" s="172"/>
      <c r="C320" s="172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  <c r="BT320" s="172"/>
      <c r="BU320" s="172"/>
      <c r="BV320" s="172"/>
      <c r="BW320" s="172"/>
      <c r="BX320" s="172"/>
      <c r="BY320" s="174"/>
      <c r="BZ320" s="172"/>
      <c r="CA320" s="172"/>
      <c r="CD320" s="194"/>
      <c r="CE320" s="194"/>
      <c r="CF320" s="194"/>
      <c r="CG320" s="194"/>
      <c r="CH320" s="195"/>
      <c r="CI320" s="194"/>
      <c r="CJ320" s="194"/>
      <c r="CK320" s="194"/>
      <c r="CL320" s="196"/>
      <c r="CM320" s="196"/>
      <c r="CN320" s="194"/>
      <c r="CO320" s="197"/>
      <c r="CP320" s="196"/>
      <c r="CQ320" s="196"/>
      <c r="CR320" s="196"/>
      <c r="CS320" s="196"/>
      <c r="CT320" s="196"/>
      <c r="CU320" s="196"/>
      <c r="CV320" s="194"/>
      <c r="CW320" s="194"/>
      <c r="CX320" s="194"/>
      <c r="CY320" s="194"/>
      <c r="CZ320" s="194"/>
      <c r="DA320" s="194"/>
      <c r="DB320" s="194"/>
      <c r="DC320" s="194"/>
      <c r="DD320" s="194"/>
      <c r="DE320" s="194"/>
      <c r="DF320" s="196"/>
      <c r="DG320" s="198"/>
      <c r="DH320" s="194"/>
      <c r="DI320" s="282"/>
      <c r="DJ320" s="282"/>
      <c r="DK320" s="282"/>
      <c r="DL320" s="282"/>
    </row>
    <row r="321" spans="1:116" s="24" customFormat="1" x14ac:dyDescent="0.3">
      <c r="A321" s="172"/>
      <c r="B321" s="172"/>
      <c r="C321" s="172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  <c r="BT321" s="172"/>
      <c r="BU321" s="172"/>
      <c r="BV321" s="172"/>
      <c r="BW321" s="172"/>
      <c r="BX321" s="172"/>
      <c r="BY321" s="174"/>
      <c r="BZ321" s="172"/>
      <c r="CA321" s="172"/>
      <c r="CD321" s="194"/>
      <c r="CE321" s="194"/>
      <c r="CF321" s="194"/>
      <c r="CG321" s="194"/>
      <c r="CH321" s="195"/>
      <c r="CI321" s="194"/>
      <c r="CJ321" s="194"/>
      <c r="CK321" s="194"/>
      <c r="CL321" s="196"/>
      <c r="CM321" s="196"/>
      <c r="CN321" s="194"/>
      <c r="CO321" s="197"/>
      <c r="CP321" s="196"/>
      <c r="CQ321" s="196"/>
      <c r="CR321" s="196"/>
      <c r="CS321" s="196"/>
      <c r="CT321" s="196"/>
      <c r="CU321" s="196"/>
      <c r="CV321" s="194"/>
      <c r="CW321" s="194"/>
      <c r="CX321" s="194"/>
      <c r="CY321" s="194"/>
      <c r="CZ321" s="194"/>
      <c r="DA321" s="194"/>
      <c r="DB321" s="194"/>
      <c r="DC321" s="194"/>
      <c r="DD321" s="194"/>
      <c r="DE321" s="194"/>
      <c r="DF321" s="196"/>
      <c r="DG321" s="198"/>
      <c r="DH321" s="194"/>
      <c r="DI321" s="282"/>
      <c r="DJ321" s="282"/>
      <c r="DK321" s="282"/>
      <c r="DL321" s="282"/>
    </row>
    <row r="322" spans="1:116" s="24" customFormat="1" x14ac:dyDescent="0.3">
      <c r="A322" s="172"/>
      <c r="B322" s="172"/>
      <c r="C322" s="172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  <c r="BT322" s="172"/>
      <c r="BU322" s="172"/>
      <c r="BV322" s="172"/>
      <c r="BW322" s="172"/>
      <c r="BX322" s="172"/>
      <c r="BY322" s="174"/>
      <c r="BZ322" s="172"/>
      <c r="CA322" s="172"/>
      <c r="CD322" s="194"/>
      <c r="CE322" s="194"/>
      <c r="CF322" s="194"/>
      <c r="CG322" s="194"/>
      <c r="CH322" s="195"/>
      <c r="CI322" s="194"/>
      <c r="CJ322" s="194"/>
      <c r="CK322" s="194"/>
      <c r="CL322" s="196"/>
      <c r="CM322" s="196"/>
      <c r="CN322" s="194"/>
      <c r="CO322" s="197"/>
      <c r="CP322" s="196"/>
      <c r="CQ322" s="196"/>
      <c r="CR322" s="196"/>
      <c r="CS322" s="196"/>
      <c r="CT322" s="196"/>
      <c r="CU322" s="196"/>
      <c r="CV322" s="194"/>
      <c r="CW322" s="194"/>
      <c r="CX322" s="194"/>
      <c r="CY322" s="194"/>
      <c r="CZ322" s="194"/>
      <c r="DA322" s="194"/>
      <c r="DB322" s="194"/>
      <c r="DC322" s="194"/>
      <c r="DD322" s="194"/>
      <c r="DE322" s="194"/>
      <c r="DF322" s="196"/>
      <c r="DG322" s="198"/>
      <c r="DH322" s="194"/>
      <c r="DI322" s="282"/>
      <c r="DJ322" s="282"/>
      <c r="DK322" s="282"/>
      <c r="DL322" s="282"/>
    </row>
    <row r="323" spans="1:116" s="24" customFormat="1" x14ac:dyDescent="0.3">
      <c r="A323" s="172"/>
      <c r="B323" s="172"/>
      <c r="C323" s="172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2"/>
      <c r="BV323" s="172"/>
      <c r="BW323" s="172"/>
      <c r="BX323" s="172"/>
      <c r="BY323" s="174"/>
      <c r="BZ323" s="172"/>
      <c r="CA323" s="172"/>
      <c r="CD323" s="194"/>
      <c r="CE323" s="194"/>
      <c r="CF323" s="194"/>
      <c r="CG323" s="194"/>
      <c r="CH323" s="195"/>
      <c r="CI323" s="194"/>
      <c r="CJ323" s="194"/>
      <c r="CK323" s="194"/>
      <c r="CL323" s="196"/>
      <c r="CM323" s="196"/>
      <c r="CN323" s="194"/>
      <c r="CO323" s="197"/>
      <c r="CP323" s="196"/>
      <c r="CQ323" s="196"/>
      <c r="CR323" s="196"/>
      <c r="CS323" s="196"/>
      <c r="CT323" s="196"/>
      <c r="CU323" s="196"/>
      <c r="CV323" s="194"/>
      <c r="CW323" s="194"/>
      <c r="CX323" s="194"/>
      <c r="CY323" s="194"/>
      <c r="CZ323" s="194"/>
      <c r="DA323" s="194"/>
      <c r="DB323" s="194"/>
      <c r="DC323" s="194"/>
      <c r="DD323" s="194"/>
      <c r="DE323" s="194"/>
      <c r="DF323" s="196"/>
      <c r="DG323" s="198"/>
      <c r="DH323" s="194"/>
      <c r="DI323" s="282"/>
      <c r="DJ323" s="282"/>
      <c r="DK323" s="282"/>
      <c r="DL323" s="282"/>
    </row>
    <row r="324" spans="1:116" s="24" customFormat="1" x14ac:dyDescent="0.3">
      <c r="A324" s="172"/>
      <c r="B324" s="172"/>
      <c r="C324" s="172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  <c r="BT324" s="172"/>
      <c r="BU324" s="172"/>
      <c r="BV324" s="172"/>
      <c r="BW324" s="172"/>
      <c r="BX324" s="172"/>
      <c r="BY324" s="174"/>
      <c r="BZ324" s="172"/>
      <c r="CA324" s="172"/>
      <c r="CD324" s="194"/>
      <c r="CE324" s="194"/>
      <c r="CF324" s="194"/>
      <c r="CG324" s="194"/>
      <c r="CH324" s="195"/>
      <c r="CI324" s="194"/>
      <c r="CJ324" s="194"/>
      <c r="CK324" s="194"/>
      <c r="CL324" s="196"/>
      <c r="CM324" s="196"/>
      <c r="CN324" s="194"/>
      <c r="CO324" s="197"/>
      <c r="CP324" s="196"/>
      <c r="CQ324" s="196"/>
      <c r="CR324" s="196"/>
      <c r="CS324" s="196"/>
      <c r="CT324" s="196"/>
      <c r="CU324" s="196"/>
      <c r="CV324" s="194"/>
      <c r="CW324" s="194"/>
      <c r="CX324" s="194"/>
      <c r="CY324" s="194"/>
      <c r="CZ324" s="194"/>
      <c r="DA324" s="194"/>
      <c r="DB324" s="194"/>
      <c r="DC324" s="194"/>
      <c r="DD324" s="194"/>
      <c r="DE324" s="194"/>
      <c r="DF324" s="196"/>
      <c r="DG324" s="198"/>
      <c r="DH324" s="194"/>
      <c r="DI324" s="282"/>
      <c r="DJ324" s="282"/>
      <c r="DK324" s="282"/>
      <c r="DL324" s="282"/>
    </row>
    <row r="325" spans="1:116" s="24" customFormat="1" x14ac:dyDescent="0.3">
      <c r="A325" s="172"/>
      <c r="B325" s="172"/>
      <c r="C325" s="172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2"/>
      <c r="BV325" s="172"/>
      <c r="BW325" s="172"/>
      <c r="BX325" s="172"/>
      <c r="BY325" s="174"/>
      <c r="BZ325" s="172"/>
      <c r="CA325" s="172"/>
      <c r="CD325" s="194"/>
      <c r="CE325" s="194"/>
      <c r="CF325" s="194"/>
      <c r="CG325" s="194"/>
      <c r="CH325" s="195"/>
      <c r="CI325" s="194"/>
      <c r="CJ325" s="194"/>
      <c r="CK325" s="194"/>
      <c r="CL325" s="196"/>
      <c r="CM325" s="196"/>
      <c r="CN325" s="194"/>
      <c r="CO325" s="197"/>
      <c r="CP325" s="196"/>
      <c r="CQ325" s="196"/>
      <c r="CR325" s="196"/>
      <c r="CS325" s="196"/>
      <c r="CT325" s="196"/>
      <c r="CU325" s="196"/>
      <c r="CV325" s="194"/>
      <c r="CW325" s="194"/>
      <c r="CX325" s="194"/>
      <c r="CY325" s="194"/>
      <c r="CZ325" s="194"/>
      <c r="DA325" s="194"/>
      <c r="DB325" s="194"/>
      <c r="DC325" s="194"/>
      <c r="DD325" s="194"/>
      <c r="DE325" s="194"/>
      <c r="DF325" s="196"/>
      <c r="DG325" s="198"/>
      <c r="DH325" s="194"/>
      <c r="DI325" s="282"/>
      <c r="DJ325" s="282"/>
      <c r="DK325" s="282"/>
      <c r="DL325" s="282"/>
    </row>
    <row r="326" spans="1:116" s="24" customFormat="1" x14ac:dyDescent="0.3">
      <c r="A326" s="172"/>
      <c r="B326" s="172"/>
      <c r="C326" s="172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2"/>
      <c r="BV326" s="172"/>
      <c r="BW326" s="172"/>
      <c r="BX326" s="172"/>
      <c r="BY326" s="174"/>
      <c r="BZ326" s="172"/>
      <c r="CA326" s="172"/>
      <c r="CD326" s="194"/>
      <c r="CE326" s="194"/>
      <c r="CF326" s="194"/>
      <c r="CG326" s="194"/>
      <c r="CH326" s="195"/>
      <c r="CI326" s="194"/>
      <c r="CJ326" s="194"/>
      <c r="CK326" s="194"/>
      <c r="CL326" s="196"/>
      <c r="CM326" s="196"/>
      <c r="CN326" s="194"/>
      <c r="CO326" s="197"/>
      <c r="CP326" s="196"/>
      <c r="CQ326" s="196"/>
      <c r="CR326" s="196"/>
      <c r="CS326" s="196"/>
      <c r="CT326" s="196"/>
      <c r="CU326" s="196"/>
      <c r="CV326" s="194"/>
      <c r="CW326" s="194"/>
      <c r="CX326" s="194"/>
      <c r="CY326" s="194"/>
      <c r="CZ326" s="194"/>
      <c r="DA326" s="194"/>
      <c r="DB326" s="194"/>
      <c r="DC326" s="194"/>
      <c r="DD326" s="194"/>
      <c r="DE326" s="194"/>
      <c r="DF326" s="196"/>
      <c r="DG326" s="198"/>
      <c r="DH326" s="194"/>
      <c r="DI326" s="282"/>
      <c r="DJ326" s="282"/>
      <c r="DK326" s="282"/>
      <c r="DL326" s="282"/>
    </row>
    <row r="327" spans="1:116" s="24" customFormat="1" x14ac:dyDescent="0.3">
      <c r="A327" s="172"/>
      <c r="B327" s="172"/>
      <c r="C327" s="172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  <c r="BT327" s="172"/>
      <c r="BU327" s="172"/>
      <c r="BV327" s="172"/>
      <c r="BW327" s="172"/>
      <c r="BX327" s="172"/>
      <c r="BY327" s="174"/>
      <c r="BZ327" s="172"/>
      <c r="CA327" s="172"/>
      <c r="CD327" s="194"/>
      <c r="CE327" s="194"/>
      <c r="CF327" s="194"/>
      <c r="CG327" s="194"/>
      <c r="CH327" s="195"/>
      <c r="CI327" s="194"/>
      <c r="CJ327" s="194"/>
      <c r="CK327" s="194"/>
      <c r="CL327" s="196"/>
      <c r="CM327" s="196"/>
      <c r="CN327" s="194"/>
      <c r="CO327" s="197"/>
      <c r="CP327" s="196"/>
      <c r="CQ327" s="196"/>
      <c r="CR327" s="196"/>
      <c r="CS327" s="196"/>
      <c r="CT327" s="196"/>
      <c r="CU327" s="196"/>
      <c r="CV327" s="194"/>
      <c r="CW327" s="194"/>
      <c r="CX327" s="194"/>
      <c r="CY327" s="194"/>
      <c r="CZ327" s="194"/>
      <c r="DA327" s="194"/>
      <c r="DB327" s="194"/>
      <c r="DC327" s="194"/>
      <c r="DD327" s="194"/>
      <c r="DE327" s="194"/>
      <c r="DF327" s="196"/>
      <c r="DG327" s="198"/>
      <c r="DH327" s="194"/>
      <c r="DI327" s="282"/>
      <c r="DJ327" s="282"/>
      <c r="DK327" s="282"/>
      <c r="DL327" s="282"/>
    </row>
    <row r="328" spans="1:116" s="24" customFormat="1" x14ac:dyDescent="0.3">
      <c r="A328" s="172"/>
      <c r="B328" s="172"/>
      <c r="C328" s="172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  <c r="BT328" s="172"/>
      <c r="BU328" s="172"/>
      <c r="BV328" s="172"/>
      <c r="BW328" s="172"/>
      <c r="BX328" s="172"/>
      <c r="BY328" s="174"/>
      <c r="BZ328" s="172"/>
      <c r="CA328" s="172"/>
      <c r="CD328" s="194"/>
      <c r="CE328" s="194"/>
      <c r="CF328" s="194"/>
      <c r="CG328" s="194"/>
      <c r="CH328" s="195"/>
      <c r="CI328" s="194"/>
      <c r="CJ328" s="194"/>
      <c r="CK328" s="194"/>
      <c r="CL328" s="196"/>
      <c r="CM328" s="196"/>
      <c r="CN328" s="194"/>
      <c r="CO328" s="197"/>
      <c r="CP328" s="196"/>
      <c r="CQ328" s="196"/>
      <c r="CR328" s="196"/>
      <c r="CS328" s="196"/>
      <c r="CT328" s="196"/>
      <c r="CU328" s="196"/>
      <c r="CV328" s="194"/>
      <c r="CW328" s="194"/>
      <c r="CX328" s="194"/>
      <c r="CY328" s="194"/>
      <c r="CZ328" s="194"/>
      <c r="DA328" s="194"/>
      <c r="DB328" s="194"/>
      <c r="DC328" s="194"/>
      <c r="DD328" s="194"/>
      <c r="DE328" s="194"/>
      <c r="DF328" s="196"/>
      <c r="DG328" s="198"/>
      <c r="DH328" s="194"/>
      <c r="DI328" s="282"/>
      <c r="DJ328" s="282"/>
      <c r="DK328" s="282"/>
      <c r="DL328" s="282"/>
    </row>
    <row r="329" spans="1:116" s="24" customFormat="1" x14ac:dyDescent="0.3">
      <c r="A329" s="172"/>
      <c r="B329" s="172"/>
      <c r="C329" s="172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  <c r="BT329" s="172"/>
      <c r="BU329" s="172"/>
      <c r="BV329" s="172"/>
      <c r="BW329" s="172"/>
      <c r="BX329" s="172"/>
      <c r="BY329" s="174"/>
      <c r="BZ329" s="172"/>
      <c r="CA329" s="172"/>
      <c r="CD329" s="194"/>
      <c r="CE329" s="194"/>
      <c r="CF329" s="194"/>
      <c r="CG329" s="194"/>
      <c r="CH329" s="195"/>
      <c r="CI329" s="194"/>
      <c r="CJ329" s="194"/>
      <c r="CK329" s="194"/>
      <c r="CL329" s="196"/>
      <c r="CM329" s="196"/>
      <c r="CN329" s="194"/>
      <c r="CO329" s="197"/>
      <c r="CP329" s="196"/>
      <c r="CQ329" s="196"/>
      <c r="CR329" s="196"/>
      <c r="CS329" s="196"/>
      <c r="CT329" s="196"/>
      <c r="CU329" s="196"/>
      <c r="CV329" s="194"/>
      <c r="CW329" s="194"/>
      <c r="CX329" s="194"/>
      <c r="CY329" s="194"/>
      <c r="CZ329" s="194"/>
      <c r="DA329" s="194"/>
      <c r="DB329" s="194"/>
      <c r="DC329" s="194"/>
      <c r="DD329" s="194"/>
      <c r="DE329" s="194"/>
      <c r="DF329" s="196"/>
      <c r="DG329" s="198"/>
      <c r="DH329" s="194"/>
      <c r="DI329" s="282"/>
      <c r="DJ329" s="282"/>
      <c r="DK329" s="282"/>
      <c r="DL329" s="282"/>
    </row>
    <row r="330" spans="1:116" s="24" customFormat="1" x14ac:dyDescent="0.3">
      <c r="A330" s="172"/>
      <c r="B330" s="172"/>
      <c r="C330" s="172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  <c r="BT330" s="172"/>
      <c r="BU330" s="172"/>
      <c r="BV330" s="172"/>
      <c r="BW330" s="172"/>
      <c r="BX330" s="172"/>
      <c r="BY330" s="174"/>
      <c r="BZ330" s="172"/>
      <c r="CA330" s="172"/>
      <c r="CD330" s="194"/>
      <c r="CE330" s="194"/>
      <c r="CF330" s="194"/>
      <c r="CG330" s="194"/>
      <c r="CH330" s="195"/>
      <c r="CI330" s="194"/>
      <c r="CJ330" s="194"/>
      <c r="CK330" s="194"/>
      <c r="CL330" s="196"/>
      <c r="CM330" s="196"/>
      <c r="CN330" s="194"/>
      <c r="CO330" s="197"/>
      <c r="CP330" s="196"/>
      <c r="CQ330" s="196"/>
      <c r="CR330" s="196"/>
      <c r="CS330" s="196"/>
      <c r="CT330" s="196"/>
      <c r="CU330" s="196"/>
      <c r="CV330" s="194"/>
      <c r="CW330" s="194"/>
      <c r="CX330" s="194"/>
      <c r="CY330" s="194"/>
      <c r="CZ330" s="194"/>
      <c r="DA330" s="194"/>
      <c r="DB330" s="194"/>
      <c r="DC330" s="194"/>
      <c r="DD330" s="194"/>
      <c r="DE330" s="194"/>
      <c r="DF330" s="196"/>
      <c r="DG330" s="198"/>
      <c r="DH330" s="194"/>
      <c r="DI330" s="282"/>
      <c r="DJ330" s="282"/>
      <c r="DK330" s="282"/>
      <c r="DL330" s="282"/>
    </row>
    <row r="331" spans="1:116" s="24" customFormat="1" x14ac:dyDescent="0.3">
      <c r="A331" s="172"/>
      <c r="B331" s="172"/>
      <c r="C331" s="172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  <c r="BT331" s="172"/>
      <c r="BU331" s="172"/>
      <c r="BV331" s="172"/>
      <c r="BW331" s="172"/>
      <c r="BX331" s="172"/>
      <c r="BY331" s="174"/>
      <c r="BZ331" s="172"/>
      <c r="CA331" s="172"/>
      <c r="CD331" s="194"/>
      <c r="CE331" s="194"/>
      <c r="CF331" s="194"/>
      <c r="CG331" s="194"/>
      <c r="CH331" s="195"/>
      <c r="CI331" s="194"/>
      <c r="CJ331" s="194"/>
      <c r="CK331" s="194"/>
      <c r="CL331" s="196"/>
      <c r="CM331" s="196"/>
      <c r="CN331" s="194"/>
      <c r="CO331" s="197"/>
      <c r="CP331" s="196"/>
      <c r="CQ331" s="196"/>
      <c r="CR331" s="196"/>
      <c r="CS331" s="196"/>
      <c r="CT331" s="196"/>
      <c r="CU331" s="196"/>
      <c r="CV331" s="194"/>
      <c r="CW331" s="194"/>
      <c r="CX331" s="194"/>
      <c r="CY331" s="194"/>
      <c r="CZ331" s="194"/>
      <c r="DA331" s="194"/>
      <c r="DB331" s="194"/>
      <c r="DC331" s="194"/>
      <c r="DD331" s="194"/>
      <c r="DE331" s="194"/>
      <c r="DF331" s="196"/>
      <c r="DG331" s="198"/>
      <c r="DH331" s="194"/>
      <c r="DI331" s="282"/>
      <c r="DJ331" s="282"/>
      <c r="DK331" s="282"/>
      <c r="DL331" s="282"/>
    </row>
    <row r="332" spans="1:116" s="24" customFormat="1" x14ac:dyDescent="0.3">
      <c r="A332" s="172"/>
      <c r="B332" s="172"/>
      <c r="C332" s="172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4"/>
      <c r="BZ332" s="172"/>
      <c r="CA332" s="172"/>
      <c r="CD332" s="194"/>
      <c r="CE332" s="194"/>
      <c r="CF332" s="194"/>
      <c r="CG332" s="194"/>
      <c r="CH332" s="195"/>
      <c r="CI332" s="194"/>
      <c r="CJ332" s="194"/>
      <c r="CK332" s="194"/>
      <c r="CL332" s="196"/>
      <c r="CM332" s="196"/>
      <c r="CN332" s="194"/>
      <c r="CO332" s="197"/>
      <c r="CP332" s="196"/>
      <c r="CQ332" s="196"/>
      <c r="CR332" s="196"/>
      <c r="CS332" s="196"/>
      <c r="CT332" s="196"/>
      <c r="CU332" s="196"/>
      <c r="CV332" s="194"/>
      <c r="CW332" s="194"/>
      <c r="CX332" s="194"/>
      <c r="CY332" s="194"/>
      <c r="CZ332" s="194"/>
      <c r="DA332" s="194"/>
      <c r="DB332" s="194"/>
      <c r="DC332" s="194"/>
      <c r="DD332" s="194"/>
      <c r="DE332" s="194"/>
      <c r="DF332" s="196"/>
      <c r="DG332" s="198"/>
      <c r="DH332" s="194"/>
      <c r="DI332" s="282"/>
      <c r="DJ332" s="282"/>
      <c r="DK332" s="282"/>
      <c r="DL332" s="282"/>
    </row>
    <row r="333" spans="1:116" s="24" customFormat="1" x14ac:dyDescent="0.3">
      <c r="A333" s="172"/>
      <c r="B333" s="172"/>
      <c r="C333" s="172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4"/>
      <c r="BZ333" s="172"/>
      <c r="CA333" s="172"/>
      <c r="CD333" s="194"/>
      <c r="CE333" s="194"/>
      <c r="CF333" s="194"/>
      <c r="CG333" s="194"/>
      <c r="CH333" s="195"/>
      <c r="CI333" s="194"/>
      <c r="CJ333" s="194"/>
      <c r="CK333" s="194"/>
      <c r="CL333" s="196"/>
      <c r="CM333" s="196"/>
      <c r="CN333" s="194"/>
      <c r="CO333" s="197"/>
      <c r="CP333" s="196"/>
      <c r="CQ333" s="196"/>
      <c r="CR333" s="196"/>
      <c r="CS333" s="196"/>
      <c r="CT333" s="196"/>
      <c r="CU333" s="196"/>
      <c r="CV333" s="194"/>
      <c r="CW333" s="194"/>
      <c r="CX333" s="194"/>
      <c r="CY333" s="194"/>
      <c r="CZ333" s="194"/>
      <c r="DA333" s="194"/>
      <c r="DB333" s="194"/>
      <c r="DC333" s="194"/>
      <c r="DD333" s="194"/>
      <c r="DE333" s="194"/>
      <c r="DF333" s="196"/>
      <c r="DG333" s="198"/>
      <c r="DH333" s="194"/>
      <c r="DI333" s="282"/>
      <c r="DJ333" s="282"/>
      <c r="DK333" s="282"/>
      <c r="DL333" s="282"/>
    </row>
    <row r="334" spans="1:116" s="24" customFormat="1" x14ac:dyDescent="0.3">
      <c r="A334" s="172"/>
      <c r="B334" s="172"/>
      <c r="C334" s="172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4"/>
      <c r="BZ334" s="172"/>
      <c r="CA334" s="172"/>
      <c r="CD334" s="194"/>
      <c r="CE334" s="194"/>
      <c r="CF334" s="194"/>
      <c r="CG334" s="194"/>
      <c r="CH334" s="195"/>
      <c r="CI334" s="194"/>
      <c r="CJ334" s="194"/>
      <c r="CK334" s="194"/>
      <c r="CL334" s="196"/>
      <c r="CM334" s="196"/>
      <c r="CN334" s="194"/>
      <c r="CO334" s="197"/>
      <c r="CP334" s="196"/>
      <c r="CQ334" s="196"/>
      <c r="CR334" s="196"/>
      <c r="CS334" s="196"/>
      <c r="CT334" s="196"/>
      <c r="CU334" s="196"/>
      <c r="CV334" s="194"/>
      <c r="CW334" s="194"/>
      <c r="CX334" s="194"/>
      <c r="CY334" s="194"/>
      <c r="CZ334" s="194"/>
      <c r="DA334" s="194"/>
      <c r="DB334" s="194"/>
      <c r="DC334" s="194"/>
      <c r="DD334" s="194"/>
      <c r="DE334" s="194"/>
      <c r="DF334" s="196"/>
      <c r="DG334" s="198"/>
      <c r="DH334" s="194"/>
      <c r="DI334" s="282"/>
      <c r="DJ334" s="282"/>
      <c r="DK334" s="282"/>
      <c r="DL334" s="282"/>
    </row>
    <row r="335" spans="1:116" s="24" customFormat="1" x14ac:dyDescent="0.3">
      <c r="A335" s="172"/>
      <c r="B335" s="172"/>
      <c r="C335" s="172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4"/>
      <c r="BZ335" s="172"/>
      <c r="CA335" s="172"/>
      <c r="CD335" s="194"/>
      <c r="CE335" s="194"/>
      <c r="CF335" s="194"/>
      <c r="CG335" s="194"/>
      <c r="CH335" s="195"/>
      <c r="CI335" s="194"/>
      <c r="CJ335" s="194"/>
      <c r="CK335" s="194"/>
      <c r="CL335" s="196"/>
      <c r="CM335" s="196"/>
      <c r="CN335" s="194"/>
      <c r="CO335" s="197"/>
      <c r="CP335" s="196"/>
      <c r="CQ335" s="196"/>
      <c r="CR335" s="196"/>
      <c r="CS335" s="196"/>
      <c r="CT335" s="196"/>
      <c r="CU335" s="196"/>
      <c r="CV335" s="194"/>
      <c r="CW335" s="194"/>
      <c r="CX335" s="194"/>
      <c r="CY335" s="194"/>
      <c r="CZ335" s="194"/>
      <c r="DA335" s="194"/>
      <c r="DB335" s="194"/>
      <c r="DC335" s="194"/>
      <c r="DD335" s="194"/>
      <c r="DE335" s="194"/>
      <c r="DF335" s="196"/>
      <c r="DG335" s="198"/>
      <c r="DH335" s="194"/>
      <c r="DI335" s="282"/>
      <c r="DJ335" s="282"/>
      <c r="DK335" s="282"/>
      <c r="DL335" s="282"/>
    </row>
    <row r="336" spans="1:116" s="24" customFormat="1" x14ac:dyDescent="0.3">
      <c r="A336" s="172"/>
      <c r="B336" s="172"/>
      <c r="C336" s="172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4"/>
      <c r="BZ336" s="172"/>
      <c r="CA336" s="172"/>
      <c r="CD336" s="194"/>
      <c r="CE336" s="194"/>
      <c r="CF336" s="194"/>
      <c r="CG336" s="194"/>
      <c r="CH336" s="195"/>
      <c r="CI336" s="194"/>
      <c r="CJ336" s="194"/>
      <c r="CK336" s="194"/>
      <c r="CL336" s="196"/>
      <c r="CM336" s="196"/>
      <c r="CN336" s="194"/>
      <c r="CO336" s="197"/>
      <c r="CP336" s="196"/>
      <c r="CQ336" s="196"/>
      <c r="CR336" s="196"/>
      <c r="CS336" s="196"/>
      <c r="CT336" s="196"/>
      <c r="CU336" s="196"/>
      <c r="CV336" s="194"/>
      <c r="CW336" s="194"/>
      <c r="CX336" s="194"/>
      <c r="CY336" s="194"/>
      <c r="CZ336" s="194"/>
      <c r="DA336" s="194"/>
      <c r="DB336" s="194"/>
      <c r="DC336" s="194"/>
      <c r="DD336" s="194"/>
      <c r="DE336" s="194"/>
      <c r="DF336" s="196"/>
      <c r="DG336" s="198"/>
      <c r="DH336" s="194"/>
      <c r="DI336" s="282"/>
      <c r="DJ336" s="282"/>
      <c r="DK336" s="282"/>
      <c r="DL336" s="282"/>
    </row>
    <row r="337" spans="1:116" s="24" customFormat="1" x14ac:dyDescent="0.3">
      <c r="A337" s="172"/>
      <c r="B337" s="172"/>
      <c r="C337" s="172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4"/>
      <c r="BZ337" s="172"/>
      <c r="CA337" s="172"/>
      <c r="CD337" s="194"/>
      <c r="CE337" s="194"/>
      <c r="CF337" s="194"/>
      <c r="CG337" s="194"/>
      <c r="CH337" s="195"/>
      <c r="CI337" s="194"/>
      <c r="CJ337" s="194"/>
      <c r="CK337" s="194"/>
      <c r="CL337" s="196"/>
      <c r="CM337" s="196"/>
      <c r="CN337" s="194"/>
      <c r="CO337" s="197"/>
      <c r="CP337" s="196"/>
      <c r="CQ337" s="196"/>
      <c r="CR337" s="196"/>
      <c r="CS337" s="196"/>
      <c r="CT337" s="196"/>
      <c r="CU337" s="196"/>
      <c r="CV337" s="194"/>
      <c r="CW337" s="194"/>
      <c r="CX337" s="194"/>
      <c r="CY337" s="194"/>
      <c r="CZ337" s="194"/>
      <c r="DA337" s="194"/>
      <c r="DB337" s="194"/>
      <c r="DC337" s="194"/>
      <c r="DD337" s="194"/>
      <c r="DE337" s="194"/>
      <c r="DF337" s="196"/>
      <c r="DG337" s="198"/>
      <c r="DH337" s="194"/>
      <c r="DI337" s="282"/>
      <c r="DJ337" s="282"/>
      <c r="DK337" s="282"/>
      <c r="DL337" s="282"/>
    </row>
    <row r="338" spans="1:116" s="24" customFormat="1" x14ac:dyDescent="0.3">
      <c r="A338" s="172"/>
      <c r="B338" s="172"/>
      <c r="C338" s="172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4"/>
      <c r="BZ338" s="172"/>
      <c r="CA338" s="172"/>
      <c r="CD338" s="194"/>
      <c r="CE338" s="194"/>
      <c r="CF338" s="194"/>
      <c r="CG338" s="194"/>
      <c r="CH338" s="195"/>
      <c r="CI338" s="194"/>
      <c r="CJ338" s="194"/>
      <c r="CK338" s="194"/>
      <c r="CL338" s="196"/>
      <c r="CM338" s="196"/>
      <c r="CN338" s="194"/>
      <c r="CO338" s="197"/>
      <c r="CP338" s="196"/>
      <c r="CQ338" s="196"/>
      <c r="CR338" s="196"/>
      <c r="CS338" s="196"/>
      <c r="CT338" s="196"/>
      <c r="CU338" s="196"/>
      <c r="CV338" s="194"/>
      <c r="CW338" s="194"/>
      <c r="CX338" s="194"/>
      <c r="CY338" s="194"/>
      <c r="CZ338" s="194"/>
      <c r="DA338" s="194"/>
      <c r="DB338" s="194"/>
      <c r="DC338" s="194"/>
      <c r="DD338" s="194"/>
      <c r="DE338" s="194"/>
      <c r="DF338" s="196"/>
      <c r="DG338" s="198"/>
      <c r="DH338" s="194"/>
      <c r="DI338" s="282"/>
      <c r="DJ338" s="282"/>
      <c r="DK338" s="282"/>
      <c r="DL338" s="282"/>
    </row>
    <row r="339" spans="1:116" s="24" customFormat="1" x14ac:dyDescent="0.3">
      <c r="A339" s="172"/>
      <c r="B339" s="172"/>
      <c r="C339" s="172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4"/>
      <c r="BZ339" s="172"/>
      <c r="CA339" s="172"/>
      <c r="CD339" s="194"/>
      <c r="CE339" s="194"/>
      <c r="CF339" s="194"/>
      <c r="CG339" s="194"/>
      <c r="CH339" s="195"/>
      <c r="CI339" s="194"/>
      <c r="CJ339" s="194"/>
      <c r="CK339" s="194"/>
      <c r="CL339" s="196"/>
      <c r="CM339" s="196"/>
      <c r="CN339" s="194"/>
      <c r="CO339" s="197"/>
      <c r="CP339" s="196"/>
      <c r="CQ339" s="196"/>
      <c r="CR339" s="196"/>
      <c r="CS339" s="196"/>
      <c r="CT339" s="196"/>
      <c r="CU339" s="196"/>
      <c r="CV339" s="194"/>
      <c r="CW339" s="194"/>
      <c r="CX339" s="194"/>
      <c r="CY339" s="194"/>
      <c r="CZ339" s="194"/>
      <c r="DA339" s="194"/>
      <c r="DB339" s="194"/>
      <c r="DC339" s="194"/>
      <c r="DD339" s="194"/>
      <c r="DE339" s="194"/>
      <c r="DF339" s="196"/>
      <c r="DG339" s="198"/>
      <c r="DH339" s="194"/>
      <c r="DI339" s="282"/>
      <c r="DJ339" s="282"/>
      <c r="DK339" s="282"/>
      <c r="DL339" s="282"/>
    </row>
    <row r="340" spans="1:116" s="24" customFormat="1" x14ac:dyDescent="0.3">
      <c r="A340" s="172"/>
      <c r="B340" s="172"/>
      <c r="C340" s="172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2"/>
      <c r="BW340" s="172"/>
      <c r="BX340" s="172"/>
      <c r="BY340" s="174"/>
      <c r="BZ340" s="172"/>
      <c r="CA340" s="172"/>
      <c r="CD340" s="194"/>
      <c r="CE340" s="194"/>
      <c r="CF340" s="194"/>
      <c r="CG340" s="194"/>
      <c r="CH340" s="195"/>
      <c r="CI340" s="194"/>
      <c r="CJ340" s="194"/>
      <c r="CK340" s="194"/>
      <c r="CL340" s="196"/>
      <c r="CM340" s="196"/>
      <c r="CN340" s="194"/>
      <c r="CO340" s="197"/>
      <c r="CP340" s="196"/>
      <c r="CQ340" s="196"/>
      <c r="CR340" s="196"/>
      <c r="CS340" s="196"/>
      <c r="CT340" s="196"/>
      <c r="CU340" s="196"/>
      <c r="CV340" s="194"/>
      <c r="CW340" s="194"/>
      <c r="CX340" s="194"/>
      <c r="CY340" s="194"/>
      <c r="CZ340" s="194"/>
      <c r="DA340" s="194"/>
      <c r="DB340" s="194"/>
      <c r="DC340" s="194"/>
      <c r="DD340" s="194"/>
      <c r="DE340" s="194"/>
      <c r="DF340" s="196"/>
      <c r="DG340" s="198"/>
      <c r="DH340" s="194"/>
      <c r="DI340" s="282"/>
      <c r="DJ340" s="282"/>
      <c r="DK340" s="282"/>
      <c r="DL340" s="282"/>
    </row>
    <row r="341" spans="1:116" s="24" customFormat="1" x14ac:dyDescent="0.3">
      <c r="A341" s="172"/>
      <c r="B341" s="172"/>
      <c r="C341" s="172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  <c r="BT341" s="172"/>
      <c r="BU341" s="172"/>
      <c r="BV341" s="172"/>
      <c r="BW341" s="172"/>
      <c r="BX341" s="172"/>
      <c r="BY341" s="174"/>
      <c r="BZ341" s="172"/>
      <c r="CA341" s="172"/>
      <c r="CD341" s="194"/>
      <c r="CE341" s="194"/>
      <c r="CF341" s="194"/>
      <c r="CG341" s="194"/>
      <c r="CH341" s="195"/>
      <c r="CI341" s="194"/>
      <c r="CJ341" s="194"/>
      <c r="CK341" s="194"/>
      <c r="CL341" s="196"/>
      <c r="CM341" s="196"/>
      <c r="CN341" s="194"/>
      <c r="CO341" s="197"/>
      <c r="CP341" s="196"/>
      <c r="CQ341" s="196"/>
      <c r="CR341" s="196"/>
      <c r="CS341" s="196"/>
      <c r="CT341" s="196"/>
      <c r="CU341" s="196"/>
      <c r="CV341" s="194"/>
      <c r="CW341" s="194"/>
      <c r="CX341" s="194"/>
      <c r="CY341" s="194"/>
      <c r="CZ341" s="194"/>
      <c r="DA341" s="194"/>
      <c r="DB341" s="194"/>
      <c r="DC341" s="194"/>
      <c r="DD341" s="194"/>
      <c r="DE341" s="194"/>
      <c r="DF341" s="196"/>
      <c r="DG341" s="198"/>
      <c r="DH341" s="194"/>
      <c r="DI341" s="282"/>
      <c r="DJ341" s="282"/>
      <c r="DK341" s="282"/>
      <c r="DL341" s="282"/>
    </row>
    <row r="342" spans="1:116" s="24" customFormat="1" x14ac:dyDescent="0.3">
      <c r="A342" s="172"/>
      <c r="B342" s="172"/>
      <c r="C342" s="172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  <c r="BT342" s="172"/>
      <c r="BU342" s="172"/>
      <c r="BV342" s="172"/>
      <c r="BW342" s="172"/>
      <c r="BX342" s="172"/>
      <c r="BY342" s="174"/>
      <c r="BZ342" s="172"/>
      <c r="CA342" s="172"/>
      <c r="CD342" s="194"/>
      <c r="CE342" s="194"/>
      <c r="CF342" s="194"/>
      <c r="CG342" s="194"/>
      <c r="CH342" s="195"/>
      <c r="CI342" s="194"/>
      <c r="CJ342" s="194"/>
      <c r="CK342" s="194"/>
      <c r="CL342" s="196"/>
      <c r="CM342" s="196"/>
      <c r="CN342" s="194"/>
      <c r="CO342" s="197"/>
      <c r="CP342" s="196"/>
      <c r="CQ342" s="196"/>
      <c r="CR342" s="196"/>
      <c r="CS342" s="196"/>
      <c r="CT342" s="196"/>
      <c r="CU342" s="196"/>
      <c r="CV342" s="194"/>
      <c r="CW342" s="194"/>
      <c r="CX342" s="194"/>
      <c r="CY342" s="194"/>
      <c r="CZ342" s="194"/>
      <c r="DA342" s="194"/>
      <c r="DB342" s="194"/>
      <c r="DC342" s="194"/>
      <c r="DD342" s="194"/>
      <c r="DE342" s="194"/>
      <c r="DF342" s="196"/>
      <c r="DG342" s="198"/>
      <c r="DH342" s="194"/>
      <c r="DI342" s="282"/>
      <c r="DJ342" s="282"/>
      <c r="DK342" s="282"/>
      <c r="DL342" s="282"/>
    </row>
    <row r="343" spans="1:116" s="24" customFormat="1" x14ac:dyDescent="0.3">
      <c r="A343" s="172"/>
      <c r="B343" s="172"/>
      <c r="C343" s="172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  <c r="BT343" s="172"/>
      <c r="BU343" s="172"/>
      <c r="BV343" s="172"/>
      <c r="BW343" s="172"/>
      <c r="BX343" s="172"/>
      <c r="BY343" s="174"/>
      <c r="BZ343" s="172"/>
      <c r="CA343" s="172"/>
      <c r="CD343" s="194"/>
      <c r="CE343" s="194"/>
      <c r="CF343" s="194"/>
      <c r="CG343" s="194"/>
      <c r="CH343" s="195"/>
      <c r="CI343" s="194"/>
      <c r="CJ343" s="194"/>
      <c r="CK343" s="194"/>
      <c r="CL343" s="196"/>
      <c r="CM343" s="196"/>
      <c r="CN343" s="194"/>
      <c r="CO343" s="197"/>
      <c r="CP343" s="196"/>
      <c r="CQ343" s="196"/>
      <c r="CR343" s="196"/>
      <c r="CS343" s="196"/>
      <c r="CT343" s="196"/>
      <c r="CU343" s="196"/>
      <c r="CV343" s="194"/>
      <c r="CW343" s="194"/>
      <c r="CX343" s="194"/>
      <c r="CY343" s="194"/>
      <c r="CZ343" s="194"/>
      <c r="DA343" s="194"/>
      <c r="DB343" s="194"/>
      <c r="DC343" s="194"/>
      <c r="DD343" s="194"/>
      <c r="DE343" s="194"/>
      <c r="DF343" s="196"/>
      <c r="DG343" s="198"/>
      <c r="DH343" s="194"/>
      <c r="DI343" s="282"/>
      <c r="DJ343" s="282"/>
      <c r="DK343" s="282"/>
      <c r="DL343" s="282"/>
    </row>
    <row r="344" spans="1:116" s="24" customFormat="1" x14ac:dyDescent="0.3">
      <c r="A344" s="172"/>
      <c r="B344" s="172"/>
      <c r="C344" s="172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  <c r="BT344" s="172"/>
      <c r="BU344" s="172"/>
      <c r="BV344" s="172"/>
      <c r="BW344" s="172"/>
      <c r="BX344" s="172"/>
      <c r="BY344" s="174"/>
      <c r="BZ344" s="172"/>
      <c r="CA344" s="172"/>
      <c r="CD344" s="194"/>
      <c r="CE344" s="194"/>
      <c r="CF344" s="194"/>
      <c r="CG344" s="194"/>
      <c r="CH344" s="195"/>
      <c r="CI344" s="194"/>
      <c r="CJ344" s="194"/>
      <c r="CK344" s="194"/>
      <c r="CL344" s="196"/>
      <c r="CM344" s="196"/>
      <c r="CN344" s="194"/>
      <c r="CO344" s="197"/>
      <c r="CP344" s="196"/>
      <c r="CQ344" s="196"/>
      <c r="CR344" s="196"/>
      <c r="CS344" s="196"/>
      <c r="CT344" s="196"/>
      <c r="CU344" s="196"/>
      <c r="CV344" s="194"/>
      <c r="CW344" s="194"/>
      <c r="CX344" s="194"/>
      <c r="CY344" s="194"/>
      <c r="CZ344" s="194"/>
      <c r="DA344" s="194"/>
      <c r="DB344" s="194"/>
      <c r="DC344" s="194"/>
      <c r="DD344" s="194"/>
      <c r="DE344" s="194"/>
      <c r="DF344" s="196"/>
      <c r="DG344" s="198"/>
      <c r="DH344" s="194"/>
      <c r="DI344" s="282"/>
      <c r="DJ344" s="282"/>
      <c r="DK344" s="282"/>
      <c r="DL344" s="282"/>
    </row>
    <row r="345" spans="1:116" s="24" customFormat="1" x14ac:dyDescent="0.3">
      <c r="A345" s="172"/>
      <c r="B345" s="172"/>
      <c r="C345" s="172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  <c r="BT345" s="172"/>
      <c r="BU345" s="172"/>
      <c r="BV345" s="172"/>
      <c r="BW345" s="172"/>
      <c r="BX345" s="172"/>
      <c r="BY345" s="174"/>
      <c r="BZ345" s="172"/>
      <c r="CA345" s="172"/>
      <c r="CD345" s="194"/>
      <c r="CE345" s="194"/>
      <c r="CF345" s="194"/>
      <c r="CG345" s="194"/>
      <c r="CH345" s="195"/>
      <c r="CI345" s="194"/>
      <c r="CJ345" s="194"/>
      <c r="CK345" s="194"/>
      <c r="CL345" s="196"/>
      <c r="CM345" s="196"/>
      <c r="CN345" s="194"/>
      <c r="CO345" s="197"/>
      <c r="CP345" s="196"/>
      <c r="CQ345" s="196"/>
      <c r="CR345" s="196"/>
      <c r="CS345" s="196"/>
      <c r="CT345" s="196"/>
      <c r="CU345" s="196"/>
      <c r="CV345" s="194"/>
      <c r="CW345" s="194"/>
      <c r="CX345" s="194"/>
      <c r="CY345" s="194"/>
      <c r="CZ345" s="194"/>
      <c r="DA345" s="194"/>
      <c r="DB345" s="194"/>
      <c r="DC345" s="194"/>
      <c r="DD345" s="194"/>
      <c r="DE345" s="194"/>
      <c r="DF345" s="196"/>
      <c r="DG345" s="198"/>
      <c r="DH345" s="194"/>
      <c r="DI345" s="282"/>
      <c r="DJ345" s="282"/>
      <c r="DK345" s="282"/>
      <c r="DL345" s="282"/>
    </row>
    <row r="346" spans="1:116" s="24" customFormat="1" x14ac:dyDescent="0.3">
      <c r="A346" s="172"/>
      <c r="B346" s="172"/>
      <c r="C346" s="172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  <c r="BT346" s="172"/>
      <c r="BU346" s="172"/>
      <c r="BV346" s="172"/>
      <c r="BW346" s="172"/>
      <c r="BX346" s="172"/>
      <c r="BY346" s="174"/>
      <c r="BZ346" s="172"/>
      <c r="CA346" s="172"/>
      <c r="CD346" s="194"/>
      <c r="CE346" s="194"/>
      <c r="CF346" s="194"/>
      <c r="CG346" s="194"/>
      <c r="CH346" s="195"/>
      <c r="CI346" s="194"/>
      <c r="CJ346" s="194"/>
      <c r="CK346" s="194"/>
      <c r="CL346" s="196"/>
      <c r="CM346" s="196"/>
      <c r="CN346" s="194"/>
      <c r="CO346" s="197"/>
      <c r="CP346" s="196"/>
      <c r="CQ346" s="196"/>
      <c r="CR346" s="196"/>
      <c r="CS346" s="196"/>
      <c r="CT346" s="196"/>
      <c r="CU346" s="196"/>
      <c r="CV346" s="194"/>
      <c r="CW346" s="194"/>
      <c r="CX346" s="194"/>
      <c r="CY346" s="194"/>
      <c r="CZ346" s="194"/>
      <c r="DA346" s="194"/>
      <c r="DB346" s="194"/>
      <c r="DC346" s="194"/>
      <c r="DD346" s="194"/>
      <c r="DE346" s="194"/>
      <c r="DF346" s="196"/>
      <c r="DG346" s="198"/>
      <c r="DH346" s="194"/>
      <c r="DI346" s="282"/>
      <c r="DJ346" s="282"/>
      <c r="DK346" s="282"/>
      <c r="DL346" s="282"/>
    </row>
    <row r="347" spans="1:116" s="24" customFormat="1" x14ac:dyDescent="0.3">
      <c r="A347" s="172"/>
      <c r="B347" s="172"/>
      <c r="C347" s="172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  <c r="BT347" s="172"/>
      <c r="BU347" s="172"/>
      <c r="BV347" s="172"/>
      <c r="BW347" s="172"/>
      <c r="BX347" s="172"/>
      <c r="BY347" s="174"/>
      <c r="BZ347" s="172"/>
      <c r="CA347" s="172"/>
      <c r="CD347" s="194"/>
      <c r="CE347" s="194"/>
      <c r="CF347" s="194"/>
      <c r="CG347" s="194"/>
      <c r="CH347" s="195"/>
      <c r="CI347" s="194"/>
      <c r="CJ347" s="194"/>
      <c r="CK347" s="194"/>
      <c r="CL347" s="196"/>
      <c r="CM347" s="196"/>
      <c r="CN347" s="194"/>
      <c r="CO347" s="197"/>
      <c r="CP347" s="196"/>
      <c r="CQ347" s="196"/>
      <c r="CR347" s="196"/>
      <c r="CS347" s="196"/>
      <c r="CT347" s="196"/>
      <c r="CU347" s="196"/>
      <c r="CV347" s="194"/>
      <c r="CW347" s="194"/>
      <c r="CX347" s="194"/>
      <c r="CY347" s="194"/>
      <c r="CZ347" s="194"/>
      <c r="DA347" s="194"/>
      <c r="DB347" s="194"/>
      <c r="DC347" s="194"/>
      <c r="DD347" s="194"/>
      <c r="DE347" s="194"/>
      <c r="DF347" s="196"/>
      <c r="DG347" s="198"/>
      <c r="DH347" s="194"/>
      <c r="DI347" s="282"/>
      <c r="DJ347" s="282"/>
      <c r="DK347" s="282"/>
      <c r="DL347" s="282"/>
    </row>
    <row r="348" spans="1:116" s="24" customFormat="1" x14ac:dyDescent="0.3">
      <c r="A348" s="172"/>
      <c r="B348" s="172"/>
      <c r="C348" s="172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  <c r="BT348" s="172"/>
      <c r="BU348" s="172"/>
      <c r="BV348" s="172"/>
      <c r="BW348" s="172"/>
      <c r="BX348" s="172"/>
      <c r="BY348" s="174"/>
      <c r="BZ348" s="172"/>
      <c r="CA348" s="172"/>
      <c r="CD348" s="194"/>
      <c r="CE348" s="194"/>
      <c r="CF348" s="194"/>
      <c r="CG348" s="194"/>
      <c r="CH348" s="195"/>
      <c r="CI348" s="194"/>
      <c r="CJ348" s="194"/>
      <c r="CK348" s="194"/>
      <c r="CL348" s="196"/>
      <c r="CM348" s="196"/>
      <c r="CN348" s="194"/>
      <c r="CO348" s="197"/>
      <c r="CP348" s="196"/>
      <c r="CQ348" s="196"/>
      <c r="CR348" s="196"/>
      <c r="CS348" s="196"/>
      <c r="CT348" s="196"/>
      <c r="CU348" s="196"/>
      <c r="CV348" s="194"/>
      <c r="CW348" s="194"/>
      <c r="CX348" s="194"/>
      <c r="CY348" s="194"/>
      <c r="CZ348" s="194"/>
      <c r="DA348" s="194"/>
      <c r="DB348" s="194"/>
      <c r="DC348" s="194"/>
      <c r="DD348" s="194"/>
      <c r="DE348" s="194"/>
      <c r="DF348" s="196"/>
      <c r="DG348" s="198"/>
      <c r="DH348" s="194"/>
      <c r="DI348" s="282"/>
      <c r="DJ348" s="282"/>
      <c r="DK348" s="282"/>
      <c r="DL348" s="282"/>
    </row>
    <row r="349" spans="1:116" s="24" customFormat="1" x14ac:dyDescent="0.3">
      <c r="A349" s="172"/>
      <c r="B349" s="172"/>
      <c r="C349" s="172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  <c r="BT349" s="172"/>
      <c r="BU349" s="172"/>
      <c r="BV349" s="172"/>
      <c r="BW349" s="172"/>
      <c r="BX349" s="172"/>
      <c r="BY349" s="174"/>
      <c r="BZ349" s="172"/>
      <c r="CA349" s="172"/>
      <c r="CD349" s="194"/>
      <c r="CE349" s="194"/>
      <c r="CF349" s="194"/>
      <c r="CG349" s="194"/>
      <c r="CH349" s="195"/>
      <c r="CI349" s="194"/>
      <c r="CJ349" s="194"/>
      <c r="CK349" s="194"/>
      <c r="CL349" s="196"/>
      <c r="CM349" s="196"/>
      <c r="CN349" s="194"/>
      <c r="CO349" s="197"/>
      <c r="CP349" s="196"/>
      <c r="CQ349" s="196"/>
      <c r="CR349" s="196"/>
      <c r="CS349" s="196"/>
      <c r="CT349" s="196"/>
      <c r="CU349" s="196"/>
      <c r="CV349" s="194"/>
      <c r="CW349" s="194"/>
      <c r="CX349" s="194"/>
      <c r="CY349" s="194"/>
      <c r="CZ349" s="194"/>
      <c r="DA349" s="194"/>
      <c r="DB349" s="194"/>
      <c r="DC349" s="194"/>
      <c r="DD349" s="194"/>
      <c r="DE349" s="194"/>
      <c r="DF349" s="196"/>
      <c r="DG349" s="198"/>
      <c r="DH349" s="194"/>
      <c r="DI349" s="282"/>
      <c r="DJ349" s="282"/>
      <c r="DK349" s="282"/>
      <c r="DL349" s="282"/>
    </row>
    <row r="350" spans="1:116" s="24" customFormat="1" x14ac:dyDescent="0.3">
      <c r="A350" s="172"/>
      <c r="B350" s="172"/>
      <c r="C350" s="172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  <c r="BT350" s="172"/>
      <c r="BU350" s="172"/>
      <c r="BV350" s="172"/>
      <c r="BW350" s="172"/>
      <c r="BX350" s="172"/>
      <c r="BY350" s="174"/>
      <c r="BZ350" s="172"/>
      <c r="CA350" s="172"/>
      <c r="CD350" s="194"/>
      <c r="CE350" s="194"/>
      <c r="CF350" s="194"/>
      <c r="CG350" s="194"/>
      <c r="CH350" s="195"/>
      <c r="CI350" s="194"/>
      <c r="CJ350" s="194"/>
      <c r="CK350" s="194"/>
      <c r="CL350" s="196"/>
      <c r="CM350" s="196"/>
      <c r="CN350" s="194"/>
      <c r="CO350" s="197"/>
      <c r="CP350" s="196"/>
      <c r="CQ350" s="196"/>
      <c r="CR350" s="196"/>
      <c r="CS350" s="196"/>
      <c r="CT350" s="196"/>
      <c r="CU350" s="196"/>
      <c r="CV350" s="194"/>
      <c r="CW350" s="194"/>
      <c r="CX350" s="194"/>
      <c r="CY350" s="194"/>
      <c r="CZ350" s="194"/>
      <c r="DA350" s="194"/>
      <c r="DB350" s="194"/>
      <c r="DC350" s="194"/>
      <c r="DD350" s="194"/>
      <c r="DE350" s="194"/>
      <c r="DF350" s="196"/>
      <c r="DG350" s="198"/>
      <c r="DH350" s="194"/>
      <c r="DI350" s="282"/>
      <c r="DJ350" s="282"/>
      <c r="DK350" s="282"/>
      <c r="DL350" s="282"/>
    </row>
    <row r="351" spans="1:116" s="24" customFormat="1" x14ac:dyDescent="0.3">
      <c r="A351" s="172"/>
      <c r="B351" s="172"/>
      <c r="C351" s="172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172"/>
      <c r="BV351" s="172"/>
      <c r="BW351" s="172"/>
      <c r="BX351" s="172"/>
      <c r="BY351" s="174"/>
      <c r="BZ351" s="172"/>
      <c r="CA351" s="172"/>
      <c r="CD351" s="194"/>
      <c r="CE351" s="194"/>
      <c r="CF351" s="194"/>
      <c r="CG351" s="194"/>
      <c r="CH351" s="195"/>
      <c r="CI351" s="194"/>
      <c r="CJ351" s="194"/>
      <c r="CK351" s="194"/>
      <c r="CL351" s="196"/>
      <c r="CM351" s="196"/>
      <c r="CN351" s="194"/>
      <c r="CO351" s="197"/>
      <c r="CP351" s="196"/>
      <c r="CQ351" s="196"/>
      <c r="CR351" s="196"/>
      <c r="CS351" s="196"/>
      <c r="CT351" s="196"/>
      <c r="CU351" s="196"/>
      <c r="CV351" s="194"/>
      <c r="CW351" s="194"/>
      <c r="CX351" s="194"/>
      <c r="CY351" s="194"/>
      <c r="CZ351" s="194"/>
      <c r="DA351" s="194"/>
      <c r="DB351" s="194"/>
      <c r="DC351" s="194"/>
      <c r="DD351" s="194"/>
      <c r="DE351" s="194"/>
      <c r="DF351" s="196"/>
      <c r="DG351" s="198"/>
      <c r="DH351" s="194"/>
      <c r="DI351" s="282"/>
      <c r="DJ351" s="282"/>
      <c r="DK351" s="282"/>
      <c r="DL351" s="282"/>
    </row>
    <row r="352" spans="1:116" s="24" customFormat="1" x14ac:dyDescent="0.3">
      <c r="A352" s="172"/>
      <c r="B352" s="172"/>
      <c r="C352" s="172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  <c r="BT352" s="172"/>
      <c r="BU352" s="172"/>
      <c r="BV352" s="172"/>
      <c r="BW352" s="172"/>
      <c r="BX352" s="172"/>
      <c r="BY352" s="174"/>
      <c r="BZ352" s="172"/>
      <c r="CA352" s="172"/>
      <c r="CD352" s="194"/>
      <c r="CE352" s="194"/>
      <c r="CF352" s="194"/>
      <c r="CG352" s="194"/>
      <c r="CH352" s="195"/>
      <c r="CI352" s="194"/>
      <c r="CJ352" s="194"/>
      <c r="CK352" s="194"/>
      <c r="CL352" s="196"/>
      <c r="CM352" s="196"/>
      <c r="CN352" s="194"/>
      <c r="CO352" s="197"/>
      <c r="CP352" s="196"/>
      <c r="CQ352" s="196"/>
      <c r="CR352" s="196"/>
      <c r="CS352" s="196"/>
      <c r="CT352" s="196"/>
      <c r="CU352" s="196"/>
      <c r="CV352" s="194"/>
      <c r="CW352" s="194"/>
      <c r="CX352" s="194"/>
      <c r="CY352" s="194"/>
      <c r="CZ352" s="194"/>
      <c r="DA352" s="194"/>
      <c r="DB352" s="194"/>
      <c r="DC352" s="194"/>
      <c r="DD352" s="194"/>
      <c r="DE352" s="194"/>
      <c r="DF352" s="196"/>
      <c r="DG352" s="198"/>
      <c r="DH352" s="194"/>
      <c r="DI352" s="282"/>
      <c r="DJ352" s="282"/>
      <c r="DK352" s="282"/>
      <c r="DL352" s="282"/>
    </row>
    <row r="353" spans="1:116" s="24" customFormat="1" x14ac:dyDescent="0.3">
      <c r="A353" s="172"/>
      <c r="B353" s="172"/>
      <c r="C353" s="172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4"/>
      <c r="BZ353" s="172"/>
      <c r="CA353" s="172"/>
      <c r="CD353" s="194"/>
      <c r="CE353" s="194"/>
      <c r="CF353" s="194"/>
      <c r="CG353" s="194"/>
      <c r="CH353" s="195"/>
      <c r="CI353" s="194"/>
      <c r="CJ353" s="194"/>
      <c r="CK353" s="194"/>
      <c r="CL353" s="196"/>
      <c r="CM353" s="196"/>
      <c r="CN353" s="194"/>
      <c r="CO353" s="197"/>
      <c r="CP353" s="196"/>
      <c r="CQ353" s="196"/>
      <c r="CR353" s="196"/>
      <c r="CS353" s="196"/>
      <c r="CT353" s="196"/>
      <c r="CU353" s="196"/>
      <c r="CV353" s="194"/>
      <c r="CW353" s="194"/>
      <c r="CX353" s="194"/>
      <c r="CY353" s="194"/>
      <c r="CZ353" s="194"/>
      <c r="DA353" s="194"/>
      <c r="DB353" s="194"/>
      <c r="DC353" s="194"/>
      <c r="DD353" s="194"/>
      <c r="DE353" s="194"/>
      <c r="DF353" s="196"/>
      <c r="DG353" s="198"/>
      <c r="DH353" s="194"/>
      <c r="DI353" s="282"/>
      <c r="DJ353" s="282"/>
      <c r="DK353" s="282"/>
      <c r="DL353" s="282"/>
    </row>
    <row r="354" spans="1:116" s="24" customFormat="1" x14ac:dyDescent="0.3">
      <c r="A354" s="172"/>
      <c r="B354" s="172"/>
      <c r="C354" s="172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  <c r="BT354" s="172"/>
      <c r="BU354" s="172"/>
      <c r="BV354" s="172"/>
      <c r="BW354" s="172"/>
      <c r="BX354" s="172"/>
      <c r="BY354" s="174"/>
      <c r="BZ354" s="172"/>
      <c r="CA354" s="172"/>
      <c r="CD354" s="194"/>
      <c r="CE354" s="194"/>
      <c r="CF354" s="194"/>
      <c r="CG354" s="194"/>
      <c r="CH354" s="195"/>
      <c r="CI354" s="194"/>
      <c r="CJ354" s="194"/>
      <c r="CK354" s="194"/>
      <c r="CL354" s="196"/>
      <c r="CM354" s="196"/>
      <c r="CN354" s="194"/>
      <c r="CO354" s="197"/>
      <c r="CP354" s="196"/>
      <c r="CQ354" s="196"/>
      <c r="CR354" s="196"/>
      <c r="CS354" s="196"/>
      <c r="CT354" s="196"/>
      <c r="CU354" s="196"/>
      <c r="CV354" s="194"/>
      <c r="CW354" s="194"/>
      <c r="CX354" s="194"/>
      <c r="CY354" s="194"/>
      <c r="CZ354" s="194"/>
      <c r="DA354" s="194"/>
      <c r="DB354" s="194"/>
      <c r="DC354" s="194"/>
      <c r="DD354" s="194"/>
      <c r="DE354" s="194"/>
      <c r="DF354" s="196"/>
      <c r="DG354" s="198"/>
      <c r="DH354" s="194"/>
      <c r="DI354" s="282"/>
      <c r="DJ354" s="282"/>
      <c r="DK354" s="282"/>
      <c r="DL354" s="282"/>
    </row>
    <row r="355" spans="1:116" s="24" customFormat="1" x14ac:dyDescent="0.3">
      <c r="A355" s="172"/>
      <c r="B355" s="172"/>
      <c r="C355" s="172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  <c r="BT355" s="172"/>
      <c r="BU355" s="172"/>
      <c r="BV355" s="172"/>
      <c r="BW355" s="172"/>
      <c r="BX355" s="172"/>
      <c r="BY355" s="174"/>
      <c r="BZ355" s="172"/>
      <c r="CA355" s="172"/>
      <c r="CD355" s="194"/>
      <c r="CE355" s="194"/>
      <c r="CF355" s="194"/>
      <c r="CG355" s="194"/>
      <c r="CH355" s="195"/>
      <c r="CI355" s="194"/>
      <c r="CJ355" s="194"/>
      <c r="CK355" s="194"/>
      <c r="CL355" s="196"/>
      <c r="CM355" s="196"/>
      <c r="CN355" s="194"/>
      <c r="CO355" s="197"/>
      <c r="CP355" s="196"/>
      <c r="CQ355" s="196"/>
      <c r="CR355" s="196"/>
      <c r="CS355" s="196"/>
      <c r="CT355" s="196"/>
      <c r="CU355" s="196"/>
      <c r="CV355" s="194"/>
      <c r="CW355" s="194"/>
      <c r="CX355" s="194"/>
      <c r="CY355" s="194"/>
      <c r="CZ355" s="194"/>
      <c r="DA355" s="194"/>
      <c r="DB355" s="194"/>
      <c r="DC355" s="194"/>
      <c r="DD355" s="194"/>
      <c r="DE355" s="194"/>
      <c r="DF355" s="196"/>
      <c r="DG355" s="198"/>
      <c r="DH355" s="194"/>
      <c r="DI355" s="282"/>
      <c r="DJ355" s="282"/>
      <c r="DK355" s="282"/>
      <c r="DL355" s="282"/>
    </row>
    <row r="356" spans="1:116" s="24" customFormat="1" x14ac:dyDescent="0.3">
      <c r="A356" s="172"/>
      <c r="B356" s="172"/>
      <c r="C356" s="172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  <c r="BT356" s="172"/>
      <c r="BU356" s="172"/>
      <c r="BV356" s="172"/>
      <c r="BW356" s="172"/>
      <c r="BX356" s="172"/>
      <c r="BY356" s="174"/>
      <c r="BZ356" s="172"/>
      <c r="CA356" s="172"/>
      <c r="CD356" s="194"/>
      <c r="CE356" s="194"/>
      <c r="CF356" s="194"/>
      <c r="CG356" s="194"/>
      <c r="CH356" s="195"/>
      <c r="CI356" s="194"/>
      <c r="CJ356" s="194"/>
      <c r="CK356" s="194"/>
      <c r="CL356" s="196"/>
      <c r="CM356" s="196"/>
      <c r="CN356" s="194"/>
      <c r="CO356" s="197"/>
      <c r="CP356" s="196"/>
      <c r="CQ356" s="196"/>
      <c r="CR356" s="196"/>
      <c r="CS356" s="196"/>
      <c r="CT356" s="196"/>
      <c r="CU356" s="196"/>
      <c r="CV356" s="194"/>
      <c r="CW356" s="194"/>
      <c r="CX356" s="194"/>
      <c r="CY356" s="194"/>
      <c r="CZ356" s="194"/>
      <c r="DA356" s="194"/>
      <c r="DB356" s="194"/>
      <c r="DC356" s="194"/>
      <c r="DD356" s="194"/>
      <c r="DE356" s="194"/>
      <c r="DF356" s="196"/>
      <c r="DG356" s="198"/>
      <c r="DH356" s="194"/>
      <c r="DI356" s="282"/>
      <c r="DJ356" s="282"/>
      <c r="DK356" s="282"/>
      <c r="DL356" s="282"/>
    </row>
    <row r="357" spans="1:116" s="24" customFormat="1" x14ac:dyDescent="0.3">
      <c r="A357" s="172"/>
      <c r="B357" s="172"/>
      <c r="C357" s="172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  <c r="BT357" s="172"/>
      <c r="BU357" s="172"/>
      <c r="BV357" s="172"/>
      <c r="BW357" s="172"/>
      <c r="BX357" s="172"/>
      <c r="BY357" s="174"/>
      <c r="BZ357" s="172"/>
      <c r="CA357" s="172"/>
      <c r="CD357" s="194"/>
      <c r="CE357" s="194"/>
      <c r="CF357" s="194"/>
      <c r="CG357" s="194"/>
      <c r="CH357" s="195"/>
      <c r="CI357" s="194"/>
      <c r="CJ357" s="194"/>
      <c r="CK357" s="194"/>
      <c r="CL357" s="196"/>
      <c r="CM357" s="196"/>
      <c r="CN357" s="194"/>
      <c r="CO357" s="197"/>
      <c r="CP357" s="196"/>
      <c r="CQ357" s="196"/>
      <c r="CR357" s="196"/>
      <c r="CS357" s="196"/>
      <c r="CT357" s="196"/>
      <c r="CU357" s="196"/>
      <c r="CV357" s="194"/>
      <c r="CW357" s="194"/>
      <c r="CX357" s="194"/>
      <c r="CY357" s="194"/>
      <c r="CZ357" s="194"/>
      <c r="DA357" s="194"/>
      <c r="DB357" s="194"/>
      <c r="DC357" s="194"/>
      <c r="DD357" s="194"/>
      <c r="DE357" s="194"/>
      <c r="DF357" s="196"/>
      <c r="DG357" s="198"/>
      <c r="DH357" s="194"/>
      <c r="DI357" s="282"/>
      <c r="DJ357" s="282"/>
      <c r="DK357" s="282"/>
      <c r="DL357" s="282"/>
    </row>
    <row r="358" spans="1:116" s="24" customFormat="1" x14ac:dyDescent="0.3">
      <c r="A358" s="172"/>
      <c r="B358" s="172"/>
      <c r="C358" s="172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/>
      <c r="BX358" s="172"/>
      <c r="BY358" s="174"/>
      <c r="BZ358" s="172"/>
      <c r="CA358" s="172"/>
      <c r="CD358" s="194"/>
      <c r="CE358" s="194"/>
      <c r="CF358" s="194"/>
      <c r="CG358" s="194"/>
      <c r="CH358" s="195"/>
      <c r="CI358" s="194"/>
      <c r="CJ358" s="194"/>
      <c r="CK358" s="194"/>
      <c r="CL358" s="196"/>
      <c r="CM358" s="196"/>
      <c r="CN358" s="194"/>
      <c r="CO358" s="197"/>
      <c r="CP358" s="196"/>
      <c r="CQ358" s="196"/>
      <c r="CR358" s="196"/>
      <c r="CS358" s="196"/>
      <c r="CT358" s="196"/>
      <c r="CU358" s="196"/>
      <c r="CV358" s="194"/>
      <c r="CW358" s="194"/>
      <c r="CX358" s="194"/>
      <c r="CY358" s="194"/>
      <c r="CZ358" s="194"/>
      <c r="DA358" s="194"/>
      <c r="DB358" s="194"/>
      <c r="DC358" s="194"/>
      <c r="DD358" s="194"/>
      <c r="DE358" s="194"/>
      <c r="DF358" s="196"/>
      <c r="DG358" s="198"/>
      <c r="DH358" s="194"/>
      <c r="DI358" s="282"/>
      <c r="DJ358" s="282"/>
      <c r="DK358" s="282"/>
      <c r="DL358" s="282"/>
    </row>
    <row r="359" spans="1:116" s="24" customFormat="1" x14ac:dyDescent="0.3">
      <c r="A359" s="172"/>
      <c r="B359" s="172"/>
      <c r="C359" s="172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/>
      <c r="BX359" s="172"/>
      <c r="BY359" s="174"/>
      <c r="BZ359" s="172"/>
      <c r="CA359" s="172"/>
      <c r="CD359" s="194"/>
      <c r="CE359" s="194"/>
      <c r="CF359" s="194"/>
      <c r="CG359" s="194"/>
      <c r="CH359" s="195"/>
      <c r="CI359" s="194"/>
      <c r="CJ359" s="194"/>
      <c r="CK359" s="194"/>
      <c r="CL359" s="196"/>
      <c r="CM359" s="196"/>
      <c r="CN359" s="194"/>
      <c r="CO359" s="197"/>
      <c r="CP359" s="196"/>
      <c r="CQ359" s="196"/>
      <c r="CR359" s="196"/>
      <c r="CS359" s="196"/>
      <c r="CT359" s="196"/>
      <c r="CU359" s="196"/>
      <c r="CV359" s="194"/>
      <c r="CW359" s="194"/>
      <c r="CX359" s="194"/>
      <c r="CY359" s="194"/>
      <c r="CZ359" s="194"/>
      <c r="DA359" s="194"/>
      <c r="DB359" s="194"/>
      <c r="DC359" s="194"/>
      <c r="DD359" s="194"/>
      <c r="DE359" s="194"/>
      <c r="DF359" s="196"/>
      <c r="DG359" s="198"/>
      <c r="DH359" s="194"/>
      <c r="DI359" s="282"/>
      <c r="DJ359" s="282"/>
      <c r="DK359" s="282"/>
      <c r="DL359" s="282"/>
    </row>
    <row r="360" spans="1:116" s="24" customFormat="1" x14ac:dyDescent="0.3">
      <c r="A360" s="172"/>
      <c r="B360" s="172"/>
      <c r="C360" s="172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  <c r="BT360" s="172"/>
      <c r="BU360" s="172"/>
      <c r="BV360" s="172"/>
      <c r="BW360" s="172"/>
      <c r="BX360" s="172"/>
      <c r="BY360" s="174"/>
      <c r="BZ360" s="172"/>
      <c r="CA360" s="172"/>
      <c r="CD360" s="194"/>
      <c r="CE360" s="194"/>
      <c r="CF360" s="194"/>
      <c r="CG360" s="194"/>
      <c r="CH360" s="195"/>
      <c r="CI360" s="194"/>
      <c r="CJ360" s="194"/>
      <c r="CK360" s="194"/>
      <c r="CL360" s="196"/>
      <c r="CM360" s="196"/>
      <c r="CN360" s="194"/>
      <c r="CO360" s="197"/>
      <c r="CP360" s="196"/>
      <c r="CQ360" s="196"/>
      <c r="CR360" s="196"/>
      <c r="CS360" s="196"/>
      <c r="CT360" s="196"/>
      <c r="CU360" s="196"/>
      <c r="CV360" s="194"/>
      <c r="CW360" s="194"/>
      <c r="CX360" s="194"/>
      <c r="CY360" s="194"/>
      <c r="CZ360" s="194"/>
      <c r="DA360" s="194"/>
      <c r="DB360" s="194"/>
      <c r="DC360" s="194"/>
      <c r="DD360" s="194"/>
      <c r="DE360" s="194"/>
      <c r="DF360" s="196"/>
      <c r="DG360" s="198"/>
      <c r="DH360" s="194"/>
      <c r="DI360" s="282"/>
      <c r="DJ360" s="282"/>
      <c r="DK360" s="282"/>
      <c r="DL360" s="282"/>
    </row>
    <row r="361" spans="1:116" s="24" customFormat="1" x14ac:dyDescent="0.3">
      <c r="A361" s="172"/>
      <c r="B361" s="172"/>
      <c r="C361" s="172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  <c r="BT361" s="172"/>
      <c r="BU361" s="172"/>
      <c r="BV361" s="172"/>
      <c r="BW361" s="172"/>
      <c r="BX361" s="172"/>
      <c r="BY361" s="174"/>
      <c r="BZ361" s="172"/>
      <c r="CA361" s="172"/>
      <c r="CD361" s="194"/>
      <c r="CE361" s="194"/>
      <c r="CF361" s="194"/>
      <c r="CG361" s="194"/>
      <c r="CH361" s="195"/>
      <c r="CI361" s="194"/>
      <c r="CJ361" s="194"/>
      <c r="CK361" s="194"/>
      <c r="CL361" s="196"/>
      <c r="CM361" s="196"/>
      <c r="CN361" s="194"/>
      <c r="CO361" s="197"/>
      <c r="CP361" s="196"/>
      <c r="CQ361" s="196"/>
      <c r="CR361" s="196"/>
      <c r="CS361" s="196"/>
      <c r="CT361" s="196"/>
      <c r="CU361" s="196"/>
      <c r="CV361" s="194"/>
      <c r="CW361" s="194"/>
      <c r="CX361" s="194"/>
      <c r="CY361" s="194"/>
      <c r="CZ361" s="194"/>
      <c r="DA361" s="194"/>
      <c r="DB361" s="194"/>
      <c r="DC361" s="194"/>
      <c r="DD361" s="194"/>
      <c r="DE361" s="194"/>
      <c r="DF361" s="196"/>
      <c r="DG361" s="198"/>
      <c r="DH361" s="194"/>
      <c r="DI361" s="282"/>
      <c r="DJ361" s="282"/>
      <c r="DK361" s="282"/>
      <c r="DL361" s="282"/>
    </row>
    <row r="362" spans="1:116" s="24" customFormat="1" x14ac:dyDescent="0.3">
      <c r="A362" s="172"/>
      <c r="B362" s="172"/>
      <c r="C362" s="172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/>
      <c r="BW362" s="172"/>
      <c r="BX362" s="172"/>
      <c r="BY362" s="174"/>
      <c r="BZ362" s="172"/>
      <c r="CA362" s="172"/>
      <c r="CD362" s="194"/>
      <c r="CE362" s="194"/>
      <c r="CF362" s="194"/>
      <c r="CG362" s="194"/>
      <c r="CH362" s="195"/>
      <c r="CI362" s="194"/>
      <c r="CJ362" s="194"/>
      <c r="CK362" s="194"/>
      <c r="CL362" s="196"/>
      <c r="CM362" s="196"/>
      <c r="CN362" s="194"/>
      <c r="CO362" s="197"/>
      <c r="CP362" s="196"/>
      <c r="CQ362" s="196"/>
      <c r="CR362" s="196"/>
      <c r="CS362" s="196"/>
      <c r="CT362" s="196"/>
      <c r="CU362" s="196"/>
      <c r="CV362" s="194"/>
      <c r="CW362" s="194"/>
      <c r="CX362" s="194"/>
      <c r="CY362" s="194"/>
      <c r="CZ362" s="194"/>
      <c r="DA362" s="194"/>
      <c r="DB362" s="194"/>
      <c r="DC362" s="194"/>
      <c r="DD362" s="194"/>
      <c r="DE362" s="194"/>
      <c r="DF362" s="196"/>
      <c r="DG362" s="198"/>
      <c r="DH362" s="194"/>
      <c r="DI362" s="282"/>
      <c r="DJ362" s="282"/>
      <c r="DK362" s="282"/>
      <c r="DL362" s="282"/>
    </row>
    <row r="363" spans="1:116" s="24" customFormat="1" x14ac:dyDescent="0.3">
      <c r="A363" s="172"/>
      <c r="B363" s="172"/>
      <c r="C363" s="172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  <c r="BT363" s="172"/>
      <c r="BU363" s="172"/>
      <c r="BV363" s="172"/>
      <c r="BW363" s="172"/>
      <c r="BX363" s="172"/>
      <c r="BY363" s="174"/>
      <c r="BZ363" s="172"/>
      <c r="CA363" s="172"/>
      <c r="CD363" s="194"/>
      <c r="CE363" s="194"/>
      <c r="CF363" s="194"/>
      <c r="CG363" s="194"/>
      <c r="CH363" s="195"/>
      <c r="CI363" s="194"/>
      <c r="CJ363" s="194"/>
      <c r="CK363" s="194"/>
      <c r="CL363" s="196"/>
      <c r="CM363" s="196"/>
      <c r="CN363" s="194"/>
      <c r="CO363" s="197"/>
      <c r="CP363" s="196"/>
      <c r="CQ363" s="196"/>
      <c r="CR363" s="196"/>
      <c r="CS363" s="196"/>
      <c r="CT363" s="196"/>
      <c r="CU363" s="196"/>
      <c r="CV363" s="194"/>
      <c r="CW363" s="194"/>
      <c r="CX363" s="194"/>
      <c r="CY363" s="194"/>
      <c r="CZ363" s="194"/>
      <c r="DA363" s="194"/>
      <c r="DB363" s="194"/>
      <c r="DC363" s="194"/>
      <c r="DD363" s="194"/>
      <c r="DE363" s="194"/>
      <c r="DF363" s="196"/>
      <c r="DG363" s="198"/>
      <c r="DH363" s="194"/>
      <c r="DI363" s="282"/>
      <c r="DJ363" s="282"/>
      <c r="DK363" s="282"/>
      <c r="DL363" s="282"/>
    </row>
    <row r="364" spans="1:116" s="24" customFormat="1" x14ac:dyDescent="0.3">
      <c r="A364" s="172"/>
      <c r="B364" s="172"/>
      <c r="C364" s="172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  <c r="BT364" s="172"/>
      <c r="BU364" s="172"/>
      <c r="BV364" s="172"/>
      <c r="BW364" s="172"/>
      <c r="BX364" s="172"/>
      <c r="BY364" s="174"/>
      <c r="BZ364" s="172"/>
      <c r="CA364" s="172"/>
      <c r="CD364" s="194"/>
      <c r="CE364" s="194"/>
      <c r="CF364" s="194"/>
      <c r="CG364" s="194"/>
      <c r="CH364" s="195"/>
      <c r="CI364" s="194"/>
      <c r="CJ364" s="194"/>
      <c r="CK364" s="194"/>
      <c r="CL364" s="196"/>
      <c r="CM364" s="196"/>
      <c r="CN364" s="194"/>
      <c r="CO364" s="197"/>
      <c r="CP364" s="196"/>
      <c r="CQ364" s="196"/>
      <c r="CR364" s="196"/>
      <c r="CS364" s="196"/>
      <c r="CT364" s="196"/>
      <c r="CU364" s="196"/>
      <c r="CV364" s="194"/>
      <c r="CW364" s="194"/>
      <c r="CX364" s="194"/>
      <c r="CY364" s="194"/>
      <c r="CZ364" s="194"/>
      <c r="DA364" s="194"/>
      <c r="DB364" s="194"/>
      <c r="DC364" s="194"/>
      <c r="DD364" s="194"/>
      <c r="DE364" s="194"/>
      <c r="DF364" s="196"/>
      <c r="DG364" s="198"/>
      <c r="DH364" s="194"/>
      <c r="DI364" s="282"/>
      <c r="DJ364" s="282"/>
      <c r="DK364" s="282"/>
      <c r="DL364" s="282"/>
    </row>
    <row r="365" spans="1:116" s="24" customFormat="1" x14ac:dyDescent="0.3">
      <c r="A365" s="172"/>
      <c r="B365" s="172"/>
      <c r="C365" s="172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/>
      <c r="BX365" s="172"/>
      <c r="BY365" s="174"/>
      <c r="BZ365" s="172"/>
      <c r="CA365" s="172"/>
      <c r="CD365" s="194"/>
      <c r="CE365" s="194"/>
      <c r="CF365" s="194"/>
      <c r="CG365" s="194"/>
      <c r="CH365" s="195"/>
      <c r="CI365" s="194"/>
      <c r="CJ365" s="194"/>
      <c r="CK365" s="194"/>
      <c r="CL365" s="196"/>
      <c r="CM365" s="196"/>
      <c r="CN365" s="194"/>
      <c r="CO365" s="197"/>
      <c r="CP365" s="196"/>
      <c r="CQ365" s="196"/>
      <c r="CR365" s="196"/>
      <c r="CS365" s="196"/>
      <c r="CT365" s="196"/>
      <c r="CU365" s="196"/>
      <c r="CV365" s="194"/>
      <c r="CW365" s="194"/>
      <c r="CX365" s="194"/>
      <c r="CY365" s="194"/>
      <c r="CZ365" s="194"/>
      <c r="DA365" s="194"/>
      <c r="DB365" s="194"/>
      <c r="DC365" s="194"/>
      <c r="DD365" s="194"/>
      <c r="DE365" s="194"/>
      <c r="DF365" s="196"/>
      <c r="DG365" s="198"/>
      <c r="DH365" s="194"/>
      <c r="DI365" s="282"/>
      <c r="DJ365" s="282"/>
      <c r="DK365" s="282"/>
      <c r="DL365" s="282"/>
    </row>
    <row r="366" spans="1:116" s="24" customFormat="1" x14ac:dyDescent="0.3">
      <c r="A366" s="172"/>
      <c r="B366" s="172"/>
      <c r="C366" s="172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/>
      <c r="BW366" s="172"/>
      <c r="BX366" s="172"/>
      <c r="BY366" s="174"/>
      <c r="BZ366" s="172"/>
      <c r="CA366" s="172"/>
      <c r="CD366" s="194"/>
      <c r="CE366" s="194"/>
      <c r="CF366" s="194"/>
      <c r="CG366" s="194"/>
      <c r="CH366" s="195"/>
      <c r="CI366" s="194"/>
      <c r="CJ366" s="194"/>
      <c r="CK366" s="194"/>
      <c r="CL366" s="196"/>
      <c r="CM366" s="196"/>
      <c r="CN366" s="194"/>
      <c r="CO366" s="197"/>
      <c r="CP366" s="196"/>
      <c r="CQ366" s="196"/>
      <c r="CR366" s="196"/>
      <c r="CS366" s="196"/>
      <c r="CT366" s="196"/>
      <c r="CU366" s="196"/>
      <c r="CV366" s="194"/>
      <c r="CW366" s="194"/>
      <c r="CX366" s="194"/>
      <c r="CY366" s="194"/>
      <c r="CZ366" s="194"/>
      <c r="DA366" s="194"/>
      <c r="DB366" s="194"/>
      <c r="DC366" s="194"/>
      <c r="DD366" s="194"/>
      <c r="DE366" s="194"/>
      <c r="DF366" s="196"/>
      <c r="DG366" s="198"/>
      <c r="DH366" s="194"/>
      <c r="DI366" s="282"/>
      <c r="DJ366" s="282"/>
      <c r="DK366" s="282"/>
      <c r="DL366" s="282"/>
    </row>
    <row r="367" spans="1:116" s="24" customFormat="1" x14ac:dyDescent="0.3">
      <c r="A367" s="172"/>
      <c r="B367" s="172"/>
      <c r="C367" s="172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  <c r="BT367" s="172"/>
      <c r="BU367" s="172"/>
      <c r="BV367" s="172"/>
      <c r="BW367" s="172"/>
      <c r="BX367" s="172"/>
      <c r="BY367" s="174"/>
      <c r="BZ367" s="172"/>
      <c r="CA367" s="172"/>
      <c r="CD367" s="194"/>
      <c r="CE367" s="194"/>
      <c r="CF367" s="194"/>
      <c r="CG367" s="194"/>
      <c r="CH367" s="195"/>
      <c r="CI367" s="194"/>
      <c r="CJ367" s="194"/>
      <c r="CK367" s="194"/>
      <c r="CL367" s="196"/>
      <c r="CM367" s="196"/>
      <c r="CN367" s="194"/>
      <c r="CO367" s="197"/>
      <c r="CP367" s="196"/>
      <c r="CQ367" s="196"/>
      <c r="CR367" s="196"/>
      <c r="CS367" s="196"/>
      <c r="CT367" s="196"/>
      <c r="CU367" s="196"/>
      <c r="CV367" s="194"/>
      <c r="CW367" s="194"/>
      <c r="CX367" s="194"/>
      <c r="CY367" s="194"/>
      <c r="CZ367" s="194"/>
      <c r="DA367" s="194"/>
      <c r="DB367" s="194"/>
      <c r="DC367" s="194"/>
      <c r="DD367" s="194"/>
      <c r="DE367" s="194"/>
      <c r="DF367" s="196"/>
      <c r="DG367" s="198"/>
      <c r="DH367" s="194"/>
      <c r="DI367" s="282"/>
      <c r="DJ367" s="282"/>
      <c r="DK367" s="282"/>
      <c r="DL367" s="282"/>
    </row>
    <row r="368" spans="1:116" s="24" customFormat="1" x14ac:dyDescent="0.3">
      <c r="A368" s="172"/>
      <c r="B368" s="172"/>
      <c r="C368" s="172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4"/>
      <c r="BZ368" s="172"/>
      <c r="CA368" s="172"/>
      <c r="CD368" s="194"/>
      <c r="CE368" s="194"/>
      <c r="CF368" s="194"/>
      <c r="CG368" s="194"/>
      <c r="CH368" s="195"/>
      <c r="CI368" s="194"/>
      <c r="CJ368" s="194"/>
      <c r="CK368" s="194"/>
      <c r="CL368" s="196"/>
      <c r="CM368" s="196"/>
      <c r="CN368" s="194"/>
      <c r="CO368" s="197"/>
      <c r="CP368" s="196"/>
      <c r="CQ368" s="196"/>
      <c r="CR368" s="196"/>
      <c r="CS368" s="196"/>
      <c r="CT368" s="196"/>
      <c r="CU368" s="196"/>
      <c r="CV368" s="194"/>
      <c r="CW368" s="194"/>
      <c r="CX368" s="194"/>
      <c r="CY368" s="194"/>
      <c r="CZ368" s="194"/>
      <c r="DA368" s="194"/>
      <c r="DB368" s="194"/>
      <c r="DC368" s="194"/>
      <c r="DD368" s="194"/>
      <c r="DE368" s="194"/>
      <c r="DF368" s="196"/>
      <c r="DG368" s="198"/>
      <c r="DH368" s="194"/>
      <c r="DI368" s="282"/>
      <c r="DJ368" s="282"/>
      <c r="DK368" s="282"/>
      <c r="DL368" s="282"/>
    </row>
    <row r="369" spans="1:116" s="24" customFormat="1" x14ac:dyDescent="0.3">
      <c r="A369" s="172"/>
      <c r="B369" s="172"/>
      <c r="C369" s="172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  <c r="BT369" s="172"/>
      <c r="BU369" s="172"/>
      <c r="BV369" s="172"/>
      <c r="BW369" s="172"/>
      <c r="BX369" s="172"/>
      <c r="BY369" s="174"/>
      <c r="BZ369" s="172"/>
      <c r="CA369" s="172"/>
      <c r="CD369" s="194"/>
      <c r="CE369" s="194"/>
      <c r="CF369" s="194"/>
      <c r="CG369" s="194"/>
      <c r="CH369" s="195"/>
      <c r="CI369" s="194"/>
      <c r="CJ369" s="194"/>
      <c r="CK369" s="194"/>
      <c r="CL369" s="196"/>
      <c r="CM369" s="196"/>
      <c r="CN369" s="194"/>
      <c r="CO369" s="197"/>
      <c r="CP369" s="196"/>
      <c r="CQ369" s="196"/>
      <c r="CR369" s="196"/>
      <c r="CS369" s="196"/>
      <c r="CT369" s="196"/>
      <c r="CU369" s="196"/>
      <c r="CV369" s="194"/>
      <c r="CW369" s="194"/>
      <c r="CX369" s="194"/>
      <c r="CY369" s="194"/>
      <c r="CZ369" s="194"/>
      <c r="DA369" s="194"/>
      <c r="DB369" s="194"/>
      <c r="DC369" s="194"/>
      <c r="DD369" s="194"/>
      <c r="DE369" s="194"/>
      <c r="DF369" s="196"/>
      <c r="DG369" s="198"/>
      <c r="DH369" s="194"/>
      <c r="DI369" s="282"/>
      <c r="DJ369" s="282"/>
      <c r="DK369" s="282"/>
      <c r="DL369" s="282"/>
    </row>
    <row r="370" spans="1:116" s="24" customFormat="1" x14ac:dyDescent="0.3">
      <c r="A370" s="172"/>
      <c r="B370" s="172"/>
      <c r="C370" s="172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  <c r="BT370" s="172"/>
      <c r="BU370" s="172"/>
      <c r="BV370" s="172"/>
      <c r="BW370" s="172"/>
      <c r="BX370" s="172"/>
      <c r="BY370" s="174"/>
      <c r="BZ370" s="172"/>
      <c r="CA370" s="172"/>
      <c r="CD370" s="194"/>
      <c r="CE370" s="194"/>
      <c r="CF370" s="194"/>
      <c r="CG370" s="194"/>
      <c r="CH370" s="195"/>
      <c r="CI370" s="194"/>
      <c r="CJ370" s="194"/>
      <c r="CK370" s="194"/>
      <c r="CL370" s="196"/>
      <c r="CM370" s="196"/>
      <c r="CN370" s="194"/>
      <c r="CO370" s="197"/>
      <c r="CP370" s="196"/>
      <c r="CQ370" s="196"/>
      <c r="CR370" s="196"/>
      <c r="CS370" s="196"/>
      <c r="CT370" s="196"/>
      <c r="CU370" s="196"/>
      <c r="CV370" s="194"/>
      <c r="CW370" s="194"/>
      <c r="CX370" s="194"/>
      <c r="CY370" s="194"/>
      <c r="CZ370" s="194"/>
      <c r="DA370" s="194"/>
      <c r="DB370" s="194"/>
      <c r="DC370" s="194"/>
      <c r="DD370" s="194"/>
      <c r="DE370" s="194"/>
      <c r="DF370" s="196"/>
      <c r="DG370" s="198"/>
      <c r="DH370" s="194"/>
      <c r="DI370" s="282"/>
      <c r="DJ370" s="282"/>
      <c r="DK370" s="282"/>
      <c r="DL370" s="282"/>
    </row>
    <row r="371" spans="1:116" s="24" customFormat="1" x14ac:dyDescent="0.3">
      <c r="A371" s="172"/>
      <c r="B371" s="172"/>
      <c r="C371" s="172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  <c r="BT371" s="172"/>
      <c r="BU371" s="172"/>
      <c r="BV371" s="172"/>
      <c r="BW371" s="172"/>
      <c r="BX371" s="172"/>
      <c r="BY371" s="174"/>
      <c r="BZ371" s="172"/>
      <c r="CA371" s="172"/>
      <c r="CD371" s="194"/>
      <c r="CE371" s="194"/>
      <c r="CF371" s="194"/>
      <c r="CG371" s="194"/>
      <c r="CH371" s="195"/>
      <c r="CI371" s="194"/>
      <c r="CJ371" s="194"/>
      <c r="CK371" s="194"/>
      <c r="CL371" s="196"/>
      <c r="CM371" s="196"/>
      <c r="CN371" s="194"/>
      <c r="CO371" s="197"/>
      <c r="CP371" s="196"/>
      <c r="CQ371" s="196"/>
      <c r="CR371" s="196"/>
      <c r="CS371" s="196"/>
      <c r="CT371" s="196"/>
      <c r="CU371" s="196"/>
      <c r="CV371" s="194"/>
      <c r="CW371" s="194"/>
      <c r="CX371" s="194"/>
      <c r="CY371" s="194"/>
      <c r="CZ371" s="194"/>
      <c r="DA371" s="194"/>
      <c r="DB371" s="194"/>
      <c r="DC371" s="194"/>
      <c r="DD371" s="194"/>
      <c r="DE371" s="194"/>
      <c r="DF371" s="196"/>
      <c r="DG371" s="198"/>
      <c r="DH371" s="194"/>
      <c r="DI371" s="282"/>
      <c r="DJ371" s="282"/>
      <c r="DK371" s="282"/>
      <c r="DL371" s="282"/>
    </row>
    <row r="372" spans="1:116" s="24" customFormat="1" x14ac:dyDescent="0.3">
      <c r="A372" s="172"/>
      <c r="B372" s="172"/>
      <c r="C372" s="172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4"/>
      <c r="BZ372" s="172"/>
      <c r="CA372" s="172"/>
      <c r="CD372" s="194"/>
      <c r="CE372" s="194"/>
      <c r="CF372" s="194"/>
      <c r="CG372" s="194"/>
      <c r="CH372" s="195"/>
      <c r="CI372" s="194"/>
      <c r="CJ372" s="194"/>
      <c r="CK372" s="194"/>
      <c r="CL372" s="196"/>
      <c r="CM372" s="196"/>
      <c r="CN372" s="194"/>
      <c r="CO372" s="197"/>
      <c r="CP372" s="196"/>
      <c r="CQ372" s="196"/>
      <c r="CR372" s="196"/>
      <c r="CS372" s="196"/>
      <c r="CT372" s="196"/>
      <c r="CU372" s="196"/>
      <c r="CV372" s="194"/>
      <c r="CW372" s="194"/>
      <c r="CX372" s="194"/>
      <c r="CY372" s="194"/>
      <c r="CZ372" s="194"/>
      <c r="DA372" s="194"/>
      <c r="DB372" s="194"/>
      <c r="DC372" s="194"/>
      <c r="DD372" s="194"/>
      <c r="DE372" s="194"/>
      <c r="DF372" s="196"/>
      <c r="DG372" s="198"/>
      <c r="DH372" s="194"/>
      <c r="DI372" s="282"/>
      <c r="DJ372" s="282"/>
      <c r="DK372" s="282"/>
      <c r="DL372" s="282"/>
    </row>
    <row r="373" spans="1:116" s="24" customFormat="1" x14ac:dyDescent="0.3">
      <c r="A373" s="172"/>
      <c r="B373" s="172"/>
      <c r="C373" s="172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  <c r="BT373" s="172"/>
      <c r="BU373" s="172"/>
      <c r="BV373" s="172"/>
      <c r="BW373" s="172"/>
      <c r="BX373" s="172"/>
      <c r="BY373" s="174"/>
      <c r="BZ373" s="172"/>
      <c r="CA373" s="172"/>
      <c r="CD373" s="194"/>
      <c r="CE373" s="194"/>
      <c r="CF373" s="194"/>
      <c r="CG373" s="194"/>
      <c r="CH373" s="195"/>
      <c r="CI373" s="194"/>
      <c r="CJ373" s="194"/>
      <c r="CK373" s="194"/>
      <c r="CL373" s="196"/>
      <c r="CM373" s="196"/>
      <c r="CN373" s="194"/>
      <c r="CO373" s="197"/>
      <c r="CP373" s="196"/>
      <c r="CQ373" s="196"/>
      <c r="CR373" s="196"/>
      <c r="CS373" s="196"/>
      <c r="CT373" s="196"/>
      <c r="CU373" s="196"/>
      <c r="CV373" s="194"/>
      <c r="CW373" s="194"/>
      <c r="CX373" s="194"/>
      <c r="CY373" s="194"/>
      <c r="CZ373" s="194"/>
      <c r="DA373" s="194"/>
      <c r="DB373" s="194"/>
      <c r="DC373" s="194"/>
      <c r="DD373" s="194"/>
      <c r="DE373" s="194"/>
      <c r="DF373" s="196"/>
      <c r="DG373" s="198"/>
      <c r="DH373" s="194"/>
      <c r="DI373" s="282"/>
      <c r="DJ373" s="282"/>
      <c r="DK373" s="282"/>
      <c r="DL373" s="282"/>
    </row>
    <row r="374" spans="1:116" s="24" customFormat="1" x14ac:dyDescent="0.3">
      <c r="A374" s="172"/>
      <c r="B374" s="172"/>
      <c r="C374" s="172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  <c r="BT374" s="172"/>
      <c r="BU374" s="172"/>
      <c r="BV374" s="172"/>
      <c r="BW374" s="172"/>
      <c r="BX374" s="172"/>
      <c r="BY374" s="174"/>
      <c r="BZ374" s="172"/>
      <c r="CA374" s="172"/>
      <c r="CD374" s="194"/>
      <c r="CE374" s="194"/>
      <c r="CF374" s="194"/>
      <c r="CG374" s="194"/>
      <c r="CH374" s="195"/>
      <c r="CI374" s="194"/>
      <c r="CJ374" s="194"/>
      <c r="CK374" s="194"/>
      <c r="CL374" s="196"/>
      <c r="CM374" s="196"/>
      <c r="CN374" s="194"/>
      <c r="CO374" s="197"/>
      <c r="CP374" s="196"/>
      <c r="CQ374" s="196"/>
      <c r="CR374" s="196"/>
      <c r="CS374" s="196"/>
      <c r="CT374" s="196"/>
      <c r="CU374" s="196"/>
      <c r="CV374" s="194"/>
      <c r="CW374" s="194"/>
      <c r="CX374" s="194"/>
      <c r="CY374" s="194"/>
      <c r="CZ374" s="194"/>
      <c r="DA374" s="194"/>
      <c r="DB374" s="194"/>
      <c r="DC374" s="194"/>
      <c r="DD374" s="194"/>
      <c r="DE374" s="194"/>
      <c r="DF374" s="196"/>
      <c r="DG374" s="198"/>
      <c r="DH374" s="194"/>
      <c r="DI374" s="282"/>
      <c r="DJ374" s="282"/>
      <c r="DK374" s="282"/>
      <c r="DL374" s="282"/>
    </row>
    <row r="375" spans="1:116" s="24" customFormat="1" x14ac:dyDescent="0.3">
      <c r="A375" s="172"/>
      <c r="B375" s="172"/>
      <c r="C375" s="172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/>
      <c r="BX375" s="172"/>
      <c r="BY375" s="174"/>
      <c r="BZ375" s="172"/>
      <c r="CA375" s="172"/>
      <c r="CD375" s="194"/>
      <c r="CE375" s="194"/>
      <c r="CF375" s="194"/>
      <c r="CG375" s="194"/>
      <c r="CH375" s="195"/>
      <c r="CI375" s="194"/>
      <c r="CJ375" s="194"/>
      <c r="CK375" s="194"/>
      <c r="CL375" s="196"/>
      <c r="CM375" s="196"/>
      <c r="CN375" s="194"/>
      <c r="CO375" s="197"/>
      <c r="CP375" s="196"/>
      <c r="CQ375" s="196"/>
      <c r="CR375" s="196"/>
      <c r="CS375" s="196"/>
      <c r="CT375" s="196"/>
      <c r="CU375" s="196"/>
      <c r="CV375" s="194"/>
      <c r="CW375" s="194"/>
      <c r="CX375" s="194"/>
      <c r="CY375" s="194"/>
      <c r="CZ375" s="194"/>
      <c r="DA375" s="194"/>
      <c r="DB375" s="194"/>
      <c r="DC375" s="194"/>
      <c r="DD375" s="194"/>
      <c r="DE375" s="194"/>
      <c r="DF375" s="196"/>
      <c r="DG375" s="198"/>
      <c r="DH375" s="194"/>
      <c r="DI375" s="282"/>
      <c r="DJ375" s="282"/>
      <c r="DK375" s="282"/>
      <c r="DL375" s="282"/>
    </row>
    <row r="376" spans="1:116" s="24" customFormat="1" x14ac:dyDescent="0.3">
      <c r="A376" s="172"/>
      <c r="B376" s="172"/>
      <c r="C376" s="172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4"/>
      <c r="BZ376" s="172"/>
      <c r="CA376" s="172"/>
      <c r="CD376" s="194"/>
      <c r="CE376" s="194"/>
      <c r="CF376" s="194"/>
      <c r="CG376" s="194"/>
      <c r="CH376" s="195"/>
      <c r="CI376" s="194"/>
      <c r="CJ376" s="194"/>
      <c r="CK376" s="194"/>
      <c r="CL376" s="196"/>
      <c r="CM376" s="196"/>
      <c r="CN376" s="194"/>
      <c r="CO376" s="197"/>
      <c r="CP376" s="196"/>
      <c r="CQ376" s="196"/>
      <c r="CR376" s="196"/>
      <c r="CS376" s="196"/>
      <c r="CT376" s="196"/>
      <c r="CU376" s="196"/>
      <c r="CV376" s="194"/>
      <c r="CW376" s="194"/>
      <c r="CX376" s="194"/>
      <c r="CY376" s="194"/>
      <c r="CZ376" s="194"/>
      <c r="DA376" s="194"/>
      <c r="DB376" s="194"/>
      <c r="DC376" s="194"/>
      <c r="DD376" s="194"/>
      <c r="DE376" s="194"/>
      <c r="DF376" s="196"/>
      <c r="DG376" s="198"/>
      <c r="DH376" s="194"/>
      <c r="DI376" s="282"/>
      <c r="DJ376" s="282"/>
      <c r="DK376" s="282"/>
      <c r="DL376" s="282"/>
    </row>
    <row r="377" spans="1:116" s="24" customFormat="1" x14ac:dyDescent="0.3">
      <c r="A377" s="172"/>
      <c r="B377" s="172"/>
      <c r="C377" s="172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  <c r="BT377" s="172"/>
      <c r="BU377" s="172"/>
      <c r="BV377" s="172"/>
      <c r="BW377" s="172"/>
      <c r="BX377" s="172"/>
      <c r="BY377" s="174"/>
      <c r="BZ377" s="172"/>
      <c r="CA377" s="172"/>
      <c r="CD377" s="194"/>
      <c r="CE377" s="194"/>
      <c r="CF377" s="194"/>
      <c r="CG377" s="194"/>
      <c r="CH377" s="195"/>
      <c r="CI377" s="194"/>
      <c r="CJ377" s="194"/>
      <c r="CK377" s="194"/>
      <c r="CL377" s="196"/>
      <c r="CM377" s="196"/>
      <c r="CN377" s="194"/>
      <c r="CO377" s="197"/>
      <c r="CP377" s="196"/>
      <c r="CQ377" s="196"/>
      <c r="CR377" s="196"/>
      <c r="CS377" s="196"/>
      <c r="CT377" s="196"/>
      <c r="CU377" s="196"/>
      <c r="CV377" s="194"/>
      <c r="CW377" s="194"/>
      <c r="CX377" s="194"/>
      <c r="CY377" s="194"/>
      <c r="CZ377" s="194"/>
      <c r="DA377" s="194"/>
      <c r="DB377" s="194"/>
      <c r="DC377" s="194"/>
      <c r="DD377" s="194"/>
      <c r="DE377" s="194"/>
      <c r="DF377" s="196"/>
      <c r="DG377" s="198"/>
      <c r="DH377" s="194"/>
      <c r="DI377" s="282"/>
      <c r="DJ377" s="282"/>
      <c r="DK377" s="282"/>
      <c r="DL377" s="282"/>
    </row>
    <row r="378" spans="1:116" s="24" customFormat="1" x14ac:dyDescent="0.3">
      <c r="A378" s="172"/>
      <c r="B378" s="172"/>
      <c r="C378" s="172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  <c r="BT378" s="172"/>
      <c r="BU378" s="172"/>
      <c r="BV378" s="172"/>
      <c r="BW378" s="172"/>
      <c r="BX378" s="172"/>
      <c r="BY378" s="174"/>
      <c r="BZ378" s="172"/>
      <c r="CA378" s="172"/>
      <c r="CD378" s="194"/>
      <c r="CE378" s="194"/>
      <c r="CF378" s="194"/>
      <c r="CG378" s="194"/>
      <c r="CH378" s="195"/>
      <c r="CI378" s="194"/>
      <c r="CJ378" s="194"/>
      <c r="CK378" s="194"/>
      <c r="CL378" s="196"/>
      <c r="CM378" s="196"/>
      <c r="CN378" s="194"/>
      <c r="CO378" s="197"/>
      <c r="CP378" s="196"/>
      <c r="CQ378" s="196"/>
      <c r="CR378" s="196"/>
      <c r="CS378" s="196"/>
      <c r="CT378" s="196"/>
      <c r="CU378" s="196"/>
      <c r="CV378" s="194"/>
      <c r="CW378" s="194"/>
      <c r="CX378" s="194"/>
      <c r="CY378" s="194"/>
      <c r="CZ378" s="194"/>
      <c r="DA378" s="194"/>
      <c r="DB378" s="194"/>
      <c r="DC378" s="194"/>
      <c r="DD378" s="194"/>
      <c r="DE378" s="194"/>
      <c r="DF378" s="196"/>
      <c r="DG378" s="198"/>
      <c r="DH378" s="194"/>
      <c r="DI378" s="282"/>
      <c r="DJ378" s="282"/>
      <c r="DK378" s="282"/>
      <c r="DL378" s="282"/>
    </row>
    <row r="379" spans="1:116" s="24" customFormat="1" x14ac:dyDescent="0.3">
      <c r="A379" s="172"/>
      <c r="B379" s="172"/>
      <c r="C379" s="172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  <c r="BT379" s="172"/>
      <c r="BU379" s="172"/>
      <c r="BV379" s="172"/>
      <c r="BW379" s="172"/>
      <c r="BX379" s="172"/>
      <c r="BY379" s="174"/>
      <c r="BZ379" s="172"/>
      <c r="CA379" s="172"/>
      <c r="CD379" s="194"/>
      <c r="CE379" s="194"/>
      <c r="CF379" s="194"/>
      <c r="CG379" s="194"/>
      <c r="CH379" s="195"/>
      <c r="CI379" s="194"/>
      <c r="CJ379" s="194"/>
      <c r="CK379" s="194"/>
      <c r="CL379" s="196"/>
      <c r="CM379" s="196"/>
      <c r="CN379" s="194"/>
      <c r="CO379" s="197"/>
      <c r="CP379" s="196"/>
      <c r="CQ379" s="196"/>
      <c r="CR379" s="196"/>
      <c r="CS379" s="196"/>
      <c r="CT379" s="196"/>
      <c r="CU379" s="196"/>
      <c r="CV379" s="194"/>
      <c r="CW379" s="194"/>
      <c r="CX379" s="194"/>
      <c r="CY379" s="194"/>
      <c r="CZ379" s="194"/>
      <c r="DA379" s="194"/>
      <c r="DB379" s="194"/>
      <c r="DC379" s="194"/>
      <c r="DD379" s="194"/>
      <c r="DE379" s="194"/>
      <c r="DF379" s="196"/>
      <c r="DG379" s="198"/>
      <c r="DH379" s="194"/>
      <c r="DI379" s="282"/>
      <c r="DJ379" s="282"/>
      <c r="DK379" s="282"/>
      <c r="DL379" s="282"/>
    </row>
    <row r="380" spans="1:116" s="24" customFormat="1" x14ac:dyDescent="0.3">
      <c r="A380" s="172"/>
      <c r="B380" s="172"/>
      <c r="C380" s="172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/>
      <c r="BW380" s="172"/>
      <c r="BX380" s="172"/>
      <c r="BY380" s="174"/>
      <c r="BZ380" s="172"/>
      <c r="CA380" s="172"/>
      <c r="CD380" s="194"/>
      <c r="CE380" s="194"/>
      <c r="CF380" s="194"/>
      <c r="CG380" s="194"/>
      <c r="CH380" s="195"/>
      <c r="CI380" s="194"/>
      <c r="CJ380" s="194"/>
      <c r="CK380" s="194"/>
      <c r="CL380" s="196"/>
      <c r="CM380" s="196"/>
      <c r="CN380" s="194"/>
      <c r="CO380" s="197"/>
      <c r="CP380" s="196"/>
      <c r="CQ380" s="196"/>
      <c r="CR380" s="196"/>
      <c r="CS380" s="196"/>
      <c r="CT380" s="196"/>
      <c r="CU380" s="196"/>
      <c r="CV380" s="194"/>
      <c r="CW380" s="194"/>
      <c r="CX380" s="194"/>
      <c r="CY380" s="194"/>
      <c r="CZ380" s="194"/>
      <c r="DA380" s="194"/>
      <c r="DB380" s="194"/>
      <c r="DC380" s="194"/>
      <c r="DD380" s="194"/>
      <c r="DE380" s="194"/>
      <c r="DF380" s="196"/>
      <c r="DG380" s="198"/>
      <c r="DH380" s="194"/>
      <c r="DI380" s="282"/>
      <c r="DJ380" s="282"/>
      <c r="DK380" s="282"/>
      <c r="DL380" s="282"/>
    </row>
    <row r="381" spans="1:116" s="24" customFormat="1" x14ac:dyDescent="0.3">
      <c r="A381" s="172"/>
      <c r="B381" s="172"/>
      <c r="C381" s="172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  <c r="BT381" s="172"/>
      <c r="BU381" s="172"/>
      <c r="BV381" s="172"/>
      <c r="BW381" s="172"/>
      <c r="BX381" s="172"/>
      <c r="BY381" s="174"/>
      <c r="BZ381" s="172"/>
      <c r="CA381" s="172"/>
      <c r="CD381" s="194"/>
      <c r="CE381" s="194"/>
      <c r="CF381" s="194"/>
      <c r="CG381" s="194"/>
      <c r="CH381" s="195"/>
      <c r="CI381" s="194"/>
      <c r="CJ381" s="194"/>
      <c r="CK381" s="194"/>
      <c r="CL381" s="196"/>
      <c r="CM381" s="196"/>
      <c r="CN381" s="194"/>
      <c r="CO381" s="197"/>
      <c r="CP381" s="196"/>
      <c r="CQ381" s="196"/>
      <c r="CR381" s="196"/>
      <c r="CS381" s="196"/>
      <c r="CT381" s="196"/>
      <c r="CU381" s="196"/>
      <c r="CV381" s="194"/>
      <c r="CW381" s="194"/>
      <c r="CX381" s="194"/>
      <c r="CY381" s="194"/>
      <c r="CZ381" s="194"/>
      <c r="DA381" s="194"/>
      <c r="DB381" s="194"/>
      <c r="DC381" s="194"/>
      <c r="DD381" s="194"/>
      <c r="DE381" s="194"/>
      <c r="DF381" s="196"/>
      <c r="DG381" s="198"/>
      <c r="DH381" s="194"/>
      <c r="DI381" s="282"/>
      <c r="DJ381" s="282"/>
      <c r="DK381" s="282"/>
      <c r="DL381" s="282"/>
    </row>
    <row r="382" spans="1:116" s="24" customFormat="1" x14ac:dyDescent="0.3">
      <c r="A382" s="172"/>
      <c r="B382" s="172"/>
      <c r="C382" s="172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2"/>
      <c r="BV382" s="172"/>
      <c r="BW382" s="172"/>
      <c r="BX382" s="172"/>
      <c r="BY382" s="174"/>
      <c r="BZ382" s="172"/>
      <c r="CA382" s="172"/>
      <c r="CD382" s="194"/>
      <c r="CE382" s="194"/>
      <c r="CF382" s="194"/>
      <c r="CG382" s="194"/>
      <c r="CH382" s="195"/>
      <c r="CI382" s="194"/>
      <c r="CJ382" s="194"/>
      <c r="CK382" s="194"/>
      <c r="CL382" s="196"/>
      <c r="CM382" s="196"/>
      <c r="CN382" s="194"/>
      <c r="CO382" s="197"/>
      <c r="CP382" s="196"/>
      <c r="CQ382" s="196"/>
      <c r="CR382" s="196"/>
      <c r="CS382" s="196"/>
      <c r="CT382" s="196"/>
      <c r="CU382" s="196"/>
      <c r="CV382" s="194"/>
      <c r="CW382" s="194"/>
      <c r="CX382" s="194"/>
      <c r="CY382" s="194"/>
      <c r="CZ382" s="194"/>
      <c r="DA382" s="194"/>
      <c r="DB382" s="194"/>
      <c r="DC382" s="194"/>
      <c r="DD382" s="194"/>
      <c r="DE382" s="194"/>
      <c r="DF382" s="196"/>
      <c r="DG382" s="198"/>
      <c r="DH382" s="194"/>
      <c r="DI382" s="282"/>
      <c r="DJ382" s="282"/>
      <c r="DK382" s="282"/>
      <c r="DL382" s="282"/>
    </row>
    <row r="383" spans="1:116" s="24" customFormat="1" x14ac:dyDescent="0.3">
      <c r="A383" s="172"/>
      <c r="B383" s="172"/>
      <c r="C383" s="172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  <c r="BT383" s="172"/>
      <c r="BU383" s="172"/>
      <c r="BV383" s="172"/>
      <c r="BW383" s="172"/>
      <c r="BX383" s="172"/>
      <c r="BY383" s="174"/>
      <c r="BZ383" s="172"/>
      <c r="CA383" s="172"/>
      <c r="CD383" s="194"/>
      <c r="CE383" s="194"/>
      <c r="CF383" s="194"/>
      <c r="CG383" s="194"/>
      <c r="CH383" s="195"/>
      <c r="CI383" s="194"/>
      <c r="CJ383" s="194"/>
      <c r="CK383" s="194"/>
      <c r="CL383" s="196"/>
      <c r="CM383" s="196"/>
      <c r="CN383" s="194"/>
      <c r="CO383" s="197"/>
      <c r="CP383" s="196"/>
      <c r="CQ383" s="196"/>
      <c r="CR383" s="196"/>
      <c r="CS383" s="196"/>
      <c r="CT383" s="196"/>
      <c r="CU383" s="196"/>
      <c r="CV383" s="194"/>
      <c r="CW383" s="194"/>
      <c r="CX383" s="194"/>
      <c r="CY383" s="194"/>
      <c r="CZ383" s="194"/>
      <c r="DA383" s="194"/>
      <c r="DB383" s="194"/>
      <c r="DC383" s="194"/>
      <c r="DD383" s="194"/>
      <c r="DE383" s="194"/>
      <c r="DF383" s="196"/>
      <c r="DG383" s="198"/>
      <c r="DH383" s="194"/>
      <c r="DI383" s="282"/>
      <c r="DJ383" s="282"/>
      <c r="DK383" s="282"/>
      <c r="DL383" s="282"/>
    </row>
    <row r="384" spans="1:116" s="24" customFormat="1" x14ac:dyDescent="0.3">
      <c r="A384" s="172"/>
      <c r="B384" s="172"/>
      <c r="C384" s="172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2"/>
      <c r="BV384" s="172"/>
      <c r="BW384" s="172"/>
      <c r="BX384" s="172"/>
      <c r="BY384" s="174"/>
      <c r="BZ384" s="172"/>
      <c r="CA384" s="172"/>
      <c r="CD384" s="194"/>
      <c r="CE384" s="194"/>
      <c r="CF384" s="194"/>
      <c r="CG384" s="194"/>
      <c r="CH384" s="195"/>
      <c r="CI384" s="194"/>
      <c r="CJ384" s="194"/>
      <c r="CK384" s="194"/>
      <c r="CL384" s="196"/>
      <c r="CM384" s="196"/>
      <c r="CN384" s="194"/>
      <c r="CO384" s="197"/>
      <c r="CP384" s="196"/>
      <c r="CQ384" s="196"/>
      <c r="CR384" s="196"/>
      <c r="CS384" s="196"/>
      <c r="CT384" s="196"/>
      <c r="CU384" s="196"/>
      <c r="CV384" s="194"/>
      <c r="CW384" s="194"/>
      <c r="CX384" s="194"/>
      <c r="CY384" s="194"/>
      <c r="CZ384" s="194"/>
      <c r="DA384" s="194"/>
      <c r="DB384" s="194"/>
      <c r="DC384" s="194"/>
      <c r="DD384" s="194"/>
      <c r="DE384" s="194"/>
      <c r="DF384" s="196"/>
      <c r="DG384" s="198"/>
      <c r="DH384" s="194"/>
      <c r="DI384" s="282"/>
      <c r="DJ384" s="282"/>
      <c r="DK384" s="282"/>
      <c r="DL384" s="282"/>
    </row>
    <row r="385" spans="1:116" s="24" customFormat="1" x14ac:dyDescent="0.3">
      <c r="A385" s="172"/>
      <c r="B385" s="172"/>
      <c r="C385" s="172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/>
      <c r="BY385" s="174"/>
      <c r="BZ385" s="172"/>
      <c r="CA385" s="172"/>
      <c r="CD385" s="194"/>
      <c r="CE385" s="194"/>
      <c r="CF385" s="194"/>
      <c r="CG385" s="194"/>
      <c r="CH385" s="195"/>
      <c r="CI385" s="194"/>
      <c r="CJ385" s="194"/>
      <c r="CK385" s="194"/>
      <c r="CL385" s="196"/>
      <c r="CM385" s="196"/>
      <c r="CN385" s="194"/>
      <c r="CO385" s="197"/>
      <c r="CP385" s="196"/>
      <c r="CQ385" s="196"/>
      <c r="CR385" s="196"/>
      <c r="CS385" s="196"/>
      <c r="CT385" s="196"/>
      <c r="CU385" s="196"/>
      <c r="CV385" s="194"/>
      <c r="CW385" s="194"/>
      <c r="CX385" s="194"/>
      <c r="CY385" s="194"/>
      <c r="CZ385" s="194"/>
      <c r="DA385" s="194"/>
      <c r="DB385" s="194"/>
      <c r="DC385" s="194"/>
      <c r="DD385" s="194"/>
      <c r="DE385" s="194"/>
      <c r="DF385" s="196"/>
      <c r="DG385" s="198"/>
      <c r="DH385" s="194"/>
      <c r="DI385" s="282"/>
      <c r="DJ385" s="282"/>
      <c r="DK385" s="282"/>
      <c r="DL385" s="282"/>
    </row>
    <row r="386" spans="1:116" s="24" customFormat="1" x14ac:dyDescent="0.3">
      <c r="A386" s="172"/>
      <c r="B386" s="172"/>
      <c r="C386" s="172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  <c r="BT386" s="172"/>
      <c r="BU386" s="172"/>
      <c r="BV386" s="172"/>
      <c r="BW386" s="172"/>
      <c r="BX386" s="172"/>
      <c r="BY386" s="174"/>
      <c r="BZ386" s="172"/>
      <c r="CA386" s="172"/>
      <c r="CD386" s="194"/>
      <c r="CE386" s="194"/>
      <c r="CF386" s="194"/>
      <c r="CG386" s="194"/>
      <c r="CH386" s="195"/>
      <c r="CI386" s="194"/>
      <c r="CJ386" s="194"/>
      <c r="CK386" s="194"/>
      <c r="CL386" s="196"/>
      <c r="CM386" s="196"/>
      <c r="CN386" s="194"/>
      <c r="CO386" s="197"/>
      <c r="CP386" s="196"/>
      <c r="CQ386" s="196"/>
      <c r="CR386" s="196"/>
      <c r="CS386" s="196"/>
      <c r="CT386" s="196"/>
      <c r="CU386" s="196"/>
      <c r="CV386" s="194"/>
      <c r="CW386" s="194"/>
      <c r="CX386" s="194"/>
      <c r="CY386" s="194"/>
      <c r="CZ386" s="194"/>
      <c r="DA386" s="194"/>
      <c r="DB386" s="194"/>
      <c r="DC386" s="194"/>
      <c r="DD386" s="194"/>
      <c r="DE386" s="194"/>
      <c r="DF386" s="196"/>
      <c r="DG386" s="198"/>
      <c r="DH386" s="194"/>
      <c r="DI386" s="282"/>
      <c r="DJ386" s="282"/>
      <c r="DK386" s="282"/>
      <c r="DL386" s="282"/>
    </row>
    <row r="387" spans="1:116" s="24" customFormat="1" x14ac:dyDescent="0.3">
      <c r="A387" s="172"/>
      <c r="B387" s="172"/>
      <c r="C387" s="172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  <c r="BT387" s="172"/>
      <c r="BU387" s="172"/>
      <c r="BV387" s="172"/>
      <c r="BW387" s="172"/>
      <c r="BX387" s="172"/>
      <c r="BY387" s="174"/>
      <c r="BZ387" s="172"/>
      <c r="CA387" s="172"/>
      <c r="CD387" s="194"/>
      <c r="CE387" s="194"/>
      <c r="CF387" s="194"/>
      <c r="CG387" s="194"/>
      <c r="CH387" s="195"/>
      <c r="CI387" s="194"/>
      <c r="CJ387" s="194"/>
      <c r="CK387" s="194"/>
      <c r="CL387" s="196"/>
      <c r="CM387" s="196"/>
      <c r="CN387" s="194"/>
      <c r="CO387" s="197"/>
      <c r="CP387" s="196"/>
      <c r="CQ387" s="196"/>
      <c r="CR387" s="196"/>
      <c r="CS387" s="196"/>
      <c r="CT387" s="196"/>
      <c r="CU387" s="196"/>
      <c r="CV387" s="194"/>
      <c r="CW387" s="194"/>
      <c r="CX387" s="194"/>
      <c r="CY387" s="194"/>
      <c r="CZ387" s="194"/>
      <c r="DA387" s="194"/>
      <c r="DB387" s="194"/>
      <c r="DC387" s="194"/>
      <c r="DD387" s="194"/>
      <c r="DE387" s="194"/>
      <c r="DF387" s="196"/>
      <c r="DG387" s="198"/>
      <c r="DH387" s="194"/>
      <c r="DI387" s="282"/>
      <c r="DJ387" s="282"/>
      <c r="DK387" s="282"/>
      <c r="DL387" s="282"/>
    </row>
    <row r="388" spans="1:116" s="24" customFormat="1" x14ac:dyDescent="0.3">
      <c r="A388" s="172"/>
      <c r="B388" s="172"/>
      <c r="C388" s="172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  <c r="BT388" s="172"/>
      <c r="BU388" s="172"/>
      <c r="BV388" s="172"/>
      <c r="BW388" s="172"/>
      <c r="BX388" s="172"/>
      <c r="BY388" s="174"/>
      <c r="BZ388" s="172"/>
      <c r="CA388" s="172"/>
      <c r="CD388" s="194"/>
      <c r="CE388" s="194"/>
      <c r="CF388" s="194"/>
      <c r="CG388" s="194"/>
      <c r="CH388" s="195"/>
      <c r="CI388" s="194"/>
      <c r="CJ388" s="194"/>
      <c r="CK388" s="194"/>
      <c r="CL388" s="196"/>
      <c r="CM388" s="196"/>
      <c r="CN388" s="194"/>
      <c r="CO388" s="197"/>
      <c r="CP388" s="196"/>
      <c r="CQ388" s="196"/>
      <c r="CR388" s="196"/>
      <c r="CS388" s="196"/>
      <c r="CT388" s="196"/>
      <c r="CU388" s="196"/>
      <c r="CV388" s="194"/>
      <c r="CW388" s="194"/>
      <c r="CX388" s="194"/>
      <c r="CY388" s="194"/>
      <c r="CZ388" s="194"/>
      <c r="DA388" s="194"/>
      <c r="DB388" s="194"/>
      <c r="DC388" s="194"/>
      <c r="DD388" s="194"/>
      <c r="DE388" s="194"/>
      <c r="DF388" s="196"/>
      <c r="DG388" s="198"/>
      <c r="DH388" s="194"/>
      <c r="DI388" s="282"/>
      <c r="DJ388" s="282"/>
      <c r="DK388" s="282"/>
      <c r="DL388" s="282"/>
    </row>
    <row r="389" spans="1:116" s="24" customFormat="1" x14ac:dyDescent="0.3">
      <c r="A389" s="172"/>
      <c r="B389" s="172"/>
      <c r="C389" s="172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4"/>
      <c r="BZ389" s="172"/>
      <c r="CA389" s="172"/>
      <c r="CD389" s="194"/>
      <c r="CE389" s="194"/>
      <c r="CF389" s="194"/>
      <c r="CG389" s="194"/>
      <c r="CH389" s="195"/>
      <c r="CI389" s="194"/>
      <c r="CJ389" s="194"/>
      <c r="CK389" s="194"/>
      <c r="CL389" s="196"/>
      <c r="CM389" s="196"/>
      <c r="CN389" s="194"/>
      <c r="CO389" s="197"/>
      <c r="CP389" s="196"/>
      <c r="CQ389" s="196"/>
      <c r="CR389" s="196"/>
      <c r="CS389" s="196"/>
      <c r="CT389" s="196"/>
      <c r="CU389" s="196"/>
      <c r="CV389" s="194"/>
      <c r="CW389" s="194"/>
      <c r="CX389" s="194"/>
      <c r="CY389" s="194"/>
      <c r="CZ389" s="194"/>
      <c r="DA389" s="194"/>
      <c r="DB389" s="194"/>
      <c r="DC389" s="194"/>
      <c r="DD389" s="194"/>
      <c r="DE389" s="194"/>
      <c r="DF389" s="196"/>
      <c r="DG389" s="198"/>
      <c r="DH389" s="194"/>
      <c r="DI389" s="282"/>
      <c r="DJ389" s="282"/>
      <c r="DK389" s="282"/>
      <c r="DL389" s="282"/>
    </row>
    <row r="390" spans="1:116" s="24" customFormat="1" x14ac:dyDescent="0.3">
      <c r="A390" s="172"/>
      <c r="B390" s="172"/>
      <c r="C390" s="172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4"/>
      <c r="BZ390" s="172"/>
      <c r="CA390" s="172"/>
      <c r="CD390" s="194"/>
      <c r="CE390" s="194"/>
      <c r="CF390" s="194"/>
      <c r="CG390" s="194"/>
      <c r="CH390" s="195"/>
      <c r="CI390" s="194"/>
      <c r="CJ390" s="194"/>
      <c r="CK390" s="194"/>
      <c r="CL390" s="196"/>
      <c r="CM390" s="196"/>
      <c r="CN390" s="194"/>
      <c r="CO390" s="197"/>
      <c r="CP390" s="196"/>
      <c r="CQ390" s="196"/>
      <c r="CR390" s="196"/>
      <c r="CS390" s="196"/>
      <c r="CT390" s="196"/>
      <c r="CU390" s="196"/>
      <c r="CV390" s="194"/>
      <c r="CW390" s="194"/>
      <c r="CX390" s="194"/>
      <c r="CY390" s="194"/>
      <c r="CZ390" s="194"/>
      <c r="DA390" s="194"/>
      <c r="DB390" s="194"/>
      <c r="DC390" s="194"/>
      <c r="DD390" s="194"/>
      <c r="DE390" s="194"/>
      <c r="DF390" s="196"/>
      <c r="DG390" s="198"/>
      <c r="DH390" s="194"/>
      <c r="DI390" s="282"/>
      <c r="DJ390" s="282"/>
      <c r="DK390" s="282"/>
      <c r="DL390" s="282"/>
    </row>
    <row r="391" spans="1:116" s="24" customFormat="1" x14ac:dyDescent="0.3">
      <c r="A391" s="172"/>
      <c r="B391" s="172"/>
      <c r="C391" s="172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4"/>
      <c r="BZ391" s="172"/>
      <c r="CA391" s="172"/>
      <c r="CD391" s="194"/>
      <c r="CE391" s="194"/>
      <c r="CF391" s="194"/>
      <c r="CG391" s="194"/>
      <c r="CH391" s="195"/>
      <c r="CI391" s="194"/>
      <c r="CJ391" s="194"/>
      <c r="CK391" s="194"/>
      <c r="CL391" s="196"/>
      <c r="CM391" s="196"/>
      <c r="CN391" s="194"/>
      <c r="CO391" s="197"/>
      <c r="CP391" s="196"/>
      <c r="CQ391" s="196"/>
      <c r="CR391" s="196"/>
      <c r="CS391" s="196"/>
      <c r="CT391" s="196"/>
      <c r="CU391" s="196"/>
      <c r="CV391" s="194"/>
      <c r="CW391" s="194"/>
      <c r="CX391" s="194"/>
      <c r="CY391" s="194"/>
      <c r="CZ391" s="194"/>
      <c r="DA391" s="194"/>
      <c r="DB391" s="194"/>
      <c r="DC391" s="194"/>
      <c r="DD391" s="194"/>
      <c r="DE391" s="194"/>
      <c r="DF391" s="196"/>
      <c r="DG391" s="198"/>
      <c r="DH391" s="194"/>
      <c r="DI391" s="282"/>
      <c r="DJ391" s="282"/>
      <c r="DK391" s="282"/>
      <c r="DL391" s="282"/>
    </row>
    <row r="392" spans="1:116" s="24" customFormat="1" x14ac:dyDescent="0.3">
      <c r="A392" s="172"/>
      <c r="B392" s="172"/>
      <c r="C392" s="172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4"/>
      <c r="BZ392" s="172"/>
      <c r="CA392" s="172"/>
      <c r="CD392" s="194"/>
      <c r="CE392" s="194"/>
      <c r="CF392" s="194"/>
      <c r="CG392" s="194"/>
      <c r="CH392" s="195"/>
      <c r="CI392" s="194"/>
      <c r="CJ392" s="194"/>
      <c r="CK392" s="194"/>
      <c r="CL392" s="196"/>
      <c r="CM392" s="196"/>
      <c r="CN392" s="194"/>
      <c r="CO392" s="197"/>
      <c r="CP392" s="196"/>
      <c r="CQ392" s="196"/>
      <c r="CR392" s="196"/>
      <c r="CS392" s="196"/>
      <c r="CT392" s="196"/>
      <c r="CU392" s="196"/>
      <c r="CV392" s="194"/>
      <c r="CW392" s="194"/>
      <c r="CX392" s="194"/>
      <c r="CY392" s="194"/>
      <c r="CZ392" s="194"/>
      <c r="DA392" s="194"/>
      <c r="DB392" s="194"/>
      <c r="DC392" s="194"/>
      <c r="DD392" s="194"/>
      <c r="DE392" s="194"/>
      <c r="DF392" s="196"/>
      <c r="DG392" s="198"/>
      <c r="DH392" s="194"/>
      <c r="DI392" s="282"/>
      <c r="DJ392" s="282"/>
      <c r="DK392" s="282"/>
      <c r="DL392" s="282"/>
    </row>
    <row r="393" spans="1:116" s="24" customFormat="1" x14ac:dyDescent="0.3">
      <c r="A393" s="172"/>
      <c r="B393" s="172"/>
      <c r="C393" s="172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4"/>
      <c r="BZ393" s="172"/>
      <c r="CA393" s="172"/>
      <c r="CD393" s="194"/>
      <c r="CE393" s="194"/>
      <c r="CF393" s="194"/>
      <c r="CG393" s="194"/>
      <c r="CH393" s="195"/>
      <c r="CI393" s="194"/>
      <c r="CJ393" s="194"/>
      <c r="CK393" s="194"/>
      <c r="CL393" s="196"/>
      <c r="CM393" s="196"/>
      <c r="CN393" s="194"/>
      <c r="CO393" s="197"/>
      <c r="CP393" s="196"/>
      <c r="CQ393" s="196"/>
      <c r="CR393" s="196"/>
      <c r="CS393" s="196"/>
      <c r="CT393" s="196"/>
      <c r="CU393" s="196"/>
      <c r="CV393" s="194"/>
      <c r="CW393" s="194"/>
      <c r="CX393" s="194"/>
      <c r="CY393" s="194"/>
      <c r="CZ393" s="194"/>
      <c r="DA393" s="194"/>
      <c r="DB393" s="194"/>
      <c r="DC393" s="194"/>
      <c r="DD393" s="194"/>
      <c r="DE393" s="194"/>
      <c r="DF393" s="196"/>
      <c r="DG393" s="198"/>
      <c r="DH393" s="194"/>
      <c r="DI393" s="282"/>
      <c r="DJ393" s="282"/>
      <c r="DK393" s="282"/>
      <c r="DL393" s="282"/>
    </row>
    <row r="394" spans="1:116" s="24" customFormat="1" x14ac:dyDescent="0.3">
      <c r="A394" s="172"/>
      <c r="B394" s="172"/>
      <c r="C394" s="172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4"/>
      <c r="BZ394" s="172"/>
      <c r="CA394" s="172"/>
      <c r="CD394" s="194"/>
      <c r="CE394" s="194"/>
      <c r="CF394" s="194"/>
      <c r="CG394" s="194"/>
      <c r="CH394" s="195"/>
      <c r="CI394" s="194"/>
      <c r="CJ394" s="194"/>
      <c r="CK394" s="194"/>
      <c r="CL394" s="196"/>
      <c r="CM394" s="196"/>
      <c r="CN394" s="194"/>
      <c r="CO394" s="197"/>
      <c r="CP394" s="196"/>
      <c r="CQ394" s="196"/>
      <c r="CR394" s="196"/>
      <c r="CS394" s="196"/>
      <c r="CT394" s="196"/>
      <c r="CU394" s="196"/>
      <c r="CV394" s="194"/>
      <c r="CW394" s="194"/>
      <c r="CX394" s="194"/>
      <c r="CY394" s="194"/>
      <c r="CZ394" s="194"/>
      <c r="DA394" s="194"/>
      <c r="DB394" s="194"/>
      <c r="DC394" s="194"/>
      <c r="DD394" s="194"/>
      <c r="DE394" s="194"/>
      <c r="DF394" s="196"/>
      <c r="DG394" s="198"/>
      <c r="DH394" s="194"/>
      <c r="DI394" s="282"/>
      <c r="DJ394" s="282"/>
      <c r="DK394" s="282"/>
      <c r="DL394" s="282"/>
    </row>
    <row r="395" spans="1:116" s="24" customFormat="1" x14ac:dyDescent="0.3">
      <c r="A395" s="172"/>
      <c r="B395" s="172"/>
      <c r="C395" s="172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4"/>
      <c r="BZ395" s="172"/>
      <c r="CA395" s="172"/>
      <c r="CD395" s="194"/>
      <c r="CE395" s="194"/>
      <c r="CF395" s="194"/>
      <c r="CG395" s="194"/>
      <c r="CH395" s="195"/>
      <c r="CI395" s="194"/>
      <c r="CJ395" s="194"/>
      <c r="CK395" s="194"/>
      <c r="CL395" s="196"/>
      <c r="CM395" s="196"/>
      <c r="CN395" s="194"/>
      <c r="CO395" s="197"/>
      <c r="CP395" s="196"/>
      <c r="CQ395" s="196"/>
      <c r="CR395" s="196"/>
      <c r="CS395" s="196"/>
      <c r="CT395" s="196"/>
      <c r="CU395" s="196"/>
      <c r="CV395" s="194"/>
      <c r="CW395" s="194"/>
      <c r="CX395" s="194"/>
      <c r="CY395" s="194"/>
      <c r="CZ395" s="194"/>
      <c r="DA395" s="194"/>
      <c r="DB395" s="194"/>
      <c r="DC395" s="194"/>
      <c r="DD395" s="194"/>
      <c r="DE395" s="194"/>
      <c r="DF395" s="196"/>
      <c r="DG395" s="198"/>
      <c r="DH395" s="194"/>
      <c r="DI395" s="282"/>
      <c r="DJ395" s="282"/>
      <c r="DK395" s="282"/>
      <c r="DL395" s="282"/>
    </row>
    <row r="396" spans="1:116" s="24" customFormat="1" x14ac:dyDescent="0.3">
      <c r="A396" s="172"/>
      <c r="B396" s="172"/>
      <c r="C396" s="172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4"/>
      <c r="BZ396" s="172"/>
      <c r="CA396" s="172"/>
      <c r="CD396" s="194"/>
      <c r="CE396" s="194"/>
      <c r="CF396" s="194"/>
      <c r="CG396" s="194"/>
      <c r="CH396" s="195"/>
      <c r="CI396" s="194"/>
      <c r="CJ396" s="194"/>
      <c r="CK396" s="194"/>
      <c r="CL396" s="196"/>
      <c r="CM396" s="196"/>
      <c r="CN396" s="194"/>
      <c r="CO396" s="197"/>
      <c r="CP396" s="196"/>
      <c r="CQ396" s="196"/>
      <c r="CR396" s="196"/>
      <c r="CS396" s="196"/>
      <c r="CT396" s="196"/>
      <c r="CU396" s="196"/>
      <c r="CV396" s="194"/>
      <c r="CW396" s="194"/>
      <c r="CX396" s="194"/>
      <c r="CY396" s="194"/>
      <c r="CZ396" s="194"/>
      <c r="DA396" s="194"/>
      <c r="DB396" s="194"/>
      <c r="DC396" s="194"/>
      <c r="DD396" s="194"/>
      <c r="DE396" s="194"/>
      <c r="DF396" s="196"/>
      <c r="DG396" s="198"/>
      <c r="DH396" s="194"/>
      <c r="DI396" s="282"/>
      <c r="DJ396" s="282"/>
      <c r="DK396" s="282"/>
      <c r="DL396" s="282"/>
    </row>
    <row r="397" spans="1:116" s="24" customFormat="1" x14ac:dyDescent="0.3">
      <c r="A397" s="172"/>
      <c r="B397" s="172"/>
      <c r="C397" s="172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4"/>
      <c r="BZ397" s="172"/>
      <c r="CA397" s="172"/>
      <c r="CD397" s="194"/>
      <c r="CE397" s="194"/>
      <c r="CF397" s="194"/>
      <c r="CG397" s="194"/>
      <c r="CH397" s="195"/>
      <c r="CI397" s="194"/>
      <c r="CJ397" s="194"/>
      <c r="CK397" s="194"/>
      <c r="CL397" s="196"/>
      <c r="CM397" s="196"/>
      <c r="CN397" s="194"/>
      <c r="CO397" s="197"/>
      <c r="CP397" s="196"/>
      <c r="CQ397" s="196"/>
      <c r="CR397" s="196"/>
      <c r="CS397" s="196"/>
      <c r="CT397" s="196"/>
      <c r="CU397" s="196"/>
      <c r="CV397" s="194"/>
      <c r="CW397" s="194"/>
      <c r="CX397" s="194"/>
      <c r="CY397" s="194"/>
      <c r="CZ397" s="194"/>
      <c r="DA397" s="194"/>
      <c r="DB397" s="194"/>
      <c r="DC397" s="194"/>
      <c r="DD397" s="194"/>
      <c r="DE397" s="194"/>
      <c r="DF397" s="196"/>
      <c r="DG397" s="198"/>
      <c r="DH397" s="194"/>
      <c r="DI397" s="282"/>
      <c r="DJ397" s="282"/>
      <c r="DK397" s="282"/>
      <c r="DL397" s="282"/>
    </row>
    <row r="398" spans="1:116" s="24" customFormat="1" x14ac:dyDescent="0.3">
      <c r="A398" s="172"/>
      <c r="B398" s="172"/>
      <c r="C398" s="172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4"/>
      <c r="BZ398" s="172"/>
      <c r="CA398" s="172"/>
      <c r="CD398" s="194"/>
      <c r="CE398" s="194"/>
      <c r="CF398" s="194"/>
      <c r="CG398" s="194"/>
      <c r="CH398" s="195"/>
      <c r="CI398" s="194"/>
      <c r="CJ398" s="194"/>
      <c r="CK398" s="194"/>
      <c r="CL398" s="196"/>
      <c r="CM398" s="196"/>
      <c r="CN398" s="194"/>
      <c r="CO398" s="197"/>
      <c r="CP398" s="196"/>
      <c r="CQ398" s="196"/>
      <c r="CR398" s="196"/>
      <c r="CS398" s="196"/>
      <c r="CT398" s="196"/>
      <c r="CU398" s="196"/>
      <c r="CV398" s="194"/>
      <c r="CW398" s="194"/>
      <c r="CX398" s="194"/>
      <c r="CY398" s="194"/>
      <c r="CZ398" s="194"/>
      <c r="DA398" s="194"/>
      <c r="DB398" s="194"/>
      <c r="DC398" s="194"/>
      <c r="DD398" s="194"/>
      <c r="DE398" s="194"/>
      <c r="DF398" s="196"/>
      <c r="DG398" s="198"/>
      <c r="DH398" s="194"/>
      <c r="DI398" s="282"/>
      <c r="DJ398" s="282"/>
      <c r="DK398" s="282"/>
      <c r="DL398" s="282"/>
    </row>
    <row r="399" spans="1:116" s="24" customFormat="1" x14ac:dyDescent="0.3">
      <c r="A399" s="172"/>
      <c r="B399" s="172"/>
      <c r="C399" s="172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  <c r="BT399" s="172"/>
      <c r="BU399" s="172"/>
      <c r="BV399" s="172"/>
      <c r="BW399" s="172"/>
      <c r="BX399" s="172"/>
      <c r="BY399" s="174"/>
      <c r="BZ399" s="172"/>
      <c r="CA399" s="172"/>
      <c r="CD399" s="194"/>
      <c r="CE399" s="194"/>
      <c r="CF399" s="194"/>
      <c r="CG399" s="194"/>
      <c r="CH399" s="195"/>
      <c r="CI399" s="194"/>
      <c r="CJ399" s="194"/>
      <c r="CK399" s="194"/>
      <c r="CL399" s="196"/>
      <c r="CM399" s="196"/>
      <c r="CN399" s="194"/>
      <c r="CO399" s="197"/>
      <c r="CP399" s="196"/>
      <c r="CQ399" s="196"/>
      <c r="CR399" s="196"/>
      <c r="CS399" s="196"/>
      <c r="CT399" s="196"/>
      <c r="CU399" s="196"/>
      <c r="CV399" s="194"/>
      <c r="CW399" s="194"/>
      <c r="CX399" s="194"/>
      <c r="CY399" s="194"/>
      <c r="CZ399" s="194"/>
      <c r="DA399" s="194"/>
      <c r="DB399" s="194"/>
      <c r="DC399" s="194"/>
      <c r="DD399" s="194"/>
      <c r="DE399" s="194"/>
      <c r="DF399" s="196"/>
      <c r="DG399" s="198"/>
      <c r="DH399" s="194"/>
      <c r="DI399" s="282"/>
      <c r="DJ399" s="282"/>
      <c r="DK399" s="282"/>
      <c r="DL399" s="282"/>
    </row>
    <row r="400" spans="1:116" s="24" customFormat="1" x14ac:dyDescent="0.3">
      <c r="A400" s="172"/>
      <c r="B400" s="172"/>
      <c r="C400" s="172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  <c r="BT400" s="172"/>
      <c r="BU400" s="172"/>
      <c r="BV400" s="172"/>
      <c r="BW400" s="172"/>
      <c r="BX400" s="172"/>
      <c r="BY400" s="174"/>
      <c r="BZ400" s="172"/>
      <c r="CA400" s="172"/>
      <c r="CD400" s="194"/>
      <c r="CE400" s="194"/>
      <c r="CF400" s="194"/>
      <c r="CG400" s="194"/>
      <c r="CH400" s="195"/>
      <c r="CI400" s="194"/>
      <c r="CJ400" s="194"/>
      <c r="CK400" s="194"/>
      <c r="CL400" s="196"/>
      <c r="CM400" s="196"/>
      <c r="CN400" s="194"/>
      <c r="CO400" s="197"/>
      <c r="CP400" s="196"/>
      <c r="CQ400" s="196"/>
      <c r="CR400" s="196"/>
      <c r="CS400" s="196"/>
      <c r="CT400" s="196"/>
      <c r="CU400" s="196"/>
      <c r="CV400" s="194"/>
      <c r="CW400" s="194"/>
      <c r="CX400" s="194"/>
      <c r="CY400" s="194"/>
      <c r="CZ400" s="194"/>
      <c r="DA400" s="194"/>
      <c r="DB400" s="194"/>
      <c r="DC400" s="194"/>
      <c r="DD400" s="194"/>
      <c r="DE400" s="194"/>
      <c r="DF400" s="196"/>
      <c r="DG400" s="198"/>
      <c r="DH400" s="194"/>
      <c r="DI400" s="282"/>
      <c r="DJ400" s="282"/>
      <c r="DK400" s="282"/>
      <c r="DL400" s="282"/>
    </row>
    <row r="401" spans="1:116" s="24" customFormat="1" x14ac:dyDescent="0.3">
      <c r="A401" s="172"/>
      <c r="B401" s="172"/>
      <c r="C401" s="172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2"/>
      <c r="BV401" s="172"/>
      <c r="BW401" s="172"/>
      <c r="BX401" s="172"/>
      <c r="BY401" s="174"/>
      <c r="BZ401" s="172"/>
      <c r="CA401" s="172"/>
      <c r="CD401" s="194"/>
      <c r="CE401" s="194"/>
      <c r="CF401" s="194"/>
      <c r="CG401" s="194"/>
      <c r="CH401" s="195"/>
      <c r="CI401" s="194"/>
      <c r="CJ401" s="194"/>
      <c r="CK401" s="194"/>
      <c r="CL401" s="196"/>
      <c r="CM401" s="196"/>
      <c r="CN401" s="194"/>
      <c r="CO401" s="197"/>
      <c r="CP401" s="196"/>
      <c r="CQ401" s="196"/>
      <c r="CR401" s="196"/>
      <c r="CS401" s="196"/>
      <c r="CT401" s="196"/>
      <c r="CU401" s="196"/>
      <c r="CV401" s="194"/>
      <c r="CW401" s="194"/>
      <c r="CX401" s="194"/>
      <c r="CY401" s="194"/>
      <c r="CZ401" s="194"/>
      <c r="DA401" s="194"/>
      <c r="DB401" s="194"/>
      <c r="DC401" s="194"/>
      <c r="DD401" s="194"/>
      <c r="DE401" s="194"/>
      <c r="DF401" s="196"/>
      <c r="DG401" s="198"/>
      <c r="DH401" s="194"/>
      <c r="DI401" s="282"/>
      <c r="DJ401" s="282"/>
      <c r="DK401" s="282"/>
      <c r="DL401" s="282"/>
    </row>
    <row r="402" spans="1:116" s="24" customFormat="1" x14ac:dyDescent="0.3">
      <c r="A402" s="172"/>
      <c r="B402" s="172"/>
      <c r="C402" s="172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  <c r="BT402" s="172"/>
      <c r="BU402" s="172"/>
      <c r="BV402" s="172"/>
      <c r="BW402" s="172"/>
      <c r="BX402" s="172"/>
      <c r="BY402" s="174"/>
      <c r="BZ402" s="172"/>
      <c r="CA402" s="172"/>
      <c r="CD402" s="194"/>
      <c r="CE402" s="194"/>
      <c r="CF402" s="194"/>
      <c r="CG402" s="194"/>
      <c r="CH402" s="195"/>
      <c r="CI402" s="194"/>
      <c r="CJ402" s="194"/>
      <c r="CK402" s="194"/>
      <c r="CL402" s="196"/>
      <c r="CM402" s="196"/>
      <c r="CN402" s="194"/>
      <c r="CO402" s="197"/>
      <c r="CP402" s="196"/>
      <c r="CQ402" s="196"/>
      <c r="CR402" s="196"/>
      <c r="CS402" s="196"/>
      <c r="CT402" s="196"/>
      <c r="CU402" s="196"/>
      <c r="CV402" s="194"/>
      <c r="CW402" s="194"/>
      <c r="CX402" s="194"/>
      <c r="CY402" s="194"/>
      <c r="CZ402" s="194"/>
      <c r="DA402" s="194"/>
      <c r="DB402" s="194"/>
      <c r="DC402" s="194"/>
      <c r="DD402" s="194"/>
      <c r="DE402" s="194"/>
      <c r="DF402" s="196"/>
      <c r="DG402" s="198"/>
      <c r="DH402" s="194"/>
      <c r="DI402" s="282"/>
      <c r="DJ402" s="282"/>
      <c r="DK402" s="282"/>
      <c r="DL402" s="282"/>
    </row>
    <row r="403" spans="1:116" s="24" customFormat="1" x14ac:dyDescent="0.3">
      <c r="A403" s="172"/>
      <c r="B403" s="172"/>
      <c r="C403" s="172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  <c r="BT403" s="172"/>
      <c r="BU403" s="172"/>
      <c r="BV403" s="172"/>
      <c r="BW403" s="172"/>
      <c r="BX403" s="172"/>
      <c r="BY403" s="174"/>
      <c r="BZ403" s="172"/>
      <c r="CA403" s="172"/>
      <c r="CD403" s="194"/>
      <c r="CE403" s="194"/>
      <c r="CF403" s="194"/>
      <c r="CG403" s="194"/>
      <c r="CH403" s="195"/>
      <c r="CI403" s="194"/>
      <c r="CJ403" s="194"/>
      <c r="CK403" s="194"/>
      <c r="CL403" s="196"/>
      <c r="CM403" s="196"/>
      <c r="CN403" s="194"/>
      <c r="CO403" s="197"/>
      <c r="CP403" s="196"/>
      <c r="CQ403" s="196"/>
      <c r="CR403" s="196"/>
      <c r="CS403" s="196"/>
      <c r="CT403" s="196"/>
      <c r="CU403" s="196"/>
      <c r="CV403" s="194"/>
      <c r="CW403" s="194"/>
      <c r="CX403" s="194"/>
      <c r="CY403" s="194"/>
      <c r="CZ403" s="194"/>
      <c r="DA403" s="194"/>
      <c r="DB403" s="194"/>
      <c r="DC403" s="194"/>
      <c r="DD403" s="194"/>
      <c r="DE403" s="194"/>
      <c r="DF403" s="196"/>
      <c r="DG403" s="198"/>
      <c r="DH403" s="194"/>
      <c r="DI403" s="282"/>
      <c r="DJ403" s="282"/>
      <c r="DK403" s="282"/>
      <c r="DL403" s="282"/>
    </row>
    <row r="404" spans="1:116" s="24" customFormat="1" x14ac:dyDescent="0.3">
      <c r="A404" s="172"/>
      <c r="B404" s="172"/>
      <c r="C404" s="172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4"/>
      <c r="BZ404" s="172"/>
      <c r="CA404" s="172"/>
      <c r="CD404" s="194"/>
      <c r="CE404" s="194"/>
      <c r="CF404" s="194"/>
      <c r="CG404" s="194"/>
      <c r="CH404" s="195"/>
      <c r="CI404" s="194"/>
      <c r="CJ404" s="194"/>
      <c r="CK404" s="194"/>
      <c r="CL404" s="196"/>
      <c r="CM404" s="196"/>
      <c r="CN404" s="194"/>
      <c r="CO404" s="197"/>
      <c r="CP404" s="196"/>
      <c r="CQ404" s="196"/>
      <c r="CR404" s="196"/>
      <c r="CS404" s="196"/>
      <c r="CT404" s="196"/>
      <c r="CU404" s="196"/>
      <c r="CV404" s="194"/>
      <c r="CW404" s="194"/>
      <c r="CX404" s="194"/>
      <c r="CY404" s="194"/>
      <c r="CZ404" s="194"/>
      <c r="DA404" s="194"/>
      <c r="DB404" s="194"/>
      <c r="DC404" s="194"/>
      <c r="DD404" s="194"/>
      <c r="DE404" s="194"/>
      <c r="DF404" s="196"/>
      <c r="DG404" s="198"/>
      <c r="DH404" s="194"/>
      <c r="DI404" s="282"/>
      <c r="DJ404" s="282"/>
      <c r="DK404" s="282"/>
      <c r="DL404" s="282"/>
    </row>
    <row r="405" spans="1:116" s="24" customFormat="1" x14ac:dyDescent="0.3">
      <c r="A405" s="172"/>
      <c r="B405" s="172"/>
      <c r="C405" s="172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  <c r="BT405" s="172"/>
      <c r="BU405" s="172"/>
      <c r="BV405" s="172"/>
      <c r="BW405" s="172"/>
      <c r="BX405" s="172"/>
      <c r="BY405" s="174"/>
      <c r="BZ405" s="172"/>
      <c r="CA405" s="172"/>
      <c r="CD405" s="194"/>
      <c r="CE405" s="194"/>
      <c r="CF405" s="194"/>
      <c r="CG405" s="194"/>
      <c r="CH405" s="195"/>
      <c r="CI405" s="194"/>
      <c r="CJ405" s="194"/>
      <c r="CK405" s="194"/>
      <c r="CL405" s="196"/>
      <c r="CM405" s="196"/>
      <c r="CN405" s="194"/>
      <c r="CO405" s="197"/>
      <c r="CP405" s="196"/>
      <c r="CQ405" s="196"/>
      <c r="CR405" s="196"/>
      <c r="CS405" s="196"/>
      <c r="CT405" s="196"/>
      <c r="CU405" s="196"/>
      <c r="CV405" s="194"/>
      <c r="CW405" s="194"/>
      <c r="CX405" s="194"/>
      <c r="CY405" s="194"/>
      <c r="CZ405" s="194"/>
      <c r="DA405" s="194"/>
      <c r="DB405" s="194"/>
      <c r="DC405" s="194"/>
      <c r="DD405" s="194"/>
      <c r="DE405" s="194"/>
      <c r="DF405" s="196"/>
      <c r="DG405" s="198"/>
      <c r="DH405" s="194"/>
      <c r="DI405" s="282"/>
      <c r="DJ405" s="282"/>
      <c r="DK405" s="282"/>
      <c r="DL405" s="282"/>
    </row>
    <row r="406" spans="1:116" s="24" customFormat="1" x14ac:dyDescent="0.3">
      <c r="A406" s="172"/>
      <c r="B406" s="172"/>
      <c r="C406" s="172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4"/>
      <c r="BZ406" s="172"/>
      <c r="CA406" s="172"/>
      <c r="CD406" s="194"/>
      <c r="CE406" s="194"/>
      <c r="CF406" s="194"/>
      <c r="CG406" s="194"/>
      <c r="CH406" s="195"/>
      <c r="CI406" s="194"/>
      <c r="CJ406" s="194"/>
      <c r="CK406" s="194"/>
      <c r="CL406" s="196"/>
      <c r="CM406" s="196"/>
      <c r="CN406" s="194"/>
      <c r="CO406" s="197"/>
      <c r="CP406" s="196"/>
      <c r="CQ406" s="196"/>
      <c r="CR406" s="196"/>
      <c r="CS406" s="196"/>
      <c r="CT406" s="196"/>
      <c r="CU406" s="196"/>
      <c r="CV406" s="194"/>
      <c r="CW406" s="194"/>
      <c r="CX406" s="194"/>
      <c r="CY406" s="194"/>
      <c r="CZ406" s="194"/>
      <c r="DA406" s="194"/>
      <c r="DB406" s="194"/>
      <c r="DC406" s="194"/>
      <c r="DD406" s="194"/>
      <c r="DE406" s="194"/>
      <c r="DF406" s="196"/>
      <c r="DG406" s="198"/>
      <c r="DH406" s="194"/>
      <c r="DI406" s="282"/>
      <c r="DJ406" s="282"/>
      <c r="DK406" s="282"/>
      <c r="DL406" s="282"/>
    </row>
    <row r="407" spans="1:116" s="24" customFormat="1" x14ac:dyDescent="0.3">
      <c r="A407" s="172"/>
      <c r="B407" s="172"/>
      <c r="C407" s="172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  <c r="BT407" s="172"/>
      <c r="BU407" s="172"/>
      <c r="BV407" s="172"/>
      <c r="BW407" s="172"/>
      <c r="BX407" s="172"/>
      <c r="BY407" s="174"/>
      <c r="BZ407" s="172"/>
      <c r="CA407" s="172"/>
      <c r="CD407" s="194"/>
      <c r="CE407" s="194"/>
      <c r="CF407" s="194"/>
      <c r="CG407" s="194"/>
      <c r="CH407" s="195"/>
      <c r="CI407" s="194"/>
      <c r="CJ407" s="194"/>
      <c r="CK407" s="194"/>
      <c r="CL407" s="196"/>
      <c r="CM407" s="196"/>
      <c r="CN407" s="194"/>
      <c r="CO407" s="197"/>
      <c r="CP407" s="196"/>
      <c r="CQ407" s="196"/>
      <c r="CR407" s="196"/>
      <c r="CS407" s="196"/>
      <c r="CT407" s="196"/>
      <c r="CU407" s="196"/>
      <c r="CV407" s="194"/>
      <c r="CW407" s="194"/>
      <c r="CX407" s="194"/>
      <c r="CY407" s="194"/>
      <c r="CZ407" s="194"/>
      <c r="DA407" s="194"/>
      <c r="DB407" s="194"/>
      <c r="DC407" s="194"/>
      <c r="DD407" s="194"/>
      <c r="DE407" s="194"/>
      <c r="DF407" s="196"/>
      <c r="DG407" s="198"/>
      <c r="DH407" s="194"/>
      <c r="DI407" s="282"/>
      <c r="DJ407" s="282"/>
      <c r="DK407" s="282"/>
      <c r="DL407" s="282"/>
    </row>
    <row r="408" spans="1:116" s="24" customFormat="1" x14ac:dyDescent="0.3">
      <c r="A408" s="172"/>
      <c r="B408" s="172"/>
      <c r="C408" s="172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  <c r="BT408" s="172"/>
      <c r="BU408" s="172"/>
      <c r="BV408" s="172"/>
      <c r="BW408" s="172"/>
      <c r="BX408" s="172"/>
      <c r="BY408" s="174"/>
      <c r="BZ408" s="172"/>
      <c r="CA408" s="172"/>
      <c r="CD408" s="194"/>
      <c r="CE408" s="194"/>
      <c r="CF408" s="194"/>
      <c r="CG408" s="194"/>
      <c r="CH408" s="195"/>
      <c r="CI408" s="194"/>
      <c r="CJ408" s="194"/>
      <c r="CK408" s="194"/>
      <c r="CL408" s="196"/>
      <c r="CM408" s="196"/>
      <c r="CN408" s="194"/>
      <c r="CO408" s="197"/>
      <c r="CP408" s="196"/>
      <c r="CQ408" s="196"/>
      <c r="CR408" s="196"/>
      <c r="CS408" s="196"/>
      <c r="CT408" s="196"/>
      <c r="CU408" s="196"/>
      <c r="CV408" s="194"/>
      <c r="CW408" s="194"/>
      <c r="CX408" s="194"/>
      <c r="CY408" s="194"/>
      <c r="CZ408" s="194"/>
      <c r="DA408" s="194"/>
      <c r="DB408" s="194"/>
      <c r="DC408" s="194"/>
      <c r="DD408" s="194"/>
      <c r="DE408" s="194"/>
      <c r="DF408" s="196"/>
      <c r="DG408" s="198"/>
      <c r="DH408" s="194"/>
      <c r="DI408" s="282"/>
      <c r="DJ408" s="282"/>
      <c r="DK408" s="282"/>
      <c r="DL408" s="282"/>
    </row>
    <row r="409" spans="1:116" s="24" customFormat="1" x14ac:dyDescent="0.3">
      <c r="A409" s="172"/>
      <c r="B409" s="172"/>
      <c r="C409" s="172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4"/>
      <c r="BZ409" s="172"/>
      <c r="CA409" s="172"/>
      <c r="CD409" s="194"/>
      <c r="CE409" s="194"/>
      <c r="CF409" s="194"/>
      <c r="CG409" s="194"/>
      <c r="CH409" s="195"/>
      <c r="CI409" s="194"/>
      <c r="CJ409" s="194"/>
      <c r="CK409" s="194"/>
      <c r="CL409" s="196"/>
      <c r="CM409" s="196"/>
      <c r="CN409" s="194"/>
      <c r="CO409" s="197"/>
      <c r="CP409" s="196"/>
      <c r="CQ409" s="196"/>
      <c r="CR409" s="196"/>
      <c r="CS409" s="196"/>
      <c r="CT409" s="196"/>
      <c r="CU409" s="196"/>
      <c r="CV409" s="194"/>
      <c r="CW409" s="194"/>
      <c r="CX409" s="194"/>
      <c r="CY409" s="194"/>
      <c r="CZ409" s="194"/>
      <c r="DA409" s="194"/>
      <c r="DB409" s="194"/>
      <c r="DC409" s="194"/>
      <c r="DD409" s="194"/>
      <c r="DE409" s="194"/>
      <c r="DF409" s="196"/>
      <c r="DG409" s="198"/>
      <c r="DH409" s="194"/>
      <c r="DI409" s="282"/>
      <c r="DJ409" s="282"/>
      <c r="DK409" s="282"/>
      <c r="DL409" s="282"/>
    </row>
    <row r="410" spans="1:116" s="24" customFormat="1" x14ac:dyDescent="0.3">
      <c r="A410" s="172"/>
      <c r="B410" s="172"/>
      <c r="C410" s="172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4"/>
      <c r="BZ410" s="172"/>
      <c r="CA410" s="172"/>
      <c r="CD410" s="194"/>
      <c r="CE410" s="194"/>
      <c r="CF410" s="194"/>
      <c r="CG410" s="194"/>
      <c r="CH410" s="195"/>
      <c r="CI410" s="194"/>
      <c r="CJ410" s="194"/>
      <c r="CK410" s="194"/>
      <c r="CL410" s="196"/>
      <c r="CM410" s="196"/>
      <c r="CN410" s="194"/>
      <c r="CO410" s="197"/>
      <c r="CP410" s="196"/>
      <c r="CQ410" s="196"/>
      <c r="CR410" s="196"/>
      <c r="CS410" s="196"/>
      <c r="CT410" s="196"/>
      <c r="CU410" s="196"/>
      <c r="CV410" s="194"/>
      <c r="CW410" s="194"/>
      <c r="CX410" s="194"/>
      <c r="CY410" s="194"/>
      <c r="CZ410" s="194"/>
      <c r="DA410" s="194"/>
      <c r="DB410" s="194"/>
      <c r="DC410" s="194"/>
      <c r="DD410" s="194"/>
      <c r="DE410" s="194"/>
      <c r="DF410" s="196"/>
      <c r="DG410" s="198"/>
      <c r="DH410" s="194"/>
      <c r="DI410" s="282"/>
      <c r="DJ410" s="282"/>
      <c r="DK410" s="282"/>
      <c r="DL410" s="282"/>
    </row>
    <row r="411" spans="1:116" s="24" customFormat="1" x14ac:dyDescent="0.3">
      <c r="A411" s="172"/>
      <c r="B411" s="172"/>
      <c r="C411" s="172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/>
      <c r="BX411" s="172"/>
      <c r="BY411" s="174"/>
      <c r="BZ411" s="172"/>
      <c r="CA411" s="172"/>
      <c r="CD411" s="194"/>
      <c r="CE411" s="194"/>
      <c r="CF411" s="194"/>
      <c r="CG411" s="194"/>
      <c r="CH411" s="195"/>
      <c r="CI411" s="194"/>
      <c r="CJ411" s="194"/>
      <c r="CK411" s="194"/>
      <c r="CL411" s="196"/>
      <c r="CM411" s="196"/>
      <c r="CN411" s="194"/>
      <c r="CO411" s="197"/>
      <c r="CP411" s="196"/>
      <c r="CQ411" s="196"/>
      <c r="CR411" s="196"/>
      <c r="CS411" s="196"/>
      <c r="CT411" s="196"/>
      <c r="CU411" s="196"/>
      <c r="CV411" s="194"/>
      <c r="CW411" s="194"/>
      <c r="CX411" s="194"/>
      <c r="CY411" s="194"/>
      <c r="CZ411" s="194"/>
      <c r="DA411" s="194"/>
      <c r="DB411" s="194"/>
      <c r="DC411" s="194"/>
      <c r="DD411" s="194"/>
      <c r="DE411" s="194"/>
      <c r="DF411" s="196"/>
      <c r="DG411" s="198"/>
      <c r="DH411" s="194"/>
      <c r="DI411" s="282"/>
      <c r="DJ411" s="282"/>
      <c r="DK411" s="282"/>
      <c r="DL411" s="282"/>
    </row>
    <row r="412" spans="1:116" s="24" customFormat="1" x14ac:dyDescent="0.3">
      <c r="A412" s="172"/>
      <c r="B412" s="172"/>
      <c r="C412" s="172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/>
      <c r="BW412" s="172"/>
      <c r="BX412" s="172"/>
      <c r="BY412" s="174"/>
      <c r="BZ412" s="172"/>
      <c r="CA412" s="172"/>
      <c r="CD412" s="194"/>
      <c r="CE412" s="194"/>
      <c r="CF412" s="194"/>
      <c r="CG412" s="194"/>
      <c r="CH412" s="195"/>
      <c r="CI412" s="194"/>
      <c r="CJ412" s="194"/>
      <c r="CK412" s="194"/>
      <c r="CL412" s="196"/>
      <c r="CM412" s="196"/>
      <c r="CN412" s="194"/>
      <c r="CO412" s="197"/>
      <c r="CP412" s="196"/>
      <c r="CQ412" s="196"/>
      <c r="CR412" s="196"/>
      <c r="CS412" s="196"/>
      <c r="CT412" s="196"/>
      <c r="CU412" s="196"/>
      <c r="CV412" s="194"/>
      <c r="CW412" s="194"/>
      <c r="CX412" s="194"/>
      <c r="CY412" s="194"/>
      <c r="CZ412" s="194"/>
      <c r="DA412" s="194"/>
      <c r="DB412" s="194"/>
      <c r="DC412" s="194"/>
      <c r="DD412" s="194"/>
      <c r="DE412" s="194"/>
      <c r="DF412" s="196"/>
      <c r="DG412" s="198"/>
      <c r="DH412" s="194"/>
      <c r="DI412" s="282"/>
      <c r="DJ412" s="282"/>
      <c r="DK412" s="282"/>
      <c r="DL412" s="282"/>
    </row>
    <row r="413" spans="1:116" s="24" customFormat="1" x14ac:dyDescent="0.3">
      <c r="A413" s="172"/>
      <c r="B413" s="172"/>
      <c r="C413" s="172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  <c r="BT413" s="172"/>
      <c r="BU413" s="172"/>
      <c r="BV413" s="172"/>
      <c r="BW413" s="172"/>
      <c r="BX413" s="172"/>
      <c r="BY413" s="174"/>
      <c r="BZ413" s="172"/>
      <c r="CA413" s="172"/>
      <c r="CD413" s="194"/>
      <c r="CE413" s="194"/>
      <c r="CF413" s="194"/>
      <c r="CG413" s="194"/>
      <c r="CH413" s="195"/>
      <c r="CI413" s="194"/>
      <c r="CJ413" s="194"/>
      <c r="CK413" s="194"/>
      <c r="CL413" s="196"/>
      <c r="CM413" s="196"/>
      <c r="CN413" s="194"/>
      <c r="CO413" s="197"/>
      <c r="CP413" s="196"/>
      <c r="CQ413" s="196"/>
      <c r="CR413" s="196"/>
      <c r="CS413" s="196"/>
      <c r="CT413" s="196"/>
      <c r="CU413" s="196"/>
      <c r="CV413" s="194"/>
      <c r="CW413" s="194"/>
      <c r="CX413" s="194"/>
      <c r="CY413" s="194"/>
      <c r="CZ413" s="194"/>
      <c r="DA413" s="194"/>
      <c r="DB413" s="194"/>
      <c r="DC413" s="194"/>
      <c r="DD413" s="194"/>
      <c r="DE413" s="194"/>
      <c r="DF413" s="196"/>
      <c r="DG413" s="198"/>
      <c r="DH413" s="194"/>
      <c r="DI413" s="282"/>
      <c r="DJ413" s="282"/>
      <c r="DK413" s="282"/>
      <c r="DL413" s="282"/>
    </row>
    <row r="414" spans="1:116" s="24" customFormat="1" x14ac:dyDescent="0.3">
      <c r="A414" s="172"/>
      <c r="B414" s="172"/>
      <c r="C414" s="172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  <c r="BT414" s="172"/>
      <c r="BU414" s="172"/>
      <c r="BV414" s="172"/>
      <c r="BW414" s="172"/>
      <c r="BX414" s="172"/>
      <c r="BY414" s="174"/>
      <c r="BZ414" s="172"/>
      <c r="CA414" s="172"/>
      <c r="CD414" s="194"/>
      <c r="CE414" s="194"/>
      <c r="CF414" s="194"/>
      <c r="CG414" s="194"/>
      <c r="CH414" s="195"/>
      <c r="CI414" s="194"/>
      <c r="CJ414" s="194"/>
      <c r="CK414" s="194"/>
      <c r="CL414" s="196"/>
      <c r="CM414" s="196"/>
      <c r="CN414" s="194"/>
      <c r="CO414" s="197"/>
      <c r="CP414" s="196"/>
      <c r="CQ414" s="196"/>
      <c r="CR414" s="196"/>
      <c r="CS414" s="196"/>
      <c r="CT414" s="196"/>
      <c r="CU414" s="196"/>
      <c r="CV414" s="194"/>
      <c r="CW414" s="194"/>
      <c r="CX414" s="194"/>
      <c r="CY414" s="194"/>
      <c r="CZ414" s="194"/>
      <c r="DA414" s="194"/>
      <c r="DB414" s="194"/>
      <c r="DC414" s="194"/>
      <c r="DD414" s="194"/>
      <c r="DE414" s="194"/>
      <c r="DF414" s="196"/>
      <c r="DG414" s="198"/>
      <c r="DH414" s="194"/>
      <c r="DI414" s="282"/>
      <c r="DJ414" s="282"/>
      <c r="DK414" s="282"/>
      <c r="DL414" s="282"/>
    </row>
    <row r="415" spans="1:116" s="24" customFormat="1" x14ac:dyDescent="0.3">
      <c r="A415" s="172"/>
      <c r="B415" s="172"/>
      <c r="C415" s="172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/>
      <c r="BW415" s="172"/>
      <c r="BX415" s="172"/>
      <c r="BY415" s="174"/>
      <c r="BZ415" s="172"/>
      <c r="CA415" s="172"/>
      <c r="CD415" s="194"/>
      <c r="CE415" s="194"/>
      <c r="CF415" s="194"/>
      <c r="CG415" s="194"/>
      <c r="CH415" s="195"/>
      <c r="CI415" s="194"/>
      <c r="CJ415" s="194"/>
      <c r="CK415" s="194"/>
      <c r="CL415" s="196"/>
      <c r="CM415" s="196"/>
      <c r="CN415" s="194"/>
      <c r="CO415" s="197"/>
      <c r="CP415" s="196"/>
      <c r="CQ415" s="196"/>
      <c r="CR415" s="196"/>
      <c r="CS415" s="196"/>
      <c r="CT415" s="196"/>
      <c r="CU415" s="196"/>
      <c r="CV415" s="194"/>
      <c r="CW415" s="194"/>
      <c r="CX415" s="194"/>
      <c r="CY415" s="194"/>
      <c r="CZ415" s="194"/>
      <c r="DA415" s="194"/>
      <c r="DB415" s="194"/>
      <c r="DC415" s="194"/>
      <c r="DD415" s="194"/>
      <c r="DE415" s="194"/>
      <c r="DF415" s="196"/>
      <c r="DG415" s="198"/>
      <c r="DH415" s="194"/>
      <c r="DI415" s="282"/>
      <c r="DJ415" s="282"/>
      <c r="DK415" s="282"/>
      <c r="DL415" s="282"/>
    </row>
    <row r="416" spans="1:116" s="24" customFormat="1" x14ac:dyDescent="0.3">
      <c r="A416" s="172"/>
      <c r="B416" s="172"/>
      <c r="C416" s="172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4"/>
      <c r="BZ416" s="172"/>
      <c r="CA416" s="172"/>
      <c r="CD416" s="194"/>
      <c r="CE416" s="194"/>
      <c r="CF416" s="194"/>
      <c r="CG416" s="194"/>
      <c r="CH416" s="195"/>
      <c r="CI416" s="194"/>
      <c r="CJ416" s="194"/>
      <c r="CK416" s="194"/>
      <c r="CL416" s="196"/>
      <c r="CM416" s="196"/>
      <c r="CN416" s="194"/>
      <c r="CO416" s="197"/>
      <c r="CP416" s="196"/>
      <c r="CQ416" s="196"/>
      <c r="CR416" s="196"/>
      <c r="CS416" s="196"/>
      <c r="CT416" s="196"/>
      <c r="CU416" s="196"/>
      <c r="CV416" s="194"/>
      <c r="CW416" s="194"/>
      <c r="CX416" s="194"/>
      <c r="CY416" s="194"/>
      <c r="CZ416" s="194"/>
      <c r="DA416" s="194"/>
      <c r="DB416" s="194"/>
      <c r="DC416" s="194"/>
      <c r="DD416" s="194"/>
      <c r="DE416" s="194"/>
      <c r="DF416" s="196"/>
      <c r="DG416" s="198"/>
      <c r="DH416" s="194"/>
      <c r="DI416" s="282"/>
      <c r="DJ416" s="282"/>
      <c r="DK416" s="282"/>
      <c r="DL416" s="282"/>
    </row>
    <row r="417" spans="1:116" s="24" customFormat="1" x14ac:dyDescent="0.3">
      <c r="A417" s="172"/>
      <c r="B417" s="172"/>
      <c r="C417" s="172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4"/>
      <c r="BZ417" s="172"/>
      <c r="CA417" s="172"/>
      <c r="CD417" s="194"/>
      <c r="CE417" s="194"/>
      <c r="CF417" s="194"/>
      <c r="CG417" s="194"/>
      <c r="CH417" s="195"/>
      <c r="CI417" s="194"/>
      <c r="CJ417" s="194"/>
      <c r="CK417" s="194"/>
      <c r="CL417" s="196"/>
      <c r="CM417" s="196"/>
      <c r="CN417" s="194"/>
      <c r="CO417" s="197"/>
      <c r="CP417" s="196"/>
      <c r="CQ417" s="196"/>
      <c r="CR417" s="196"/>
      <c r="CS417" s="196"/>
      <c r="CT417" s="196"/>
      <c r="CU417" s="196"/>
      <c r="CV417" s="194"/>
      <c r="CW417" s="194"/>
      <c r="CX417" s="194"/>
      <c r="CY417" s="194"/>
      <c r="CZ417" s="194"/>
      <c r="DA417" s="194"/>
      <c r="DB417" s="194"/>
      <c r="DC417" s="194"/>
      <c r="DD417" s="194"/>
      <c r="DE417" s="194"/>
      <c r="DF417" s="196"/>
      <c r="DG417" s="198"/>
      <c r="DH417" s="194"/>
      <c r="DI417" s="282"/>
      <c r="DJ417" s="282"/>
      <c r="DK417" s="282"/>
      <c r="DL417" s="282"/>
    </row>
    <row r="418" spans="1:116" s="24" customFormat="1" x14ac:dyDescent="0.3">
      <c r="A418" s="172"/>
      <c r="B418" s="172"/>
      <c r="C418" s="172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  <c r="BT418" s="172"/>
      <c r="BU418" s="172"/>
      <c r="BV418" s="172"/>
      <c r="BW418" s="172"/>
      <c r="BX418" s="172"/>
      <c r="BY418" s="174"/>
      <c r="BZ418" s="172"/>
      <c r="CA418" s="172"/>
      <c r="CD418" s="194"/>
      <c r="CE418" s="194"/>
      <c r="CF418" s="194"/>
      <c r="CG418" s="194"/>
      <c r="CH418" s="195"/>
      <c r="CI418" s="194"/>
      <c r="CJ418" s="194"/>
      <c r="CK418" s="194"/>
      <c r="CL418" s="196"/>
      <c r="CM418" s="196"/>
      <c r="CN418" s="194"/>
      <c r="CO418" s="197"/>
      <c r="CP418" s="196"/>
      <c r="CQ418" s="196"/>
      <c r="CR418" s="196"/>
      <c r="CS418" s="196"/>
      <c r="CT418" s="196"/>
      <c r="CU418" s="196"/>
      <c r="CV418" s="194"/>
      <c r="CW418" s="194"/>
      <c r="CX418" s="194"/>
      <c r="CY418" s="194"/>
      <c r="CZ418" s="194"/>
      <c r="DA418" s="194"/>
      <c r="DB418" s="194"/>
      <c r="DC418" s="194"/>
      <c r="DD418" s="194"/>
      <c r="DE418" s="194"/>
      <c r="DF418" s="196"/>
      <c r="DG418" s="198"/>
      <c r="DH418" s="194"/>
      <c r="DI418" s="282"/>
      <c r="DJ418" s="282"/>
      <c r="DK418" s="282"/>
      <c r="DL418" s="282"/>
    </row>
    <row r="419" spans="1:116" s="24" customFormat="1" x14ac:dyDescent="0.3">
      <c r="A419" s="172"/>
      <c r="B419" s="172"/>
      <c r="C419" s="172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  <c r="BT419" s="172"/>
      <c r="BU419" s="172"/>
      <c r="BV419" s="172"/>
      <c r="BW419" s="172"/>
      <c r="BX419" s="172"/>
      <c r="BY419" s="174"/>
      <c r="BZ419" s="172"/>
      <c r="CA419" s="172"/>
      <c r="CD419" s="194"/>
      <c r="CE419" s="194"/>
      <c r="CF419" s="194"/>
      <c r="CG419" s="194"/>
      <c r="CH419" s="195"/>
      <c r="CI419" s="194"/>
      <c r="CJ419" s="194"/>
      <c r="CK419" s="194"/>
      <c r="CL419" s="196"/>
      <c r="CM419" s="196"/>
      <c r="CN419" s="194"/>
      <c r="CO419" s="197"/>
      <c r="CP419" s="196"/>
      <c r="CQ419" s="196"/>
      <c r="CR419" s="196"/>
      <c r="CS419" s="196"/>
      <c r="CT419" s="196"/>
      <c r="CU419" s="196"/>
      <c r="CV419" s="194"/>
      <c r="CW419" s="194"/>
      <c r="CX419" s="194"/>
      <c r="CY419" s="194"/>
      <c r="CZ419" s="194"/>
      <c r="DA419" s="194"/>
      <c r="DB419" s="194"/>
      <c r="DC419" s="194"/>
      <c r="DD419" s="194"/>
      <c r="DE419" s="194"/>
      <c r="DF419" s="196"/>
      <c r="DG419" s="198"/>
      <c r="DH419" s="194"/>
      <c r="DI419" s="282"/>
      <c r="DJ419" s="282"/>
      <c r="DK419" s="282"/>
      <c r="DL419" s="282"/>
    </row>
    <row r="420" spans="1:116" s="24" customFormat="1" x14ac:dyDescent="0.3">
      <c r="A420" s="172"/>
      <c r="B420" s="172"/>
      <c r="C420" s="172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  <c r="BT420" s="172"/>
      <c r="BU420" s="172"/>
      <c r="BV420" s="172"/>
      <c r="BW420" s="172"/>
      <c r="BX420" s="172"/>
      <c r="BY420" s="174"/>
      <c r="BZ420" s="172"/>
      <c r="CA420" s="172"/>
      <c r="CD420" s="194"/>
      <c r="CE420" s="194"/>
      <c r="CF420" s="194"/>
      <c r="CG420" s="194"/>
      <c r="CH420" s="195"/>
      <c r="CI420" s="194"/>
      <c r="CJ420" s="194"/>
      <c r="CK420" s="194"/>
      <c r="CL420" s="196"/>
      <c r="CM420" s="196"/>
      <c r="CN420" s="194"/>
      <c r="CO420" s="197"/>
      <c r="CP420" s="196"/>
      <c r="CQ420" s="196"/>
      <c r="CR420" s="196"/>
      <c r="CS420" s="196"/>
      <c r="CT420" s="196"/>
      <c r="CU420" s="196"/>
      <c r="CV420" s="194"/>
      <c r="CW420" s="194"/>
      <c r="CX420" s="194"/>
      <c r="CY420" s="194"/>
      <c r="CZ420" s="194"/>
      <c r="DA420" s="194"/>
      <c r="DB420" s="194"/>
      <c r="DC420" s="194"/>
      <c r="DD420" s="194"/>
      <c r="DE420" s="194"/>
      <c r="DF420" s="196"/>
      <c r="DG420" s="198"/>
      <c r="DH420" s="194"/>
      <c r="DI420" s="282"/>
      <c r="DJ420" s="282"/>
      <c r="DK420" s="282"/>
      <c r="DL420" s="282"/>
    </row>
    <row r="421" spans="1:116" s="24" customFormat="1" x14ac:dyDescent="0.3">
      <c r="A421" s="172"/>
      <c r="B421" s="172"/>
      <c r="C421" s="172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4"/>
      <c r="BZ421" s="172"/>
      <c r="CA421" s="172"/>
      <c r="CD421" s="194"/>
      <c r="CE421" s="194"/>
      <c r="CF421" s="194"/>
      <c r="CG421" s="194"/>
      <c r="CH421" s="195"/>
      <c r="CI421" s="194"/>
      <c r="CJ421" s="194"/>
      <c r="CK421" s="194"/>
      <c r="CL421" s="196"/>
      <c r="CM421" s="196"/>
      <c r="CN421" s="194"/>
      <c r="CO421" s="197"/>
      <c r="CP421" s="196"/>
      <c r="CQ421" s="196"/>
      <c r="CR421" s="196"/>
      <c r="CS421" s="196"/>
      <c r="CT421" s="196"/>
      <c r="CU421" s="196"/>
      <c r="CV421" s="194"/>
      <c r="CW421" s="194"/>
      <c r="CX421" s="194"/>
      <c r="CY421" s="194"/>
      <c r="CZ421" s="194"/>
      <c r="DA421" s="194"/>
      <c r="DB421" s="194"/>
      <c r="DC421" s="194"/>
      <c r="DD421" s="194"/>
      <c r="DE421" s="194"/>
      <c r="DF421" s="196"/>
      <c r="DG421" s="198"/>
      <c r="DH421" s="194"/>
      <c r="DI421" s="282"/>
      <c r="DJ421" s="282"/>
      <c r="DK421" s="282"/>
      <c r="DL421" s="282"/>
    </row>
    <row r="422" spans="1:116" s="24" customFormat="1" x14ac:dyDescent="0.3">
      <c r="A422" s="172"/>
      <c r="B422" s="172"/>
      <c r="C422" s="172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/>
      <c r="BX422" s="172"/>
      <c r="BY422" s="174"/>
      <c r="BZ422" s="172"/>
      <c r="CA422" s="172"/>
      <c r="CD422" s="194"/>
      <c r="CE422" s="194"/>
      <c r="CF422" s="194"/>
      <c r="CG422" s="194"/>
      <c r="CH422" s="195"/>
      <c r="CI422" s="194"/>
      <c r="CJ422" s="194"/>
      <c r="CK422" s="194"/>
      <c r="CL422" s="196"/>
      <c r="CM422" s="196"/>
      <c r="CN422" s="194"/>
      <c r="CO422" s="197"/>
      <c r="CP422" s="196"/>
      <c r="CQ422" s="196"/>
      <c r="CR422" s="196"/>
      <c r="CS422" s="196"/>
      <c r="CT422" s="196"/>
      <c r="CU422" s="196"/>
      <c r="CV422" s="194"/>
      <c r="CW422" s="194"/>
      <c r="CX422" s="194"/>
      <c r="CY422" s="194"/>
      <c r="CZ422" s="194"/>
      <c r="DA422" s="194"/>
      <c r="DB422" s="194"/>
      <c r="DC422" s="194"/>
      <c r="DD422" s="194"/>
      <c r="DE422" s="194"/>
      <c r="DF422" s="196"/>
      <c r="DG422" s="198"/>
      <c r="DH422" s="194"/>
      <c r="DI422" s="282"/>
      <c r="DJ422" s="282"/>
      <c r="DK422" s="282"/>
      <c r="DL422" s="282"/>
    </row>
    <row r="423" spans="1:116" s="24" customFormat="1" x14ac:dyDescent="0.3">
      <c r="A423" s="172"/>
      <c r="B423" s="172"/>
      <c r="C423" s="172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  <c r="BT423" s="172"/>
      <c r="BU423" s="172"/>
      <c r="BV423" s="172"/>
      <c r="BW423" s="172"/>
      <c r="BX423" s="172"/>
      <c r="BY423" s="174"/>
      <c r="BZ423" s="172"/>
      <c r="CA423" s="172"/>
      <c r="CD423" s="194"/>
      <c r="CE423" s="194"/>
      <c r="CF423" s="194"/>
      <c r="CG423" s="194"/>
      <c r="CH423" s="195"/>
      <c r="CI423" s="194"/>
      <c r="CJ423" s="194"/>
      <c r="CK423" s="194"/>
      <c r="CL423" s="196"/>
      <c r="CM423" s="196"/>
      <c r="CN423" s="194"/>
      <c r="CO423" s="197"/>
      <c r="CP423" s="196"/>
      <c r="CQ423" s="196"/>
      <c r="CR423" s="196"/>
      <c r="CS423" s="196"/>
      <c r="CT423" s="196"/>
      <c r="CU423" s="196"/>
      <c r="CV423" s="194"/>
      <c r="CW423" s="194"/>
      <c r="CX423" s="194"/>
      <c r="CY423" s="194"/>
      <c r="CZ423" s="194"/>
      <c r="DA423" s="194"/>
      <c r="DB423" s="194"/>
      <c r="DC423" s="194"/>
      <c r="DD423" s="194"/>
      <c r="DE423" s="194"/>
      <c r="DF423" s="196"/>
      <c r="DG423" s="198"/>
      <c r="DH423" s="194"/>
      <c r="DI423" s="282"/>
      <c r="DJ423" s="282"/>
      <c r="DK423" s="282"/>
      <c r="DL423" s="282"/>
    </row>
    <row r="424" spans="1:116" s="24" customFormat="1" x14ac:dyDescent="0.3">
      <c r="A424" s="172"/>
      <c r="B424" s="172"/>
      <c r="C424" s="172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  <c r="BT424" s="172"/>
      <c r="BU424" s="172"/>
      <c r="BV424" s="172"/>
      <c r="BW424" s="172"/>
      <c r="BX424" s="172"/>
      <c r="BY424" s="174"/>
      <c r="BZ424" s="172"/>
      <c r="CA424" s="172"/>
      <c r="CD424" s="194"/>
      <c r="CE424" s="194"/>
      <c r="CF424" s="194"/>
      <c r="CG424" s="194"/>
      <c r="CH424" s="195"/>
      <c r="CI424" s="194"/>
      <c r="CJ424" s="194"/>
      <c r="CK424" s="194"/>
      <c r="CL424" s="196"/>
      <c r="CM424" s="196"/>
      <c r="CN424" s="194"/>
      <c r="CO424" s="197"/>
      <c r="CP424" s="196"/>
      <c r="CQ424" s="196"/>
      <c r="CR424" s="196"/>
      <c r="CS424" s="196"/>
      <c r="CT424" s="196"/>
      <c r="CU424" s="196"/>
      <c r="CV424" s="194"/>
      <c r="CW424" s="194"/>
      <c r="CX424" s="194"/>
      <c r="CY424" s="194"/>
      <c r="CZ424" s="194"/>
      <c r="DA424" s="194"/>
      <c r="DB424" s="194"/>
      <c r="DC424" s="194"/>
      <c r="DD424" s="194"/>
      <c r="DE424" s="194"/>
      <c r="DF424" s="196"/>
      <c r="DG424" s="198"/>
      <c r="DH424" s="194"/>
      <c r="DI424" s="282"/>
      <c r="DJ424" s="282"/>
      <c r="DK424" s="282"/>
      <c r="DL424" s="282"/>
    </row>
    <row r="425" spans="1:116" s="24" customFormat="1" x14ac:dyDescent="0.3">
      <c r="A425" s="172"/>
      <c r="B425" s="172"/>
      <c r="C425" s="172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  <c r="BT425" s="172"/>
      <c r="BU425" s="172"/>
      <c r="BV425" s="172"/>
      <c r="BW425" s="172"/>
      <c r="BX425" s="172"/>
      <c r="BY425" s="174"/>
      <c r="BZ425" s="172"/>
      <c r="CA425" s="172"/>
      <c r="CD425" s="194"/>
      <c r="CE425" s="194"/>
      <c r="CF425" s="194"/>
      <c r="CG425" s="194"/>
      <c r="CH425" s="195"/>
      <c r="CI425" s="194"/>
      <c r="CJ425" s="194"/>
      <c r="CK425" s="194"/>
      <c r="CL425" s="196"/>
      <c r="CM425" s="196"/>
      <c r="CN425" s="194"/>
      <c r="CO425" s="197"/>
      <c r="CP425" s="196"/>
      <c r="CQ425" s="196"/>
      <c r="CR425" s="196"/>
      <c r="CS425" s="196"/>
      <c r="CT425" s="196"/>
      <c r="CU425" s="196"/>
      <c r="CV425" s="194"/>
      <c r="CW425" s="194"/>
      <c r="CX425" s="194"/>
      <c r="CY425" s="194"/>
      <c r="CZ425" s="194"/>
      <c r="DA425" s="194"/>
      <c r="DB425" s="194"/>
      <c r="DC425" s="194"/>
      <c r="DD425" s="194"/>
      <c r="DE425" s="194"/>
      <c r="DF425" s="196"/>
      <c r="DG425" s="198"/>
      <c r="DH425" s="194"/>
      <c r="DI425" s="282"/>
      <c r="DJ425" s="282"/>
      <c r="DK425" s="282"/>
      <c r="DL425" s="282"/>
    </row>
    <row r="426" spans="1:116" s="24" customFormat="1" x14ac:dyDescent="0.3">
      <c r="A426" s="172"/>
      <c r="B426" s="172"/>
      <c r="C426" s="172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  <c r="BT426" s="172"/>
      <c r="BU426" s="172"/>
      <c r="BV426" s="172"/>
      <c r="BW426" s="172"/>
      <c r="BX426" s="172"/>
      <c r="BY426" s="174"/>
      <c r="BZ426" s="172"/>
      <c r="CA426" s="172"/>
      <c r="CD426" s="194"/>
      <c r="CE426" s="194"/>
      <c r="CF426" s="194"/>
      <c r="CG426" s="194"/>
      <c r="CH426" s="195"/>
      <c r="CI426" s="194"/>
      <c r="CJ426" s="194"/>
      <c r="CK426" s="194"/>
      <c r="CL426" s="196"/>
      <c r="CM426" s="196"/>
      <c r="CN426" s="194"/>
      <c r="CO426" s="197"/>
      <c r="CP426" s="196"/>
      <c r="CQ426" s="196"/>
      <c r="CR426" s="196"/>
      <c r="CS426" s="196"/>
      <c r="CT426" s="196"/>
      <c r="CU426" s="196"/>
      <c r="CV426" s="194"/>
      <c r="CW426" s="194"/>
      <c r="CX426" s="194"/>
      <c r="CY426" s="194"/>
      <c r="CZ426" s="194"/>
      <c r="DA426" s="194"/>
      <c r="DB426" s="194"/>
      <c r="DC426" s="194"/>
      <c r="DD426" s="194"/>
      <c r="DE426" s="194"/>
      <c r="DF426" s="196"/>
      <c r="DG426" s="198"/>
      <c r="DH426" s="194"/>
      <c r="DI426" s="282"/>
      <c r="DJ426" s="282"/>
      <c r="DK426" s="282"/>
      <c r="DL426" s="282"/>
    </row>
    <row r="427" spans="1:116" s="24" customFormat="1" x14ac:dyDescent="0.3">
      <c r="A427" s="172"/>
      <c r="B427" s="172"/>
      <c r="C427" s="172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  <c r="BT427" s="172"/>
      <c r="BU427" s="172"/>
      <c r="BV427" s="172"/>
      <c r="BW427" s="172"/>
      <c r="BX427" s="172"/>
      <c r="BY427" s="174"/>
      <c r="BZ427" s="172"/>
      <c r="CA427" s="172"/>
      <c r="CD427" s="194"/>
      <c r="CE427" s="194"/>
      <c r="CF427" s="194"/>
      <c r="CG427" s="194"/>
      <c r="CH427" s="195"/>
      <c r="CI427" s="194"/>
      <c r="CJ427" s="194"/>
      <c r="CK427" s="194"/>
      <c r="CL427" s="196"/>
      <c r="CM427" s="196"/>
      <c r="CN427" s="194"/>
      <c r="CO427" s="197"/>
      <c r="CP427" s="196"/>
      <c r="CQ427" s="196"/>
      <c r="CR427" s="196"/>
      <c r="CS427" s="196"/>
      <c r="CT427" s="196"/>
      <c r="CU427" s="196"/>
      <c r="CV427" s="194"/>
      <c r="CW427" s="194"/>
      <c r="CX427" s="194"/>
      <c r="CY427" s="194"/>
      <c r="CZ427" s="194"/>
      <c r="DA427" s="194"/>
      <c r="DB427" s="194"/>
      <c r="DC427" s="194"/>
      <c r="DD427" s="194"/>
      <c r="DE427" s="194"/>
      <c r="DF427" s="196"/>
      <c r="DG427" s="198"/>
      <c r="DH427" s="194"/>
      <c r="DI427" s="282"/>
      <c r="DJ427" s="282"/>
      <c r="DK427" s="282"/>
      <c r="DL427" s="282"/>
    </row>
    <row r="428" spans="1:116" s="24" customFormat="1" x14ac:dyDescent="0.3">
      <c r="A428" s="172"/>
      <c r="B428" s="172"/>
      <c r="C428" s="172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  <c r="BT428" s="172"/>
      <c r="BU428" s="172"/>
      <c r="BV428" s="172"/>
      <c r="BW428" s="172"/>
      <c r="BX428" s="172"/>
      <c r="BY428" s="174"/>
      <c r="BZ428" s="172"/>
      <c r="CA428" s="172"/>
      <c r="CD428" s="194"/>
      <c r="CE428" s="194"/>
      <c r="CF428" s="194"/>
      <c r="CG428" s="194"/>
      <c r="CH428" s="195"/>
      <c r="CI428" s="194"/>
      <c r="CJ428" s="194"/>
      <c r="CK428" s="194"/>
      <c r="CL428" s="196"/>
      <c r="CM428" s="196"/>
      <c r="CN428" s="194"/>
      <c r="CO428" s="197"/>
      <c r="CP428" s="196"/>
      <c r="CQ428" s="196"/>
      <c r="CR428" s="196"/>
      <c r="CS428" s="196"/>
      <c r="CT428" s="196"/>
      <c r="CU428" s="196"/>
      <c r="CV428" s="194"/>
      <c r="CW428" s="194"/>
      <c r="CX428" s="194"/>
      <c r="CY428" s="194"/>
      <c r="CZ428" s="194"/>
      <c r="DA428" s="194"/>
      <c r="DB428" s="194"/>
      <c r="DC428" s="194"/>
      <c r="DD428" s="194"/>
      <c r="DE428" s="194"/>
      <c r="DF428" s="196"/>
      <c r="DG428" s="198"/>
      <c r="DH428" s="194"/>
      <c r="DI428" s="282"/>
      <c r="DJ428" s="282"/>
      <c r="DK428" s="282"/>
      <c r="DL428" s="282"/>
    </row>
    <row r="429" spans="1:116" s="24" customFormat="1" x14ac:dyDescent="0.3">
      <c r="A429" s="172"/>
      <c r="B429" s="172"/>
      <c r="C429" s="172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  <c r="BT429" s="172"/>
      <c r="BU429" s="172"/>
      <c r="BV429" s="172"/>
      <c r="BW429" s="172"/>
      <c r="BX429" s="172"/>
      <c r="BY429" s="174"/>
      <c r="BZ429" s="172"/>
      <c r="CA429" s="172"/>
      <c r="CD429" s="194"/>
      <c r="CE429" s="194"/>
      <c r="CF429" s="194"/>
      <c r="CG429" s="194"/>
      <c r="CH429" s="195"/>
      <c r="CI429" s="194"/>
      <c r="CJ429" s="194"/>
      <c r="CK429" s="194"/>
      <c r="CL429" s="196"/>
      <c r="CM429" s="196"/>
      <c r="CN429" s="194"/>
      <c r="CO429" s="197"/>
      <c r="CP429" s="196"/>
      <c r="CQ429" s="196"/>
      <c r="CR429" s="196"/>
      <c r="CS429" s="196"/>
      <c r="CT429" s="196"/>
      <c r="CU429" s="196"/>
      <c r="CV429" s="194"/>
      <c r="CW429" s="194"/>
      <c r="CX429" s="194"/>
      <c r="CY429" s="194"/>
      <c r="CZ429" s="194"/>
      <c r="DA429" s="194"/>
      <c r="DB429" s="194"/>
      <c r="DC429" s="194"/>
      <c r="DD429" s="194"/>
      <c r="DE429" s="194"/>
      <c r="DF429" s="196"/>
      <c r="DG429" s="198"/>
      <c r="DH429" s="194"/>
      <c r="DI429" s="282"/>
      <c r="DJ429" s="282"/>
      <c r="DK429" s="282"/>
      <c r="DL429" s="282"/>
    </row>
    <row r="430" spans="1:116" s="24" customFormat="1" x14ac:dyDescent="0.3">
      <c r="A430" s="172"/>
      <c r="B430" s="172"/>
      <c r="C430" s="172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  <c r="BT430" s="172"/>
      <c r="BU430" s="172"/>
      <c r="BV430" s="172"/>
      <c r="BW430" s="172"/>
      <c r="BX430" s="172"/>
      <c r="BY430" s="174"/>
      <c r="BZ430" s="172"/>
      <c r="CA430" s="172"/>
      <c r="CD430" s="194"/>
      <c r="CE430" s="194"/>
      <c r="CF430" s="194"/>
      <c r="CG430" s="194"/>
      <c r="CH430" s="195"/>
      <c r="CI430" s="194"/>
      <c r="CJ430" s="194"/>
      <c r="CK430" s="194"/>
      <c r="CL430" s="196"/>
      <c r="CM430" s="196"/>
      <c r="CN430" s="194"/>
      <c r="CO430" s="197"/>
      <c r="CP430" s="196"/>
      <c r="CQ430" s="196"/>
      <c r="CR430" s="196"/>
      <c r="CS430" s="196"/>
      <c r="CT430" s="196"/>
      <c r="CU430" s="196"/>
      <c r="CV430" s="194"/>
      <c r="CW430" s="194"/>
      <c r="CX430" s="194"/>
      <c r="CY430" s="194"/>
      <c r="CZ430" s="194"/>
      <c r="DA430" s="194"/>
      <c r="DB430" s="194"/>
      <c r="DC430" s="194"/>
      <c r="DD430" s="194"/>
      <c r="DE430" s="194"/>
      <c r="DF430" s="196"/>
      <c r="DG430" s="198"/>
      <c r="DH430" s="194"/>
      <c r="DI430" s="282"/>
      <c r="DJ430" s="282"/>
      <c r="DK430" s="282"/>
      <c r="DL430" s="282"/>
    </row>
    <row r="431" spans="1:116" s="24" customFormat="1" x14ac:dyDescent="0.3">
      <c r="A431" s="172"/>
      <c r="B431" s="172"/>
      <c r="C431" s="172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  <c r="BT431" s="172"/>
      <c r="BU431" s="172"/>
      <c r="BV431" s="172"/>
      <c r="BW431" s="172"/>
      <c r="BX431" s="172"/>
      <c r="BY431" s="174"/>
      <c r="BZ431" s="172"/>
      <c r="CA431" s="172"/>
      <c r="CD431" s="194"/>
      <c r="CE431" s="194"/>
      <c r="CF431" s="194"/>
      <c r="CG431" s="194"/>
      <c r="CH431" s="195"/>
      <c r="CI431" s="194"/>
      <c r="CJ431" s="194"/>
      <c r="CK431" s="194"/>
      <c r="CL431" s="196"/>
      <c r="CM431" s="196"/>
      <c r="CN431" s="194"/>
      <c r="CO431" s="197"/>
      <c r="CP431" s="196"/>
      <c r="CQ431" s="196"/>
      <c r="CR431" s="196"/>
      <c r="CS431" s="196"/>
      <c r="CT431" s="196"/>
      <c r="CU431" s="196"/>
      <c r="CV431" s="194"/>
      <c r="CW431" s="194"/>
      <c r="CX431" s="194"/>
      <c r="CY431" s="194"/>
      <c r="CZ431" s="194"/>
      <c r="DA431" s="194"/>
      <c r="DB431" s="194"/>
      <c r="DC431" s="194"/>
      <c r="DD431" s="194"/>
      <c r="DE431" s="194"/>
      <c r="DF431" s="196"/>
      <c r="DG431" s="198"/>
      <c r="DH431" s="194"/>
      <c r="DI431" s="282"/>
      <c r="DJ431" s="282"/>
      <c r="DK431" s="282"/>
      <c r="DL431" s="282"/>
    </row>
    <row r="432" spans="1:116" s="24" customFormat="1" x14ac:dyDescent="0.3">
      <c r="A432" s="172"/>
      <c r="B432" s="172"/>
      <c r="C432" s="172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  <c r="BT432" s="172"/>
      <c r="BU432" s="172"/>
      <c r="BV432" s="172"/>
      <c r="BW432" s="172"/>
      <c r="BX432" s="172"/>
      <c r="BY432" s="174"/>
      <c r="BZ432" s="172"/>
      <c r="CA432" s="172"/>
      <c r="CD432" s="194"/>
      <c r="CE432" s="194"/>
      <c r="CF432" s="194"/>
      <c r="CG432" s="194"/>
      <c r="CH432" s="195"/>
      <c r="CI432" s="194"/>
      <c r="CJ432" s="194"/>
      <c r="CK432" s="194"/>
      <c r="CL432" s="196"/>
      <c r="CM432" s="196"/>
      <c r="CN432" s="194"/>
      <c r="CO432" s="197"/>
      <c r="CP432" s="196"/>
      <c r="CQ432" s="196"/>
      <c r="CR432" s="196"/>
      <c r="CS432" s="196"/>
      <c r="CT432" s="196"/>
      <c r="CU432" s="196"/>
      <c r="CV432" s="194"/>
      <c r="CW432" s="194"/>
      <c r="CX432" s="194"/>
      <c r="CY432" s="194"/>
      <c r="CZ432" s="194"/>
      <c r="DA432" s="194"/>
      <c r="DB432" s="194"/>
      <c r="DC432" s="194"/>
      <c r="DD432" s="194"/>
      <c r="DE432" s="194"/>
      <c r="DF432" s="196"/>
      <c r="DG432" s="198"/>
      <c r="DH432" s="194"/>
      <c r="DI432" s="282"/>
      <c r="DJ432" s="282"/>
      <c r="DK432" s="282"/>
      <c r="DL432" s="282"/>
    </row>
    <row r="433" spans="1:116" s="24" customFormat="1" x14ac:dyDescent="0.3">
      <c r="A433" s="172"/>
      <c r="B433" s="172"/>
      <c r="C433" s="172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/>
      <c r="BW433" s="172"/>
      <c r="BX433" s="172"/>
      <c r="BY433" s="174"/>
      <c r="BZ433" s="172"/>
      <c r="CA433" s="172"/>
      <c r="CD433" s="194"/>
      <c r="CE433" s="194"/>
      <c r="CF433" s="194"/>
      <c r="CG433" s="194"/>
      <c r="CH433" s="195"/>
      <c r="CI433" s="194"/>
      <c r="CJ433" s="194"/>
      <c r="CK433" s="194"/>
      <c r="CL433" s="196"/>
      <c r="CM433" s="196"/>
      <c r="CN433" s="194"/>
      <c r="CO433" s="197"/>
      <c r="CP433" s="196"/>
      <c r="CQ433" s="196"/>
      <c r="CR433" s="196"/>
      <c r="CS433" s="196"/>
      <c r="CT433" s="196"/>
      <c r="CU433" s="196"/>
      <c r="CV433" s="194"/>
      <c r="CW433" s="194"/>
      <c r="CX433" s="194"/>
      <c r="CY433" s="194"/>
      <c r="CZ433" s="194"/>
      <c r="DA433" s="194"/>
      <c r="DB433" s="194"/>
      <c r="DC433" s="194"/>
      <c r="DD433" s="194"/>
      <c r="DE433" s="194"/>
      <c r="DF433" s="196"/>
      <c r="DG433" s="198"/>
      <c r="DH433" s="194"/>
      <c r="DI433" s="282"/>
      <c r="DJ433" s="282"/>
      <c r="DK433" s="282"/>
      <c r="DL433" s="282"/>
    </row>
    <row r="434" spans="1:116" s="24" customFormat="1" x14ac:dyDescent="0.3">
      <c r="A434" s="172"/>
      <c r="B434" s="172"/>
      <c r="C434" s="172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2"/>
      <c r="BV434" s="172"/>
      <c r="BW434" s="172"/>
      <c r="BX434" s="172"/>
      <c r="BY434" s="174"/>
      <c r="BZ434" s="172"/>
      <c r="CA434" s="172"/>
      <c r="CD434" s="194"/>
      <c r="CE434" s="194"/>
      <c r="CF434" s="194"/>
      <c r="CG434" s="194"/>
      <c r="CH434" s="195"/>
      <c r="CI434" s="194"/>
      <c r="CJ434" s="194"/>
      <c r="CK434" s="194"/>
      <c r="CL434" s="196"/>
      <c r="CM434" s="196"/>
      <c r="CN434" s="194"/>
      <c r="CO434" s="197"/>
      <c r="CP434" s="196"/>
      <c r="CQ434" s="196"/>
      <c r="CR434" s="196"/>
      <c r="CS434" s="196"/>
      <c r="CT434" s="196"/>
      <c r="CU434" s="196"/>
      <c r="CV434" s="194"/>
      <c r="CW434" s="194"/>
      <c r="CX434" s="194"/>
      <c r="CY434" s="194"/>
      <c r="CZ434" s="194"/>
      <c r="DA434" s="194"/>
      <c r="DB434" s="194"/>
      <c r="DC434" s="194"/>
      <c r="DD434" s="194"/>
      <c r="DE434" s="194"/>
      <c r="DF434" s="196"/>
      <c r="DG434" s="198"/>
      <c r="DH434" s="194"/>
      <c r="DI434" s="282"/>
      <c r="DJ434" s="282"/>
      <c r="DK434" s="282"/>
      <c r="DL434" s="282"/>
    </row>
    <row r="435" spans="1:116" s="24" customFormat="1" x14ac:dyDescent="0.3">
      <c r="A435" s="172"/>
      <c r="B435" s="172"/>
      <c r="C435" s="172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  <c r="BT435" s="172"/>
      <c r="BU435" s="172"/>
      <c r="BV435" s="172"/>
      <c r="BW435" s="172"/>
      <c r="BX435" s="172"/>
      <c r="BY435" s="174"/>
      <c r="BZ435" s="172"/>
      <c r="CA435" s="172"/>
      <c r="CD435" s="194"/>
      <c r="CE435" s="194"/>
      <c r="CF435" s="194"/>
      <c r="CG435" s="194"/>
      <c r="CH435" s="195"/>
      <c r="CI435" s="194"/>
      <c r="CJ435" s="194"/>
      <c r="CK435" s="194"/>
      <c r="CL435" s="196"/>
      <c r="CM435" s="196"/>
      <c r="CN435" s="194"/>
      <c r="CO435" s="197"/>
      <c r="CP435" s="196"/>
      <c r="CQ435" s="196"/>
      <c r="CR435" s="196"/>
      <c r="CS435" s="196"/>
      <c r="CT435" s="196"/>
      <c r="CU435" s="196"/>
      <c r="CV435" s="194"/>
      <c r="CW435" s="194"/>
      <c r="CX435" s="194"/>
      <c r="CY435" s="194"/>
      <c r="CZ435" s="194"/>
      <c r="DA435" s="194"/>
      <c r="DB435" s="194"/>
      <c r="DC435" s="194"/>
      <c r="DD435" s="194"/>
      <c r="DE435" s="194"/>
      <c r="DF435" s="196"/>
      <c r="DG435" s="198"/>
      <c r="DH435" s="194"/>
      <c r="DI435" s="282"/>
      <c r="DJ435" s="282"/>
      <c r="DK435" s="282"/>
      <c r="DL435" s="282"/>
    </row>
    <row r="436" spans="1:116" s="24" customFormat="1" x14ac:dyDescent="0.3">
      <c r="A436" s="172"/>
      <c r="B436" s="172"/>
      <c r="C436" s="172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2"/>
      <c r="BV436" s="172"/>
      <c r="BW436" s="172"/>
      <c r="BX436" s="172"/>
      <c r="BY436" s="174"/>
      <c r="BZ436" s="172"/>
      <c r="CA436" s="172"/>
      <c r="CD436" s="194"/>
      <c r="CE436" s="194"/>
      <c r="CF436" s="194"/>
      <c r="CG436" s="194"/>
      <c r="CH436" s="195"/>
      <c r="CI436" s="194"/>
      <c r="CJ436" s="194"/>
      <c r="CK436" s="194"/>
      <c r="CL436" s="196"/>
      <c r="CM436" s="196"/>
      <c r="CN436" s="194"/>
      <c r="CO436" s="197"/>
      <c r="CP436" s="196"/>
      <c r="CQ436" s="196"/>
      <c r="CR436" s="196"/>
      <c r="CS436" s="196"/>
      <c r="CT436" s="196"/>
      <c r="CU436" s="196"/>
      <c r="CV436" s="194"/>
      <c r="CW436" s="194"/>
      <c r="CX436" s="194"/>
      <c r="CY436" s="194"/>
      <c r="CZ436" s="194"/>
      <c r="DA436" s="194"/>
      <c r="DB436" s="194"/>
      <c r="DC436" s="194"/>
      <c r="DD436" s="194"/>
      <c r="DE436" s="194"/>
      <c r="DF436" s="196"/>
      <c r="DG436" s="198"/>
      <c r="DH436" s="194"/>
      <c r="DI436" s="282"/>
      <c r="DJ436" s="282"/>
      <c r="DK436" s="282"/>
      <c r="DL436" s="282"/>
    </row>
    <row r="437" spans="1:116" s="24" customFormat="1" x14ac:dyDescent="0.3">
      <c r="A437" s="172"/>
      <c r="B437" s="172"/>
      <c r="C437" s="172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2"/>
      <c r="BV437" s="172"/>
      <c r="BW437" s="172"/>
      <c r="BX437" s="172"/>
      <c r="BY437" s="174"/>
      <c r="BZ437" s="172"/>
      <c r="CA437" s="172"/>
      <c r="CD437" s="194"/>
      <c r="CE437" s="194"/>
      <c r="CF437" s="194"/>
      <c r="CG437" s="194"/>
      <c r="CH437" s="195"/>
      <c r="CI437" s="194"/>
      <c r="CJ437" s="194"/>
      <c r="CK437" s="194"/>
      <c r="CL437" s="196"/>
      <c r="CM437" s="196"/>
      <c r="CN437" s="194"/>
      <c r="CO437" s="197"/>
      <c r="CP437" s="196"/>
      <c r="CQ437" s="196"/>
      <c r="CR437" s="196"/>
      <c r="CS437" s="196"/>
      <c r="CT437" s="196"/>
      <c r="CU437" s="196"/>
      <c r="CV437" s="194"/>
      <c r="CW437" s="194"/>
      <c r="CX437" s="194"/>
      <c r="CY437" s="194"/>
      <c r="CZ437" s="194"/>
      <c r="DA437" s="194"/>
      <c r="DB437" s="194"/>
      <c r="DC437" s="194"/>
      <c r="DD437" s="194"/>
      <c r="DE437" s="194"/>
      <c r="DF437" s="196"/>
      <c r="DG437" s="198"/>
      <c r="DH437" s="194"/>
      <c r="DI437" s="282"/>
      <c r="DJ437" s="282"/>
      <c r="DK437" s="282"/>
      <c r="DL437" s="282"/>
    </row>
    <row r="438" spans="1:116" s="24" customFormat="1" x14ac:dyDescent="0.3">
      <c r="A438" s="172"/>
      <c r="B438" s="172"/>
      <c r="C438" s="172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4"/>
      <c r="BZ438" s="172"/>
      <c r="CA438" s="172"/>
      <c r="CD438" s="194"/>
      <c r="CE438" s="194"/>
      <c r="CF438" s="194"/>
      <c r="CG438" s="194"/>
      <c r="CH438" s="195"/>
      <c r="CI438" s="194"/>
      <c r="CJ438" s="194"/>
      <c r="CK438" s="194"/>
      <c r="CL438" s="196"/>
      <c r="CM438" s="196"/>
      <c r="CN438" s="194"/>
      <c r="CO438" s="197"/>
      <c r="CP438" s="196"/>
      <c r="CQ438" s="196"/>
      <c r="CR438" s="196"/>
      <c r="CS438" s="196"/>
      <c r="CT438" s="196"/>
      <c r="CU438" s="196"/>
      <c r="CV438" s="194"/>
      <c r="CW438" s="194"/>
      <c r="CX438" s="194"/>
      <c r="CY438" s="194"/>
      <c r="CZ438" s="194"/>
      <c r="DA438" s="194"/>
      <c r="DB438" s="194"/>
      <c r="DC438" s="194"/>
      <c r="DD438" s="194"/>
      <c r="DE438" s="194"/>
      <c r="DF438" s="196"/>
      <c r="DG438" s="198"/>
      <c r="DH438" s="194"/>
      <c r="DI438" s="282"/>
      <c r="DJ438" s="282"/>
      <c r="DK438" s="282"/>
      <c r="DL438" s="282"/>
    </row>
    <row r="439" spans="1:116" s="24" customFormat="1" x14ac:dyDescent="0.3">
      <c r="A439" s="172"/>
      <c r="B439" s="172"/>
      <c r="C439" s="172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  <c r="BT439" s="172"/>
      <c r="BU439" s="172"/>
      <c r="BV439" s="172"/>
      <c r="BW439" s="172"/>
      <c r="BX439" s="172"/>
      <c r="BY439" s="174"/>
      <c r="BZ439" s="172"/>
      <c r="CA439" s="172"/>
      <c r="CD439" s="194"/>
      <c r="CE439" s="194"/>
      <c r="CF439" s="194"/>
      <c r="CG439" s="194"/>
      <c r="CH439" s="195"/>
      <c r="CI439" s="194"/>
      <c r="CJ439" s="194"/>
      <c r="CK439" s="194"/>
      <c r="CL439" s="196"/>
      <c r="CM439" s="196"/>
      <c r="CN439" s="194"/>
      <c r="CO439" s="197"/>
      <c r="CP439" s="196"/>
      <c r="CQ439" s="196"/>
      <c r="CR439" s="196"/>
      <c r="CS439" s="196"/>
      <c r="CT439" s="196"/>
      <c r="CU439" s="196"/>
      <c r="CV439" s="194"/>
      <c r="CW439" s="194"/>
      <c r="CX439" s="194"/>
      <c r="CY439" s="194"/>
      <c r="CZ439" s="194"/>
      <c r="DA439" s="194"/>
      <c r="DB439" s="194"/>
      <c r="DC439" s="194"/>
      <c r="DD439" s="194"/>
      <c r="DE439" s="194"/>
      <c r="DF439" s="196"/>
      <c r="DG439" s="198"/>
      <c r="DH439" s="194"/>
      <c r="DI439" s="282"/>
      <c r="DJ439" s="282"/>
      <c r="DK439" s="282"/>
      <c r="DL439" s="282"/>
    </row>
    <row r="440" spans="1:116" s="24" customFormat="1" x14ac:dyDescent="0.3">
      <c r="A440" s="172"/>
      <c r="B440" s="172"/>
      <c r="C440" s="172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4"/>
      <c r="BZ440" s="172"/>
      <c r="CA440" s="172"/>
      <c r="CD440" s="194"/>
      <c r="CE440" s="194"/>
      <c r="CF440" s="194"/>
      <c r="CG440" s="194"/>
      <c r="CH440" s="195"/>
      <c r="CI440" s="194"/>
      <c r="CJ440" s="194"/>
      <c r="CK440" s="194"/>
      <c r="CL440" s="196"/>
      <c r="CM440" s="196"/>
      <c r="CN440" s="194"/>
      <c r="CO440" s="197"/>
      <c r="CP440" s="196"/>
      <c r="CQ440" s="196"/>
      <c r="CR440" s="196"/>
      <c r="CS440" s="196"/>
      <c r="CT440" s="196"/>
      <c r="CU440" s="196"/>
      <c r="CV440" s="194"/>
      <c r="CW440" s="194"/>
      <c r="CX440" s="194"/>
      <c r="CY440" s="194"/>
      <c r="CZ440" s="194"/>
      <c r="DA440" s="194"/>
      <c r="DB440" s="194"/>
      <c r="DC440" s="194"/>
      <c r="DD440" s="194"/>
      <c r="DE440" s="194"/>
      <c r="DF440" s="196"/>
      <c r="DG440" s="198"/>
      <c r="DH440" s="194"/>
      <c r="DI440" s="282"/>
      <c r="DJ440" s="282"/>
      <c r="DK440" s="282"/>
      <c r="DL440" s="282"/>
    </row>
    <row r="441" spans="1:116" s="24" customFormat="1" x14ac:dyDescent="0.3">
      <c r="A441" s="172"/>
      <c r="B441" s="172"/>
      <c r="C441" s="172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4"/>
      <c r="BZ441" s="172"/>
      <c r="CA441" s="172"/>
      <c r="CD441" s="194"/>
      <c r="CE441" s="194"/>
      <c r="CF441" s="194"/>
      <c r="CG441" s="194"/>
      <c r="CH441" s="195"/>
      <c r="CI441" s="194"/>
      <c r="CJ441" s="194"/>
      <c r="CK441" s="194"/>
      <c r="CL441" s="196"/>
      <c r="CM441" s="196"/>
      <c r="CN441" s="194"/>
      <c r="CO441" s="197"/>
      <c r="CP441" s="196"/>
      <c r="CQ441" s="196"/>
      <c r="CR441" s="196"/>
      <c r="CS441" s="196"/>
      <c r="CT441" s="196"/>
      <c r="CU441" s="196"/>
      <c r="CV441" s="194"/>
      <c r="CW441" s="194"/>
      <c r="CX441" s="194"/>
      <c r="CY441" s="194"/>
      <c r="CZ441" s="194"/>
      <c r="DA441" s="194"/>
      <c r="DB441" s="194"/>
      <c r="DC441" s="194"/>
      <c r="DD441" s="194"/>
      <c r="DE441" s="194"/>
      <c r="DF441" s="196"/>
      <c r="DG441" s="198"/>
      <c r="DH441" s="194"/>
      <c r="DI441" s="282"/>
      <c r="DJ441" s="282"/>
      <c r="DK441" s="282"/>
      <c r="DL441" s="282"/>
    </row>
    <row r="442" spans="1:116" s="24" customFormat="1" x14ac:dyDescent="0.3">
      <c r="A442" s="172"/>
      <c r="B442" s="172"/>
      <c r="C442" s="172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  <c r="BT442" s="172"/>
      <c r="BU442" s="172"/>
      <c r="BV442" s="172"/>
      <c r="BW442" s="172"/>
      <c r="BX442" s="172"/>
      <c r="BY442" s="174"/>
      <c r="BZ442" s="172"/>
      <c r="CA442" s="172"/>
      <c r="CD442" s="194"/>
      <c r="CE442" s="194"/>
      <c r="CF442" s="194"/>
      <c r="CG442" s="194"/>
      <c r="CH442" s="195"/>
      <c r="CI442" s="194"/>
      <c r="CJ442" s="194"/>
      <c r="CK442" s="194"/>
      <c r="CL442" s="196"/>
      <c r="CM442" s="196"/>
      <c r="CN442" s="194"/>
      <c r="CO442" s="197"/>
      <c r="CP442" s="196"/>
      <c r="CQ442" s="196"/>
      <c r="CR442" s="196"/>
      <c r="CS442" s="196"/>
      <c r="CT442" s="196"/>
      <c r="CU442" s="196"/>
      <c r="CV442" s="194"/>
      <c r="CW442" s="194"/>
      <c r="CX442" s="194"/>
      <c r="CY442" s="194"/>
      <c r="CZ442" s="194"/>
      <c r="DA442" s="194"/>
      <c r="DB442" s="194"/>
      <c r="DC442" s="194"/>
      <c r="DD442" s="194"/>
      <c r="DE442" s="194"/>
      <c r="DF442" s="196"/>
      <c r="DG442" s="198"/>
      <c r="DH442" s="194"/>
      <c r="DI442" s="282"/>
      <c r="DJ442" s="282"/>
      <c r="DK442" s="282"/>
      <c r="DL442" s="282"/>
    </row>
    <row r="443" spans="1:116" s="24" customFormat="1" x14ac:dyDescent="0.3">
      <c r="A443" s="172"/>
      <c r="B443" s="172"/>
      <c r="C443" s="172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  <c r="BT443" s="172"/>
      <c r="BU443" s="172"/>
      <c r="BV443" s="172"/>
      <c r="BW443" s="172"/>
      <c r="BX443" s="172"/>
      <c r="BY443" s="174"/>
      <c r="BZ443" s="172"/>
      <c r="CA443" s="172"/>
      <c r="CD443" s="194"/>
      <c r="CE443" s="194"/>
      <c r="CF443" s="194"/>
      <c r="CG443" s="194"/>
      <c r="CH443" s="195"/>
      <c r="CI443" s="194"/>
      <c r="CJ443" s="194"/>
      <c r="CK443" s="194"/>
      <c r="CL443" s="196"/>
      <c r="CM443" s="196"/>
      <c r="CN443" s="194"/>
      <c r="CO443" s="197"/>
      <c r="CP443" s="196"/>
      <c r="CQ443" s="196"/>
      <c r="CR443" s="196"/>
      <c r="CS443" s="196"/>
      <c r="CT443" s="196"/>
      <c r="CU443" s="196"/>
      <c r="CV443" s="194"/>
      <c r="CW443" s="194"/>
      <c r="CX443" s="194"/>
      <c r="CY443" s="194"/>
      <c r="CZ443" s="194"/>
      <c r="DA443" s="194"/>
      <c r="DB443" s="194"/>
      <c r="DC443" s="194"/>
      <c r="DD443" s="194"/>
      <c r="DE443" s="194"/>
      <c r="DF443" s="196"/>
      <c r="DG443" s="198"/>
      <c r="DH443" s="194"/>
      <c r="DI443" s="282"/>
      <c r="DJ443" s="282"/>
      <c r="DK443" s="282"/>
      <c r="DL443" s="282"/>
    </row>
    <row r="444" spans="1:116" s="24" customFormat="1" x14ac:dyDescent="0.3">
      <c r="A444" s="172"/>
      <c r="B444" s="172"/>
      <c r="C444" s="172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/>
      <c r="BX444" s="172"/>
      <c r="BY444" s="174"/>
      <c r="BZ444" s="172"/>
      <c r="CA444" s="172"/>
      <c r="CD444" s="194"/>
      <c r="CE444" s="194"/>
      <c r="CF444" s="194"/>
      <c r="CG444" s="194"/>
      <c r="CH444" s="195"/>
      <c r="CI444" s="194"/>
      <c r="CJ444" s="194"/>
      <c r="CK444" s="194"/>
      <c r="CL444" s="196"/>
      <c r="CM444" s="196"/>
      <c r="CN444" s="194"/>
      <c r="CO444" s="197"/>
      <c r="CP444" s="196"/>
      <c r="CQ444" s="196"/>
      <c r="CR444" s="196"/>
      <c r="CS444" s="196"/>
      <c r="CT444" s="196"/>
      <c r="CU444" s="196"/>
      <c r="CV444" s="194"/>
      <c r="CW444" s="194"/>
      <c r="CX444" s="194"/>
      <c r="CY444" s="194"/>
      <c r="CZ444" s="194"/>
      <c r="DA444" s="194"/>
      <c r="DB444" s="194"/>
      <c r="DC444" s="194"/>
      <c r="DD444" s="194"/>
      <c r="DE444" s="194"/>
      <c r="DF444" s="196"/>
      <c r="DG444" s="198"/>
      <c r="DH444" s="194"/>
      <c r="DI444" s="282"/>
      <c r="DJ444" s="282"/>
      <c r="DK444" s="282"/>
      <c r="DL444" s="282"/>
    </row>
    <row r="445" spans="1:116" s="24" customFormat="1" x14ac:dyDescent="0.3">
      <c r="A445" s="172"/>
      <c r="B445" s="172"/>
      <c r="C445" s="172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  <c r="BT445" s="172"/>
      <c r="BU445" s="172"/>
      <c r="BV445" s="172"/>
      <c r="BW445" s="172"/>
      <c r="BX445" s="172"/>
      <c r="BY445" s="174"/>
      <c r="BZ445" s="172"/>
      <c r="CA445" s="172"/>
      <c r="CD445" s="194"/>
      <c r="CE445" s="194"/>
      <c r="CF445" s="194"/>
      <c r="CG445" s="194"/>
      <c r="CH445" s="195"/>
      <c r="CI445" s="194"/>
      <c r="CJ445" s="194"/>
      <c r="CK445" s="194"/>
      <c r="CL445" s="196"/>
      <c r="CM445" s="196"/>
      <c r="CN445" s="194"/>
      <c r="CO445" s="197"/>
      <c r="CP445" s="196"/>
      <c r="CQ445" s="196"/>
      <c r="CR445" s="196"/>
      <c r="CS445" s="196"/>
      <c r="CT445" s="196"/>
      <c r="CU445" s="196"/>
      <c r="CV445" s="194"/>
      <c r="CW445" s="194"/>
      <c r="CX445" s="194"/>
      <c r="CY445" s="194"/>
      <c r="CZ445" s="194"/>
      <c r="DA445" s="194"/>
      <c r="DB445" s="194"/>
      <c r="DC445" s="194"/>
      <c r="DD445" s="194"/>
      <c r="DE445" s="194"/>
      <c r="DF445" s="196"/>
      <c r="DG445" s="198"/>
      <c r="DH445" s="194"/>
      <c r="DI445" s="282"/>
      <c r="DJ445" s="282"/>
      <c r="DK445" s="282"/>
      <c r="DL445" s="282"/>
    </row>
    <row r="446" spans="1:116" s="24" customFormat="1" x14ac:dyDescent="0.3">
      <c r="A446" s="172"/>
      <c r="B446" s="172"/>
      <c r="C446" s="172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  <c r="BT446" s="172"/>
      <c r="BU446" s="172"/>
      <c r="BV446" s="172"/>
      <c r="BW446" s="172"/>
      <c r="BX446" s="172"/>
      <c r="BY446" s="174"/>
      <c r="BZ446" s="172"/>
      <c r="CA446" s="172"/>
      <c r="CD446" s="194"/>
      <c r="CE446" s="194"/>
      <c r="CF446" s="194"/>
      <c r="CG446" s="194"/>
      <c r="CH446" s="195"/>
      <c r="CI446" s="194"/>
      <c r="CJ446" s="194"/>
      <c r="CK446" s="194"/>
      <c r="CL446" s="196"/>
      <c r="CM446" s="196"/>
      <c r="CN446" s="194"/>
      <c r="CO446" s="197"/>
      <c r="CP446" s="196"/>
      <c r="CQ446" s="196"/>
      <c r="CR446" s="196"/>
      <c r="CS446" s="196"/>
      <c r="CT446" s="196"/>
      <c r="CU446" s="196"/>
      <c r="CV446" s="194"/>
      <c r="CW446" s="194"/>
      <c r="CX446" s="194"/>
      <c r="CY446" s="194"/>
      <c r="CZ446" s="194"/>
      <c r="DA446" s="194"/>
      <c r="DB446" s="194"/>
      <c r="DC446" s="194"/>
      <c r="DD446" s="194"/>
      <c r="DE446" s="194"/>
      <c r="DF446" s="196"/>
      <c r="DG446" s="198"/>
      <c r="DH446" s="194"/>
      <c r="DI446" s="282"/>
      <c r="DJ446" s="282"/>
      <c r="DK446" s="282"/>
      <c r="DL446" s="282"/>
    </row>
    <row r="447" spans="1:116" s="24" customFormat="1" x14ac:dyDescent="0.3">
      <c r="A447" s="172"/>
      <c r="B447" s="172"/>
      <c r="C447" s="172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  <c r="BT447" s="172"/>
      <c r="BU447" s="172"/>
      <c r="BV447" s="172"/>
      <c r="BW447" s="172"/>
      <c r="BX447" s="172"/>
      <c r="BY447" s="174"/>
      <c r="BZ447" s="172"/>
      <c r="CA447" s="172"/>
      <c r="CD447" s="194"/>
      <c r="CE447" s="194"/>
      <c r="CF447" s="194"/>
      <c r="CG447" s="194"/>
      <c r="CH447" s="195"/>
      <c r="CI447" s="194"/>
      <c r="CJ447" s="194"/>
      <c r="CK447" s="194"/>
      <c r="CL447" s="196"/>
      <c r="CM447" s="196"/>
      <c r="CN447" s="194"/>
      <c r="CO447" s="197"/>
      <c r="CP447" s="196"/>
      <c r="CQ447" s="196"/>
      <c r="CR447" s="196"/>
      <c r="CS447" s="196"/>
      <c r="CT447" s="196"/>
      <c r="CU447" s="196"/>
      <c r="CV447" s="194"/>
      <c r="CW447" s="194"/>
      <c r="CX447" s="194"/>
      <c r="CY447" s="194"/>
      <c r="CZ447" s="194"/>
      <c r="DA447" s="194"/>
      <c r="DB447" s="194"/>
      <c r="DC447" s="194"/>
      <c r="DD447" s="194"/>
      <c r="DE447" s="194"/>
      <c r="DF447" s="196"/>
      <c r="DG447" s="198"/>
      <c r="DH447" s="194"/>
      <c r="DI447" s="282"/>
      <c r="DJ447" s="282"/>
      <c r="DK447" s="282"/>
      <c r="DL447" s="282"/>
    </row>
    <row r="448" spans="1:116" s="24" customFormat="1" x14ac:dyDescent="0.3">
      <c r="A448" s="172"/>
      <c r="B448" s="172"/>
      <c r="C448" s="172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  <c r="BT448" s="172"/>
      <c r="BU448" s="172"/>
      <c r="BV448" s="172"/>
      <c r="BW448" s="172"/>
      <c r="BX448" s="172"/>
      <c r="BY448" s="174"/>
      <c r="BZ448" s="172"/>
      <c r="CA448" s="172"/>
      <c r="CD448" s="194"/>
      <c r="CE448" s="194"/>
      <c r="CF448" s="194"/>
      <c r="CG448" s="194"/>
      <c r="CH448" s="195"/>
      <c r="CI448" s="194"/>
      <c r="CJ448" s="194"/>
      <c r="CK448" s="194"/>
      <c r="CL448" s="196"/>
      <c r="CM448" s="196"/>
      <c r="CN448" s="194"/>
      <c r="CO448" s="197"/>
      <c r="CP448" s="196"/>
      <c r="CQ448" s="196"/>
      <c r="CR448" s="196"/>
      <c r="CS448" s="196"/>
      <c r="CT448" s="196"/>
      <c r="CU448" s="196"/>
      <c r="CV448" s="194"/>
      <c r="CW448" s="194"/>
      <c r="CX448" s="194"/>
      <c r="CY448" s="194"/>
      <c r="CZ448" s="194"/>
      <c r="DA448" s="194"/>
      <c r="DB448" s="194"/>
      <c r="DC448" s="194"/>
      <c r="DD448" s="194"/>
      <c r="DE448" s="194"/>
      <c r="DF448" s="196"/>
      <c r="DG448" s="198"/>
      <c r="DH448" s="194"/>
      <c r="DI448" s="282"/>
      <c r="DJ448" s="282"/>
      <c r="DK448" s="282"/>
      <c r="DL448" s="282"/>
    </row>
    <row r="449" spans="1:116" s="24" customFormat="1" x14ac:dyDescent="0.3">
      <c r="A449" s="172"/>
      <c r="B449" s="172"/>
      <c r="C449" s="172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  <c r="BT449" s="172"/>
      <c r="BU449" s="172"/>
      <c r="BV449" s="172"/>
      <c r="BW449" s="172"/>
      <c r="BX449" s="172"/>
      <c r="BY449" s="174"/>
      <c r="BZ449" s="172"/>
      <c r="CA449" s="172"/>
      <c r="CD449" s="194"/>
      <c r="CE449" s="194"/>
      <c r="CF449" s="194"/>
      <c r="CG449" s="194"/>
      <c r="CH449" s="195"/>
      <c r="CI449" s="194"/>
      <c r="CJ449" s="194"/>
      <c r="CK449" s="194"/>
      <c r="CL449" s="196"/>
      <c r="CM449" s="196"/>
      <c r="CN449" s="194"/>
      <c r="CO449" s="197"/>
      <c r="CP449" s="196"/>
      <c r="CQ449" s="196"/>
      <c r="CR449" s="196"/>
      <c r="CS449" s="196"/>
      <c r="CT449" s="196"/>
      <c r="CU449" s="196"/>
      <c r="CV449" s="194"/>
      <c r="CW449" s="194"/>
      <c r="CX449" s="194"/>
      <c r="CY449" s="194"/>
      <c r="CZ449" s="194"/>
      <c r="DA449" s="194"/>
      <c r="DB449" s="194"/>
      <c r="DC449" s="194"/>
      <c r="DD449" s="194"/>
      <c r="DE449" s="194"/>
      <c r="DF449" s="196"/>
      <c r="DG449" s="198"/>
      <c r="DH449" s="194"/>
      <c r="DI449" s="282"/>
      <c r="DJ449" s="282"/>
      <c r="DK449" s="282"/>
      <c r="DL449" s="282"/>
    </row>
    <row r="450" spans="1:116" s="24" customFormat="1" x14ac:dyDescent="0.3">
      <c r="A450" s="172"/>
      <c r="B450" s="172"/>
      <c r="C450" s="172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  <c r="BT450" s="172"/>
      <c r="BU450" s="172"/>
      <c r="BV450" s="172"/>
      <c r="BW450" s="172"/>
      <c r="BX450" s="172"/>
      <c r="BY450" s="174"/>
      <c r="BZ450" s="172"/>
      <c r="CA450" s="172"/>
      <c r="CD450" s="194"/>
      <c r="CE450" s="194"/>
      <c r="CF450" s="194"/>
      <c r="CG450" s="194"/>
      <c r="CH450" s="195"/>
      <c r="CI450" s="194"/>
      <c r="CJ450" s="194"/>
      <c r="CK450" s="194"/>
      <c r="CL450" s="196"/>
      <c r="CM450" s="196"/>
      <c r="CN450" s="194"/>
      <c r="CO450" s="197"/>
      <c r="CP450" s="196"/>
      <c r="CQ450" s="196"/>
      <c r="CR450" s="196"/>
      <c r="CS450" s="196"/>
      <c r="CT450" s="196"/>
      <c r="CU450" s="196"/>
      <c r="CV450" s="194"/>
      <c r="CW450" s="194"/>
      <c r="CX450" s="194"/>
      <c r="CY450" s="194"/>
      <c r="CZ450" s="194"/>
      <c r="DA450" s="194"/>
      <c r="DB450" s="194"/>
      <c r="DC450" s="194"/>
      <c r="DD450" s="194"/>
      <c r="DE450" s="194"/>
      <c r="DF450" s="196"/>
      <c r="DG450" s="198"/>
      <c r="DH450" s="194"/>
      <c r="DI450" s="282"/>
      <c r="DJ450" s="282"/>
      <c r="DK450" s="282"/>
      <c r="DL450" s="282"/>
    </row>
    <row r="451" spans="1:116" s="24" customFormat="1" x14ac:dyDescent="0.3">
      <c r="A451" s="172"/>
      <c r="B451" s="172"/>
      <c r="C451" s="172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  <c r="BT451" s="172"/>
      <c r="BU451" s="172"/>
      <c r="BV451" s="172"/>
      <c r="BW451" s="172"/>
      <c r="BX451" s="172"/>
      <c r="BY451" s="174"/>
      <c r="BZ451" s="172"/>
      <c r="CA451" s="172"/>
      <c r="CD451" s="194"/>
      <c r="CE451" s="194"/>
      <c r="CF451" s="194"/>
      <c r="CG451" s="194"/>
      <c r="CH451" s="195"/>
      <c r="CI451" s="194"/>
      <c r="CJ451" s="194"/>
      <c r="CK451" s="194"/>
      <c r="CL451" s="196"/>
      <c r="CM451" s="196"/>
      <c r="CN451" s="194"/>
      <c r="CO451" s="197"/>
      <c r="CP451" s="196"/>
      <c r="CQ451" s="196"/>
      <c r="CR451" s="196"/>
      <c r="CS451" s="196"/>
      <c r="CT451" s="196"/>
      <c r="CU451" s="196"/>
      <c r="CV451" s="194"/>
      <c r="CW451" s="194"/>
      <c r="CX451" s="194"/>
      <c r="CY451" s="194"/>
      <c r="CZ451" s="194"/>
      <c r="DA451" s="194"/>
      <c r="DB451" s="194"/>
      <c r="DC451" s="194"/>
      <c r="DD451" s="194"/>
      <c r="DE451" s="194"/>
      <c r="DF451" s="196"/>
      <c r="DG451" s="198"/>
      <c r="DH451" s="194"/>
      <c r="DI451" s="282"/>
      <c r="DJ451" s="282"/>
      <c r="DK451" s="282"/>
      <c r="DL451" s="282"/>
    </row>
    <row r="452" spans="1:116" s="24" customFormat="1" x14ac:dyDescent="0.3">
      <c r="A452" s="172"/>
      <c r="B452" s="172"/>
      <c r="C452" s="172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  <c r="BT452" s="172"/>
      <c r="BU452" s="172"/>
      <c r="BV452" s="172"/>
      <c r="BW452" s="172"/>
      <c r="BX452" s="172"/>
      <c r="BY452" s="174"/>
      <c r="BZ452" s="172"/>
      <c r="CA452" s="172"/>
      <c r="CD452" s="194"/>
      <c r="CE452" s="194"/>
      <c r="CF452" s="194"/>
      <c r="CG452" s="194"/>
      <c r="CH452" s="195"/>
      <c r="CI452" s="194"/>
      <c r="CJ452" s="194"/>
      <c r="CK452" s="194"/>
      <c r="CL452" s="196"/>
      <c r="CM452" s="196"/>
      <c r="CN452" s="194"/>
      <c r="CO452" s="197"/>
      <c r="CP452" s="196"/>
      <c r="CQ452" s="196"/>
      <c r="CR452" s="196"/>
      <c r="CS452" s="196"/>
      <c r="CT452" s="196"/>
      <c r="CU452" s="196"/>
      <c r="CV452" s="194"/>
      <c r="CW452" s="194"/>
      <c r="CX452" s="194"/>
      <c r="CY452" s="194"/>
      <c r="CZ452" s="194"/>
      <c r="DA452" s="194"/>
      <c r="DB452" s="194"/>
      <c r="DC452" s="194"/>
      <c r="DD452" s="194"/>
      <c r="DE452" s="194"/>
      <c r="DF452" s="196"/>
      <c r="DG452" s="198"/>
      <c r="DH452" s="194"/>
      <c r="DI452" s="282"/>
      <c r="DJ452" s="282"/>
      <c r="DK452" s="282"/>
      <c r="DL452" s="282"/>
    </row>
    <row r="453" spans="1:116" s="24" customFormat="1" x14ac:dyDescent="0.3">
      <c r="A453" s="172"/>
      <c r="B453" s="172"/>
      <c r="C453" s="172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  <c r="BT453" s="172"/>
      <c r="BU453" s="172"/>
      <c r="BV453" s="172"/>
      <c r="BW453" s="172"/>
      <c r="BX453" s="172"/>
      <c r="BY453" s="174"/>
      <c r="BZ453" s="172"/>
      <c r="CA453" s="172"/>
      <c r="CD453" s="194"/>
      <c r="CE453" s="194"/>
      <c r="CF453" s="194"/>
      <c r="CG453" s="194"/>
      <c r="CH453" s="195"/>
      <c r="CI453" s="194"/>
      <c r="CJ453" s="194"/>
      <c r="CK453" s="194"/>
      <c r="CL453" s="196"/>
      <c r="CM453" s="196"/>
      <c r="CN453" s="194"/>
      <c r="CO453" s="197"/>
      <c r="CP453" s="196"/>
      <c r="CQ453" s="196"/>
      <c r="CR453" s="196"/>
      <c r="CS453" s="196"/>
      <c r="CT453" s="196"/>
      <c r="CU453" s="196"/>
      <c r="CV453" s="194"/>
      <c r="CW453" s="194"/>
      <c r="CX453" s="194"/>
      <c r="CY453" s="194"/>
      <c r="CZ453" s="194"/>
      <c r="DA453" s="194"/>
      <c r="DB453" s="194"/>
      <c r="DC453" s="194"/>
      <c r="DD453" s="194"/>
      <c r="DE453" s="194"/>
      <c r="DF453" s="196"/>
      <c r="DG453" s="198"/>
      <c r="DH453" s="194"/>
      <c r="DI453" s="282"/>
      <c r="DJ453" s="282"/>
      <c r="DK453" s="282"/>
      <c r="DL453" s="282"/>
    </row>
    <row r="454" spans="1:116" s="24" customFormat="1" x14ac:dyDescent="0.3">
      <c r="A454" s="172"/>
      <c r="B454" s="172"/>
      <c r="C454" s="172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2"/>
      <c r="BV454" s="172"/>
      <c r="BW454" s="172"/>
      <c r="BX454" s="172"/>
      <c r="BY454" s="174"/>
      <c r="BZ454" s="172"/>
      <c r="CA454" s="172"/>
      <c r="CD454" s="194"/>
      <c r="CE454" s="194"/>
      <c r="CF454" s="194"/>
      <c r="CG454" s="194"/>
      <c r="CH454" s="195"/>
      <c r="CI454" s="194"/>
      <c r="CJ454" s="194"/>
      <c r="CK454" s="194"/>
      <c r="CL454" s="196"/>
      <c r="CM454" s="196"/>
      <c r="CN454" s="194"/>
      <c r="CO454" s="197"/>
      <c r="CP454" s="196"/>
      <c r="CQ454" s="196"/>
      <c r="CR454" s="196"/>
      <c r="CS454" s="196"/>
      <c r="CT454" s="196"/>
      <c r="CU454" s="196"/>
      <c r="CV454" s="194"/>
      <c r="CW454" s="194"/>
      <c r="CX454" s="194"/>
      <c r="CY454" s="194"/>
      <c r="CZ454" s="194"/>
      <c r="DA454" s="194"/>
      <c r="DB454" s="194"/>
      <c r="DC454" s="194"/>
      <c r="DD454" s="194"/>
      <c r="DE454" s="194"/>
      <c r="DF454" s="196"/>
      <c r="DG454" s="198"/>
      <c r="DH454" s="194"/>
      <c r="DI454" s="282"/>
      <c r="DJ454" s="282"/>
      <c r="DK454" s="282"/>
      <c r="DL454" s="282"/>
    </row>
    <row r="455" spans="1:116" s="24" customFormat="1" x14ac:dyDescent="0.3">
      <c r="A455" s="172"/>
      <c r="B455" s="172"/>
      <c r="C455" s="172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  <c r="BT455" s="172"/>
      <c r="BU455" s="172"/>
      <c r="BV455" s="172"/>
      <c r="BW455" s="172"/>
      <c r="BX455" s="172"/>
      <c r="BY455" s="174"/>
      <c r="BZ455" s="172"/>
      <c r="CA455" s="172"/>
      <c r="CD455" s="194"/>
      <c r="CE455" s="194"/>
      <c r="CF455" s="194"/>
      <c r="CG455" s="194"/>
      <c r="CH455" s="195"/>
      <c r="CI455" s="194"/>
      <c r="CJ455" s="194"/>
      <c r="CK455" s="194"/>
      <c r="CL455" s="196"/>
      <c r="CM455" s="196"/>
      <c r="CN455" s="194"/>
      <c r="CO455" s="197"/>
      <c r="CP455" s="196"/>
      <c r="CQ455" s="196"/>
      <c r="CR455" s="196"/>
      <c r="CS455" s="196"/>
      <c r="CT455" s="196"/>
      <c r="CU455" s="196"/>
      <c r="CV455" s="194"/>
      <c r="CW455" s="194"/>
      <c r="CX455" s="194"/>
      <c r="CY455" s="194"/>
      <c r="CZ455" s="194"/>
      <c r="DA455" s="194"/>
      <c r="DB455" s="194"/>
      <c r="DC455" s="194"/>
      <c r="DD455" s="194"/>
      <c r="DE455" s="194"/>
      <c r="DF455" s="196"/>
      <c r="DG455" s="198"/>
      <c r="DH455" s="194"/>
      <c r="DI455" s="282"/>
      <c r="DJ455" s="282"/>
      <c r="DK455" s="282"/>
      <c r="DL455" s="282"/>
    </row>
    <row r="456" spans="1:116" s="24" customFormat="1" x14ac:dyDescent="0.3">
      <c r="A456" s="172"/>
      <c r="B456" s="172"/>
      <c r="C456" s="172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  <c r="BT456" s="172"/>
      <c r="BU456" s="172"/>
      <c r="BV456" s="172"/>
      <c r="BW456" s="172"/>
      <c r="BX456" s="172"/>
      <c r="BY456" s="174"/>
      <c r="BZ456" s="172"/>
      <c r="CA456" s="172"/>
      <c r="CD456" s="194"/>
      <c r="CE456" s="194"/>
      <c r="CF456" s="194"/>
      <c r="CG456" s="194"/>
      <c r="CH456" s="195"/>
      <c r="CI456" s="194"/>
      <c r="CJ456" s="194"/>
      <c r="CK456" s="194"/>
      <c r="CL456" s="196"/>
      <c r="CM456" s="196"/>
      <c r="CN456" s="194"/>
      <c r="CO456" s="197"/>
      <c r="CP456" s="196"/>
      <c r="CQ456" s="196"/>
      <c r="CR456" s="196"/>
      <c r="CS456" s="196"/>
      <c r="CT456" s="196"/>
      <c r="CU456" s="196"/>
      <c r="CV456" s="194"/>
      <c r="CW456" s="194"/>
      <c r="CX456" s="194"/>
      <c r="CY456" s="194"/>
      <c r="CZ456" s="194"/>
      <c r="DA456" s="194"/>
      <c r="DB456" s="194"/>
      <c r="DC456" s="194"/>
      <c r="DD456" s="194"/>
      <c r="DE456" s="194"/>
      <c r="DF456" s="196"/>
      <c r="DG456" s="198"/>
      <c r="DH456" s="194"/>
      <c r="DI456" s="282"/>
      <c r="DJ456" s="282"/>
      <c r="DK456" s="282"/>
      <c r="DL456" s="282"/>
    </row>
    <row r="457" spans="1:116" s="24" customFormat="1" x14ac:dyDescent="0.3">
      <c r="A457" s="172"/>
      <c r="B457" s="172"/>
      <c r="C457" s="172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  <c r="BT457" s="172"/>
      <c r="BU457" s="172"/>
      <c r="BV457" s="172"/>
      <c r="BW457" s="172"/>
      <c r="BX457" s="172"/>
      <c r="BY457" s="174"/>
      <c r="BZ457" s="172"/>
      <c r="CA457" s="172"/>
      <c r="CD457" s="194"/>
      <c r="CE457" s="194"/>
      <c r="CF457" s="194"/>
      <c r="CG457" s="194"/>
      <c r="CH457" s="195"/>
      <c r="CI457" s="194"/>
      <c r="CJ457" s="194"/>
      <c r="CK457" s="194"/>
      <c r="CL457" s="196"/>
      <c r="CM457" s="196"/>
      <c r="CN457" s="194"/>
      <c r="CO457" s="197"/>
      <c r="CP457" s="196"/>
      <c r="CQ457" s="196"/>
      <c r="CR457" s="196"/>
      <c r="CS457" s="196"/>
      <c r="CT457" s="196"/>
      <c r="CU457" s="196"/>
      <c r="CV457" s="194"/>
      <c r="CW457" s="194"/>
      <c r="CX457" s="194"/>
      <c r="CY457" s="194"/>
      <c r="CZ457" s="194"/>
      <c r="DA457" s="194"/>
      <c r="DB457" s="194"/>
      <c r="DC457" s="194"/>
      <c r="DD457" s="194"/>
      <c r="DE457" s="194"/>
      <c r="DF457" s="196"/>
      <c r="DG457" s="198"/>
      <c r="DH457" s="194"/>
      <c r="DI457" s="282"/>
      <c r="DJ457" s="282"/>
      <c r="DK457" s="282"/>
      <c r="DL457" s="282"/>
    </row>
    <row r="458" spans="1:116" s="24" customFormat="1" x14ac:dyDescent="0.3">
      <c r="A458" s="172"/>
      <c r="B458" s="172"/>
      <c r="C458" s="172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  <c r="BT458" s="172"/>
      <c r="BU458" s="172"/>
      <c r="BV458" s="172"/>
      <c r="BW458" s="172"/>
      <c r="BX458" s="172"/>
      <c r="BY458" s="174"/>
      <c r="BZ458" s="172"/>
      <c r="CA458" s="172"/>
      <c r="CD458" s="194"/>
      <c r="CE458" s="194"/>
      <c r="CF458" s="194"/>
      <c r="CG458" s="194"/>
      <c r="CH458" s="195"/>
      <c r="CI458" s="194"/>
      <c r="CJ458" s="194"/>
      <c r="CK458" s="194"/>
      <c r="CL458" s="196"/>
      <c r="CM458" s="196"/>
      <c r="CN458" s="194"/>
      <c r="CO458" s="197"/>
      <c r="CP458" s="196"/>
      <c r="CQ458" s="196"/>
      <c r="CR458" s="196"/>
      <c r="CS458" s="196"/>
      <c r="CT458" s="196"/>
      <c r="CU458" s="196"/>
      <c r="CV458" s="194"/>
      <c r="CW458" s="194"/>
      <c r="CX458" s="194"/>
      <c r="CY458" s="194"/>
      <c r="CZ458" s="194"/>
      <c r="DA458" s="194"/>
      <c r="DB458" s="194"/>
      <c r="DC458" s="194"/>
      <c r="DD458" s="194"/>
      <c r="DE458" s="194"/>
      <c r="DF458" s="196"/>
      <c r="DG458" s="198"/>
      <c r="DH458" s="194"/>
      <c r="DI458" s="282"/>
      <c r="DJ458" s="282"/>
      <c r="DK458" s="282"/>
      <c r="DL458" s="282"/>
    </row>
    <row r="459" spans="1:116" s="24" customFormat="1" x14ac:dyDescent="0.3">
      <c r="A459" s="172"/>
      <c r="B459" s="172"/>
      <c r="C459" s="172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  <c r="BT459" s="172"/>
      <c r="BU459" s="172"/>
      <c r="BV459" s="172"/>
      <c r="BW459" s="172"/>
      <c r="BX459" s="172"/>
      <c r="BY459" s="174"/>
      <c r="BZ459" s="172"/>
      <c r="CA459" s="172"/>
      <c r="CD459" s="194"/>
      <c r="CE459" s="194"/>
      <c r="CF459" s="194"/>
      <c r="CG459" s="194"/>
      <c r="CH459" s="195"/>
      <c r="CI459" s="194"/>
      <c r="CJ459" s="194"/>
      <c r="CK459" s="194"/>
      <c r="CL459" s="196"/>
      <c r="CM459" s="196"/>
      <c r="CN459" s="194"/>
      <c r="CO459" s="197"/>
      <c r="CP459" s="196"/>
      <c r="CQ459" s="196"/>
      <c r="CR459" s="196"/>
      <c r="CS459" s="196"/>
      <c r="CT459" s="196"/>
      <c r="CU459" s="196"/>
      <c r="CV459" s="194"/>
      <c r="CW459" s="194"/>
      <c r="CX459" s="194"/>
      <c r="CY459" s="194"/>
      <c r="CZ459" s="194"/>
      <c r="DA459" s="194"/>
      <c r="DB459" s="194"/>
      <c r="DC459" s="194"/>
      <c r="DD459" s="194"/>
      <c r="DE459" s="194"/>
      <c r="DF459" s="196"/>
      <c r="DG459" s="198"/>
      <c r="DH459" s="194"/>
      <c r="DI459" s="282"/>
      <c r="DJ459" s="282"/>
      <c r="DK459" s="282"/>
      <c r="DL459" s="282"/>
    </row>
    <row r="460" spans="1:116" s="24" customFormat="1" x14ac:dyDescent="0.3">
      <c r="A460" s="172"/>
      <c r="B460" s="172"/>
      <c r="C460" s="172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  <c r="BT460" s="172"/>
      <c r="BU460" s="172"/>
      <c r="BV460" s="172"/>
      <c r="BW460" s="172"/>
      <c r="BX460" s="172"/>
      <c r="BY460" s="174"/>
      <c r="BZ460" s="172"/>
      <c r="CA460" s="172"/>
      <c r="CD460" s="194"/>
      <c r="CE460" s="194"/>
      <c r="CF460" s="194"/>
      <c r="CG460" s="194"/>
      <c r="CH460" s="195"/>
      <c r="CI460" s="194"/>
      <c r="CJ460" s="194"/>
      <c r="CK460" s="194"/>
      <c r="CL460" s="196"/>
      <c r="CM460" s="196"/>
      <c r="CN460" s="194"/>
      <c r="CO460" s="197"/>
      <c r="CP460" s="196"/>
      <c r="CQ460" s="196"/>
      <c r="CR460" s="196"/>
      <c r="CS460" s="196"/>
      <c r="CT460" s="196"/>
      <c r="CU460" s="196"/>
      <c r="CV460" s="194"/>
      <c r="CW460" s="194"/>
      <c r="CX460" s="194"/>
      <c r="CY460" s="194"/>
      <c r="CZ460" s="194"/>
      <c r="DA460" s="194"/>
      <c r="DB460" s="194"/>
      <c r="DC460" s="194"/>
      <c r="DD460" s="194"/>
      <c r="DE460" s="194"/>
      <c r="DF460" s="196"/>
      <c r="DG460" s="198"/>
      <c r="DH460" s="194"/>
      <c r="DI460" s="282"/>
      <c r="DJ460" s="282"/>
      <c r="DK460" s="282"/>
      <c r="DL460" s="282"/>
    </row>
    <row r="461" spans="1:116" s="24" customFormat="1" x14ac:dyDescent="0.3">
      <c r="A461" s="172"/>
      <c r="B461" s="172"/>
      <c r="C461" s="172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2"/>
      <c r="BV461" s="172"/>
      <c r="BW461" s="172"/>
      <c r="BX461" s="172"/>
      <c r="BY461" s="174"/>
      <c r="BZ461" s="172"/>
      <c r="CA461" s="172"/>
      <c r="CD461" s="194"/>
      <c r="CE461" s="194"/>
      <c r="CF461" s="194"/>
      <c r="CG461" s="194"/>
      <c r="CH461" s="195"/>
      <c r="CI461" s="194"/>
      <c r="CJ461" s="194"/>
      <c r="CK461" s="194"/>
      <c r="CL461" s="196"/>
      <c r="CM461" s="196"/>
      <c r="CN461" s="194"/>
      <c r="CO461" s="197"/>
      <c r="CP461" s="196"/>
      <c r="CQ461" s="196"/>
      <c r="CR461" s="196"/>
      <c r="CS461" s="196"/>
      <c r="CT461" s="196"/>
      <c r="CU461" s="196"/>
      <c r="CV461" s="194"/>
      <c r="CW461" s="194"/>
      <c r="CX461" s="194"/>
      <c r="CY461" s="194"/>
      <c r="CZ461" s="194"/>
      <c r="DA461" s="194"/>
      <c r="DB461" s="194"/>
      <c r="DC461" s="194"/>
      <c r="DD461" s="194"/>
      <c r="DE461" s="194"/>
      <c r="DF461" s="196"/>
      <c r="DG461" s="198"/>
      <c r="DH461" s="194"/>
      <c r="DI461" s="282"/>
      <c r="DJ461" s="282"/>
      <c r="DK461" s="282"/>
      <c r="DL461" s="282"/>
    </row>
    <row r="462" spans="1:116" s="24" customFormat="1" x14ac:dyDescent="0.3">
      <c r="A462" s="172"/>
      <c r="B462" s="172"/>
      <c r="C462" s="172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  <c r="BT462" s="172"/>
      <c r="BU462" s="172"/>
      <c r="BV462" s="172"/>
      <c r="BW462" s="172"/>
      <c r="BX462" s="172"/>
      <c r="BY462" s="174"/>
      <c r="BZ462" s="172"/>
      <c r="CA462" s="172"/>
      <c r="CD462" s="194"/>
      <c r="CE462" s="194"/>
      <c r="CF462" s="194"/>
      <c r="CG462" s="194"/>
      <c r="CH462" s="195"/>
      <c r="CI462" s="194"/>
      <c r="CJ462" s="194"/>
      <c r="CK462" s="194"/>
      <c r="CL462" s="196"/>
      <c r="CM462" s="196"/>
      <c r="CN462" s="194"/>
      <c r="CO462" s="197"/>
      <c r="CP462" s="196"/>
      <c r="CQ462" s="196"/>
      <c r="CR462" s="196"/>
      <c r="CS462" s="196"/>
      <c r="CT462" s="196"/>
      <c r="CU462" s="196"/>
      <c r="CV462" s="194"/>
      <c r="CW462" s="194"/>
      <c r="CX462" s="194"/>
      <c r="CY462" s="194"/>
      <c r="CZ462" s="194"/>
      <c r="DA462" s="194"/>
      <c r="DB462" s="194"/>
      <c r="DC462" s="194"/>
      <c r="DD462" s="194"/>
      <c r="DE462" s="194"/>
      <c r="DF462" s="196"/>
      <c r="DG462" s="198"/>
      <c r="DH462" s="194"/>
      <c r="DI462" s="282"/>
      <c r="DJ462" s="282"/>
      <c r="DK462" s="282"/>
      <c r="DL462" s="282"/>
    </row>
    <row r="463" spans="1:116" s="24" customFormat="1" x14ac:dyDescent="0.3">
      <c r="A463" s="172"/>
      <c r="B463" s="172"/>
      <c r="C463" s="172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/>
      <c r="BX463" s="172"/>
      <c r="BY463" s="174"/>
      <c r="BZ463" s="172"/>
      <c r="CA463" s="172"/>
      <c r="CD463" s="194"/>
      <c r="CE463" s="194"/>
      <c r="CF463" s="194"/>
      <c r="CG463" s="194"/>
      <c r="CH463" s="195"/>
      <c r="CI463" s="194"/>
      <c r="CJ463" s="194"/>
      <c r="CK463" s="194"/>
      <c r="CL463" s="196"/>
      <c r="CM463" s="196"/>
      <c r="CN463" s="194"/>
      <c r="CO463" s="197"/>
      <c r="CP463" s="196"/>
      <c r="CQ463" s="196"/>
      <c r="CR463" s="196"/>
      <c r="CS463" s="196"/>
      <c r="CT463" s="196"/>
      <c r="CU463" s="196"/>
      <c r="CV463" s="194"/>
      <c r="CW463" s="194"/>
      <c r="CX463" s="194"/>
      <c r="CY463" s="194"/>
      <c r="CZ463" s="194"/>
      <c r="DA463" s="194"/>
      <c r="DB463" s="194"/>
      <c r="DC463" s="194"/>
      <c r="DD463" s="194"/>
      <c r="DE463" s="194"/>
      <c r="DF463" s="196"/>
      <c r="DG463" s="198"/>
      <c r="DH463" s="194"/>
      <c r="DI463" s="282"/>
      <c r="DJ463" s="282"/>
      <c r="DK463" s="282"/>
      <c r="DL463" s="282"/>
    </row>
    <row r="464" spans="1:116" s="24" customFormat="1" x14ac:dyDescent="0.3">
      <c r="A464" s="172"/>
      <c r="B464" s="172"/>
      <c r="C464" s="172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  <c r="BT464" s="172"/>
      <c r="BU464" s="172"/>
      <c r="BV464" s="172"/>
      <c r="BW464" s="172"/>
      <c r="BX464" s="172"/>
      <c r="BY464" s="174"/>
      <c r="BZ464" s="172"/>
      <c r="CA464" s="172"/>
      <c r="CD464" s="194"/>
      <c r="CE464" s="194"/>
      <c r="CF464" s="194"/>
      <c r="CG464" s="194"/>
      <c r="CH464" s="195"/>
      <c r="CI464" s="194"/>
      <c r="CJ464" s="194"/>
      <c r="CK464" s="194"/>
      <c r="CL464" s="196"/>
      <c r="CM464" s="196"/>
      <c r="CN464" s="194"/>
      <c r="CO464" s="197"/>
      <c r="CP464" s="196"/>
      <c r="CQ464" s="196"/>
      <c r="CR464" s="196"/>
      <c r="CS464" s="196"/>
      <c r="CT464" s="196"/>
      <c r="CU464" s="196"/>
      <c r="CV464" s="194"/>
      <c r="CW464" s="194"/>
      <c r="CX464" s="194"/>
      <c r="CY464" s="194"/>
      <c r="CZ464" s="194"/>
      <c r="DA464" s="194"/>
      <c r="DB464" s="194"/>
      <c r="DC464" s="194"/>
      <c r="DD464" s="194"/>
      <c r="DE464" s="194"/>
      <c r="DF464" s="196"/>
      <c r="DG464" s="198"/>
      <c r="DH464" s="194"/>
      <c r="DI464" s="282"/>
      <c r="DJ464" s="282"/>
      <c r="DK464" s="282"/>
      <c r="DL464" s="282"/>
    </row>
    <row r="465" spans="1:116" s="24" customFormat="1" x14ac:dyDescent="0.3">
      <c r="A465" s="172"/>
      <c r="B465" s="172"/>
      <c r="C465" s="172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  <c r="BT465" s="172"/>
      <c r="BU465" s="172"/>
      <c r="BV465" s="172"/>
      <c r="BW465" s="172"/>
      <c r="BX465" s="172"/>
      <c r="BY465" s="174"/>
      <c r="BZ465" s="172"/>
      <c r="CA465" s="172"/>
      <c r="CD465" s="194"/>
      <c r="CE465" s="194"/>
      <c r="CF465" s="194"/>
      <c r="CG465" s="194"/>
      <c r="CH465" s="195"/>
      <c r="CI465" s="194"/>
      <c r="CJ465" s="194"/>
      <c r="CK465" s="194"/>
      <c r="CL465" s="196"/>
      <c r="CM465" s="196"/>
      <c r="CN465" s="194"/>
      <c r="CO465" s="197"/>
      <c r="CP465" s="196"/>
      <c r="CQ465" s="196"/>
      <c r="CR465" s="196"/>
      <c r="CS465" s="196"/>
      <c r="CT465" s="196"/>
      <c r="CU465" s="196"/>
      <c r="CV465" s="194"/>
      <c r="CW465" s="194"/>
      <c r="CX465" s="194"/>
      <c r="CY465" s="194"/>
      <c r="CZ465" s="194"/>
      <c r="DA465" s="194"/>
      <c r="DB465" s="194"/>
      <c r="DC465" s="194"/>
      <c r="DD465" s="194"/>
      <c r="DE465" s="194"/>
      <c r="DF465" s="196"/>
      <c r="DG465" s="198"/>
      <c r="DH465" s="194"/>
      <c r="DI465" s="282"/>
      <c r="DJ465" s="282"/>
      <c r="DK465" s="282"/>
      <c r="DL465" s="282"/>
    </row>
    <row r="466" spans="1:116" s="24" customFormat="1" x14ac:dyDescent="0.3">
      <c r="A466" s="172"/>
      <c r="B466" s="172"/>
      <c r="C466" s="172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  <c r="BT466" s="172"/>
      <c r="BU466" s="172"/>
      <c r="BV466" s="172"/>
      <c r="BW466" s="172"/>
      <c r="BX466" s="172"/>
      <c r="BY466" s="174"/>
      <c r="BZ466" s="172"/>
      <c r="CA466" s="172"/>
      <c r="CD466" s="194"/>
      <c r="CE466" s="194"/>
      <c r="CF466" s="194"/>
      <c r="CG466" s="194"/>
      <c r="CH466" s="195"/>
      <c r="CI466" s="194"/>
      <c r="CJ466" s="194"/>
      <c r="CK466" s="194"/>
      <c r="CL466" s="196"/>
      <c r="CM466" s="196"/>
      <c r="CN466" s="194"/>
      <c r="CO466" s="197"/>
      <c r="CP466" s="196"/>
      <c r="CQ466" s="196"/>
      <c r="CR466" s="196"/>
      <c r="CS466" s="196"/>
      <c r="CT466" s="196"/>
      <c r="CU466" s="196"/>
      <c r="CV466" s="194"/>
      <c r="CW466" s="194"/>
      <c r="CX466" s="194"/>
      <c r="CY466" s="194"/>
      <c r="CZ466" s="194"/>
      <c r="DA466" s="194"/>
      <c r="DB466" s="194"/>
      <c r="DC466" s="194"/>
      <c r="DD466" s="194"/>
      <c r="DE466" s="194"/>
      <c r="DF466" s="196"/>
      <c r="DG466" s="198"/>
      <c r="DH466" s="194"/>
      <c r="DI466" s="282"/>
      <c r="DJ466" s="282"/>
      <c r="DK466" s="282"/>
      <c r="DL466" s="282"/>
    </row>
    <row r="467" spans="1:116" s="24" customFormat="1" x14ac:dyDescent="0.3">
      <c r="A467" s="172"/>
      <c r="B467" s="172"/>
      <c r="C467" s="172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  <c r="BT467" s="172"/>
      <c r="BU467" s="172"/>
      <c r="BV467" s="172"/>
      <c r="BW467" s="172"/>
      <c r="BX467" s="172"/>
      <c r="BY467" s="174"/>
      <c r="BZ467" s="172"/>
      <c r="CA467" s="172"/>
      <c r="CD467" s="194"/>
      <c r="CE467" s="194"/>
      <c r="CF467" s="194"/>
      <c r="CG467" s="194"/>
      <c r="CH467" s="195"/>
      <c r="CI467" s="194"/>
      <c r="CJ467" s="194"/>
      <c r="CK467" s="194"/>
      <c r="CL467" s="196"/>
      <c r="CM467" s="196"/>
      <c r="CN467" s="194"/>
      <c r="CO467" s="197"/>
      <c r="CP467" s="196"/>
      <c r="CQ467" s="196"/>
      <c r="CR467" s="196"/>
      <c r="CS467" s="196"/>
      <c r="CT467" s="196"/>
      <c r="CU467" s="196"/>
      <c r="CV467" s="194"/>
      <c r="CW467" s="194"/>
      <c r="CX467" s="194"/>
      <c r="CY467" s="194"/>
      <c r="CZ467" s="194"/>
      <c r="DA467" s="194"/>
      <c r="DB467" s="194"/>
      <c r="DC467" s="194"/>
      <c r="DD467" s="194"/>
      <c r="DE467" s="194"/>
      <c r="DF467" s="196"/>
      <c r="DG467" s="198"/>
      <c r="DH467" s="194"/>
      <c r="DI467" s="282"/>
      <c r="DJ467" s="282"/>
      <c r="DK467" s="282"/>
      <c r="DL467" s="282"/>
    </row>
    <row r="468" spans="1:116" s="24" customFormat="1" x14ac:dyDescent="0.3">
      <c r="A468" s="172"/>
      <c r="B468" s="172"/>
      <c r="C468" s="172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  <c r="BT468" s="172"/>
      <c r="BU468" s="172"/>
      <c r="BV468" s="172"/>
      <c r="BW468" s="172"/>
      <c r="BX468" s="172"/>
      <c r="BY468" s="174"/>
      <c r="BZ468" s="172"/>
      <c r="CA468" s="172"/>
      <c r="CD468" s="194"/>
      <c r="CE468" s="194"/>
      <c r="CF468" s="194"/>
      <c r="CG468" s="194"/>
      <c r="CH468" s="195"/>
      <c r="CI468" s="194"/>
      <c r="CJ468" s="194"/>
      <c r="CK468" s="194"/>
      <c r="CL468" s="196"/>
      <c r="CM468" s="196"/>
      <c r="CN468" s="194"/>
      <c r="CO468" s="197"/>
      <c r="CP468" s="196"/>
      <c r="CQ468" s="196"/>
      <c r="CR468" s="196"/>
      <c r="CS468" s="196"/>
      <c r="CT468" s="196"/>
      <c r="CU468" s="196"/>
      <c r="CV468" s="194"/>
      <c r="CW468" s="194"/>
      <c r="CX468" s="194"/>
      <c r="CY468" s="194"/>
      <c r="CZ468" s="194"/>
      <c r="DA468" s="194"/>
      <c r="DB468" s="194"/>
      <c r="DC468" s="194"/>
      <c r="DD468" s="194"/>
      <c r="DE468" s="194"/>
      <c r="DF468" s="196"/>
      <c r="DG468" s="198"/>
      <c r="DH468" s="194"/>
      <c r="DI468" s="282"/>
      <c r="DJ468" s="282"/>
      <c r="DK468" s="282"/>
      <c r="DL468" s="282"/>
    </row>
    <row r="469" spans="1:116" s="24" customFormat="1" x14ac:dyDescent="0.3">
      <c r="A469" s="172"/>
      <c r="B469" s="172"/>
      <c r="C469" s="172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  <c r="BT469" s="172"/>
      <c r="BU469" s="172"/>
      <c r="BV469" s="172"/>
      <c r="BW469" s="172"/>
      <c r="BX469" s="172"/>
      <c r="BY469" s="174"/>
      <c r="BZ469" s="172"/>
      <c r="CA469" s="172"/>
      <c r="CD469" s="194"/>
      <c r="CE469" s="194"/>
      <c r="CF469" s="194"/>
      <c r="CG469" s="194"/>
      <c r="CH469" s="195"/>
      <c r="CI469" s="194"/>
      <c r="CJ469" s="194"/>
      <c r="CK469" s="194"/>
      <c r="CL469" s="196"/>
      <c r="CM469" s="196"/>
      <c r="CN469" s="194"/>
      <c r="CO469" s="197"/>
      <c r="CP469" s="196"/>
      <c r="CQ469" s="196"/>
      <c r="CR469" s="196"/>
      <c r="CS469" s="196"/>
      <c r="CT469" s="196"/>
      <c r="CU469" s="196"/>
      <c r="CV469" s="194"/>
      <c r="CW469" s="194"/>
      <c r="CX469" s="194"/>
      <c r="CY469" s="194"/>
      <c r="CZ469" s="194"/>
      <c r="DA469" s="194"/>
      <c r="DB469" s="194"/>
      <c r="DC469" s="194"/>
      <c r="DD469" s="194"/>
      <c r="DE469" s="194"/>
      <c r="DF469" s="196"/>
      <c r="DG469" s="198"/>
      <c r="DH469" s="194"/>
      <c r="DI469" s="282"/>
      <c r="DJ469" s="282"/>
      <c r="DK469" s="282"/>
      <c r="DL469" s="282"/>
    </row>
    <row r="470" spans="1:116" s="24" customFormat="1" x14ac:dyDescent="0.3">
      <c r="A470" s="172"/>
      <c r="B470" s="172"/>
      <c r="C470" s="172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  <c r="BT470" s="172"/>
      <c r="BU470" s="172"/>
      <c r="BV470" s="172"/>
      <c r="BW470" s="172"/>
      <c r="BX470" s="172"/>
      <c r="BY470" s="174"/>
      <c r="BZ470" s="172"/>
      <c r="CA470" s="172"/>
      <c r="CD470" s="194"/>
      <c r="CE470" s="194"/>
      <c r="CF470" s="194"/>
      <c r="CG470" s="194"/>
      <c r="CH470" s="195"/>
      <c r="CI470" s="194"/>
      <c r="CJ470" s="194"/>
      <c r="CK470" s="194"/>
      <c r="CL470" s="196"/>
      <c r="CM470" s="196"/>
      <c r="CN470" s="194"/>
      <c r="CO470" s="197"/>
      <c r="CP470" s="196"/>
      <c r="CQ470" s="196"/>
      <c r="CR470" s="196"/>
      <c r="CS470" s="196"/>
      <c r="CT470" s="196"/>
      <c r="CU470" s="196"/>
      <c r="CV470" s="194"/>
      <c r="CW470" s="194"/>
      <c r="CX470" s="194"/>
      <c r="CY470" s="194"/>
      <c r="CZ470" s="194"/>
      <c r="DA470" s="194"/>
      <c r="DB470" s="194"/>
      <c r="DC470" s="194"/>
      <c r="DD470" s="194"/>
      <c r="DE470" s="194"/>
      <c r="DF470" s="196"/>
      <c r="DG470" s="198"/>
      <c r="DH470" s="194"/>
      <c r="DI470" s="282"/>
      <c r="DJ470" s="282"/>
      <c r="DK470" s="282"/>
      <c r="DL470" s="282"/>
    </row>
    <row r="471" spans="1:116" s="24" customFormat="1" x14ac:dyDescent="0.3">
      <c r="A471" s="172"/>
      <c r="B471" s="172"/>
      <c r="C471" s="172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  <c r="BT471" s="172"/>
      <c r="BU471" s="172"/>
      <c r="BV471" s="172"/>
      <c r="BW471" s="172"/>
      <c r="BX471" s="172"/>
      <c r="BY471" s="174"/>
      <c r="BZ471" s="172"/>
      <c r="CA471" s="172"/>
      <c r="CD471" s="194"/>
      <c r="CE471" s="194"/>
      <c r="CF471" s="194"/>
      <c r="CG471" s="194"/>
      <c r="CH471" s="195"/>
      <c r="CI471" s="194"/>
      <c r="CJ471" s="194"/>
      <c r="CK471" s="194"/>
      <c r="CL471" s="196"/>
      <c r="CM471" s="196"/>
      <c r="CN471" s="194"/>
      <c r="CO471" s="197"/>
      <c r="CP471" s="196"/>
      <c r="CQ471" s="196"/>
      <c r="CR471" s="196"/>
      <c r="CS471" s="196"/>
      <c r="CT471" s="196"/>
      <c r="CU471" s="196"/>
      <c r="CV471" s="194"/>
      <c r="CW471" s="194"/>
      <c r="CX471" s="194"/>
      <c r="CY471" s="194"/>
      <c r="CZ471" s="194"/>
      <c r="DA471" s="194"/>
      <c r="DB471" s="194"/>
      <c r="DC471" s="194"/>
      <c r="DD471" s="194"/>
      <c r="DE471" s="194"/>
      <c r="DF471" s="196"/>
      <c r="DG471" s="198"/>
      <c r="DH471" s="194"/>
      <c r="DI471" s="282"/>
      <c r="DJ471" s="282"/>
      <c r="DK471" s="282"/>
      <c r="DL471" s="282"/>
    </row>
    <row r="472" spans="1:116" s="24" customFormat="1" x14ac:dyDescent="0.3">
      <c r="A472" s="172"/>
      <c r="B472" s="172"/>
      <c r="C472" s="172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  <c r="BT472" s="172"/>
      <c r="BU472" s="172"/>
      <c r="BV472" s="172"/>
      <c r="BW472" s="172"/>
      <c r="BX472" s="172"/>
      <c r="BY472" s="174"/>
      <c r="BZ472" s="172"/>
      <c r="CA472" s="172"/>
      <c r="CD472" s="194"/>
      <c r="CE472" s="194"/>
      <c r="CF472" s="194"/>
      <c r="CG472" s="194"/>
      <c r="CH472" s="195"/>
      <c r="CI472" s="194"/>
      <c r="CJ472" s="194"/>
      <c r="CK472" s="194"/>
      <c r="CL472" s="196"/>
      <c r="CM472" s="196"/>
      <c r="CN472" s="194"/>
      <c r="CO472" s="197"/>
      <c r="CP472" s="196"/>
      <c r="CQ472" s="196"/>
      <c r="CR472" s="196"/>
      <c r="CS472" s="196"/>
      <c r="CT472" s="196"/>
      <c r="CU472" s="196"/>
      <c r="CV472" s="194"/>
      <c r="CW472" s="194"/>
      <c r="CX472" s="194"/>
      <c r="CY472" s="194"/>
      <c r="CZ472" s="194"/>
      <c r="DA472" s="194"/>
      <c r="DB472" s="194"/>
      <c r="DC472" s="194"/>
      <c r="DD472" s="194"/>
      <c r="DE472" s="194"/>
      <c r="DF472" s="196"/>
      <c r="DG472" s="198"/>
      <c r="DH472" s="194"/>
      <c r="DI472" s="282"/>
      <c r="DJ472" s="282"/>
      <c r="DK472" s="282"/>
      <c r="DL472" s="282"/>
    </row>
    <row r="473" spans="1:116" s="24" customFormat="1" x14ac:dyDescent="0.3">
      <c r="A473" s="172"/>
      <c r="B473" s="172"/>
      <c r="C473" s="172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  <c r="BT473" s="172"/>
      <c r="BU473" s="172"/>
      <c r="BV473" s="172"/>
      <c r="BW473" s="172"/>
      <c r="BX473" s="172"/>
      <c r="BY473" s="174"/>
      <c r="BZ473" s="172"/>
      <c r="CA473" s="172"/>
      <c r="CD473" s="194"/>
      <c r="CE473" s="194"/>
      <c r="CF473" s="194"/>
      <c r="CG473" s="194"/>
      <c r="CH473" s="195"/>
      <c r="CI473" s="194"/>
      <c r="CJ473" s="194"/>
      <c r="CK473" s="194"/>
      <c r="CL473" s="196"/>
      <c r="CM473" s="196"/>
      <c r="CN473" s="194"/>
      <c r="CO473" s="197"/>
      <c r="CP473" s="196"/>
      <c r="CQ473" s="196"/>
      <c r="CR473" s="196"/>
      <c r="CS473" s="196"/>
      <c r="CT473" s="196"/>
      <c r="CU473" s="196"/>
      <c r="CV473" s="194"/>
      <c r="CW473" s="194"/>
      <c r="CX473" s="194"/>
      <c r="CY473" s="194"/>
      <c r="CZ473" s="194"/>
      <c r="DA473" s="194"/>
      <c r="DB473" s="194"/>
      <c r="DC473" s="194"/>
      <c r="DD473" s="194"/>
      <c r="DE473" s="194"/>
      <c r="DF473" s="196"/>
      <c r="DG473" s="198"/>
      <c r="DH473" s="194"/>
      <c r="DI473" s="282"/>
      <c r="DJ473" s="282"/>
      <c r="DK473" s="282"/>
      <c r="DL473" s="282"/>
    </row>
    <row r="474" spans="1:116" s="24" customFormat="1" x14ac:dyDescent="0.3">
      <c r="A474" s="172"/>
      <c r="B474" s="172"/>
      <c r="C474" s="172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  <c r="BT474" s="172"/>
      <c r="BU474" s="172"/>
      <c r="BV474" s="172"/>
      <c r="BW474" s="172"/>
      <c r="BX474" s="172"/>
      <c r="BY474" s="174"/>
      <c r="BZ474" s="172"/>
      <c r="CA474" s="172"/>
      <c r="CD474" s="194"/>
      <c r="CE474" s="194"/>
      <c r="CF474" s="194"/>
      <c r="CG474" s="194"/>
      <c r="CH474" s="195"/>
      <c r="CI474" s="194"/>
      <c r="CJ474" s="194"/>
      <c r="CK474" s="194"/>
      <c r="CL474" s="196"/>
      <c r="CM474" s="196"/>
      <c r="CN474" s="194"/>
      <c r="CO474" s="197"/>
      <c r="CP474" s="196"/>
      <c r="CQ474" s="196"/>
      <c r="CR474" s="196"/>
      <c r="CS474" s="196"/>
      <c r="CT474" s="196"/>
      <c r="CU474" s="196"/>
      <c r="CV474" s="194"/>
      <c r="CW474" s="194"/>
      <c r="CX474" s="194"/>
      <c r="CY474" s="194"/>
      <c r="CZ474" s="194"/>
      <c r="DA474" s="194"/>
      <c r="DB474" s="194"/>
      <c r="DC474" s="194"/>
      <c r="DD474" s="194"/>
      <c r="DE474" s="194"/>
      <c r="DF474" s="196"/>
      <c r="DG474" s="198"/>
      <c r="DH474" s="194"/>
      <c r="DI474" s="282"/>
      <c r="DJ474" s="282"/>
      <c r="DK474" s="282"/>
      <c r="DL474" s="282"/>
    </row>
    <row r="475" spans="1:116" s="24" customFormat="1" x14ac:dyDescent="0.3">
      <c r="A475" s="172"/>
      <c r="B475" s="172"/>
      <c r="C475" s="172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  <c r="BT475" s="172"/>
      <c r="BU475" s="172"/>
      <c r="BV475" s="172"/>
      <c r="BW475" s="172"/>
      <c r="BX475" s="172"/>
      <c r="BY475" s="174"/>
      <c r="BZ475" s="172"/>
      <c r="CA475" s="172"/>
      <c r="CD475" s="194"/>
      <c r="CE475" s="194"/>
      <c r="CF475" s="194"/>
      <c r="CG475" s="194"/>
      <c r="CH475" s="195"/>
      <c r="CI475" s="194"/>
      <c r="CJ475" s="194"/>
      <c r="CK475" s="194"/>
      <c r="CL475" s="196"/>
      <c r="CM475" s="196"/>
      <c r="CN475" s="194"/>
      <c r="CO475" s="197"/>
      <c r="CP475" s="196"/>
      <c r="CQ475" s="196"/>
      <c r="CR475" s="196"/>
      <c r="CS475" s="196"/>
      <c r="CT475" s="196"/>
      <c r="CU475" s="196"/>
      <c r="CV475" s="194"/>
      <c r="CW475" s="194"/>
      <c r="CX475" s="194"/>
      <c r="CY475" s="194"/>
      <c r="CZ475" s="194"/>
      <c r="DA475" s="194"/>
      <c r="DB475" s="194"/>
      <c r="DC475" s="194"/>
      <c r="DD475" s="194"/>
      <c r="DE475" s="194"/>
      <c r="DF475" s="196"/>
      <c r="DG475" s="198"/>
      <c r="DH475" s="194"/>
      <c r="DI475" s="282"/>
      <c r="DJ475" s="282"/>
      <c r="DK475" s="282"/>
      <c r="DL475" s="282"/>
    </row>
    <row r="476" spans="1:116" s="24" customFormat="1" x14ac:dyDescent="0.3">
      <c r="A476" s="172"/>
      <c r="B476" s="172"/>
      <c r="C476" s="172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  <c r="BT476" s="172"/>
      <c r="BU476" s="172"/>
      <c r="BV476" s="172"/>
      <c r="BW476" s="172"/>
      <c r="BX476" s="172"/>
      <c r="BY476" s="174"/>
      <c r="BZ476" s="172"/>
      <c r="CA476" s="172"/>
      <c r="CD476" s="194"/>
      <c r="CE476" s="194"/>
      <c r="CF476" s="194"/>
      <c r="CG476" s="194"/>
      <c r="CH476" s="195"/>
      <c r="CI476" s="194"/>
      <c r="CJ476" s="194"/>
      <c r="CK476" s="194"/>
      <c r="CL476" s="196"/>
      <c r="CM476" s="196"/>
      <c r="CN476" s="194"/>
      <c r="CO476" s="197"/>
      <c r="CP476" s="196"/>
      <c r="CQ476" s="196"/>
      <c r="CR476" s="196"/>
      <c r="CS476" s="196"/>
      <c r="CT476" s="196"/>
      <c r="CU476" s="196"/>
      <c r="CV476" s="194"/>
      <c r="CW476" s="194"/>
      <c r="CX476" s="194"/>
      <c r="CY476" s="194"/>
      <c r="CZ476" s="194"/>
      <c r="DA476" s="194"/>
      <c r="DB476" s="194"/>
      <c r="DC476" s="194"/>
      <c r="DD476" s="194"/>
      <c r="DE476" s="194"/>
      <c r="DF476" s="196"/>
      <c r="DG476" s="198"/>
      <c r="DH476" s="194"/>
      <c r="DI476" s="282"/>
      <c r="DJ476" s="282"/>
      <c r="DK476" s="282"/>
      <c r="DL476" s="282"/>
    </row>
    <row r="477" spans="1:116" s="24" customFormat="1" x14ac:dyDescent="0.3">
      <c r="A477" s="172"/>
      <c r="B477" s="172"/>
      <c r="C477" s="172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  <c r="BT477" s="172"/>
      <c r="BU477" s="172"/>
      <c r="BV477" s="172"/>
      <c r="BW477" s="172"/>
      <c r="BX477" s="172"/>
      <c r="BY477" s="174"/>
      <c r="BZ477" s="172"/>
      <c r="CA477" s="172"/>
      <c r="CD477" s="194"/>
      <c r="CE477" s="194"/>
      <c r="CF477" s="194"/>
      <c r="CG477" s="194"/>
      <c r="CH477" s="195"/>
      <c r="CI477" s="194"/>
      <c r="CJ477" s="194"/>
      <c r="CK477" s="194"/>
      <c r="CL477" s="196"/>
      <c r="CM477" s="196"/>
      <c r="CN477" s="194"/>
      <c r="CO477" s="197"/>
      <c r="CP477" s="196"/>
      <c r="CQ477" s="196"/>
      <c r="CR477" s="196"/>
      <c r="CS477" s="196"/>
      <c r="CT477" s="196"/>
      <c r="CU477" s="196"/>
      <c r="CV477" s="194"/>
      <c r="CW477" s="194"/>
      <c r="CX477" s="194"/>
      <c r="CY477" s="194"/>
      <c r="CZ477" s="194"/>
      <c r="DA477" s="194"/>
      <c r="DB477" s="194"/>
      <c r="DC477" s="194"/>
      <c r="DD477" s="194"/>
      <c r="DE477" s="194"/>
      <c r="DF477" s="196"/>
      <c r="DG477" s="198"/>
      <c r="DH477" s="194"/>
      <c r="DI477" s="282"/>
      <c r="DJ477" s="282"/>
      <c r="DK477" s="282"/>
      <c r="DL477" s="282"/>
    </row>
    <row r="478" spans="1:116" s="24" customFormat="1" x14ac:dyDescent="0.3">
      <c r="A478" s="172"/>
      <c r="B478" s="172"/>
      <c r="C478" s="172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  <c r="BT478" s="172"/>
      <c r="BU478" s="172"/>
      <c r="BV478" s="172"/>
      <c r="BW478" s="172"/>
      <c r="BX478" s="172"/>
      <c r="BY478" s="174"/>
      <c r="BZ478" s="172"/>
      <c r="CA478" s="172"/>
      <c r="CD478" s="194"/>
      <c r="CE478" s="194"/>
      <c r="CF478" s="194"/>
      <c r="CG478" s="194"/>
      <c r="CH478" s="195"/>
      <c r="CI478" s="194"/>
      <c r="CJ478" s="194"/>
      <c r="CK478" s="194"/>
      <c r="CL478" s="196"/>
      <c r="CM478" s="196"/>
      <c r="CN478" s="194"/>
      <c r="CO478" s="197"/>
      <c r="CP478" s="196"/>
      <c r="CQ478" s="196"/>
      <c r="CR478" s="196"/>
      <c r="CS478" s="196"/>
      <c r="CT478" s="196"/>
      <c r="CU478" s="196"/>
      <c r="CV478" s="194"/>
      <c r="CW478" s="194"/>
      <c r="CX478" s="194"/>
      <c r="CY478" s="194"/>
      <c r="CZ478" s="194"/>
      <c r="DA478" s="194"/>
      <c r="DB478" s="194"/>
      <c r="DC478" s="194"/>
      <c r="DD478" s="194"/>
      <c r="DE478" s="194"/>
      <c r="DF478" s="196"/>
      <c r="DG478" s="198"/>
      <c r="DH478" s="194"/>
      <c r="DI478" s="282"/>
      <c r="DJ478" s="282"/>
      <c r="DK478" s="282"/>
      <c r="DL478" s="282"/>
    </row>
    <row r="479" spans="1:116" s="24" customFormat="1" x14ac:dyDescent="0.3">
      <c r="A479" s="172"/>
      <c r="B479" s="172"/>
      <c r="C479" s="172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  <c r="BT479" s="172"/>
      <c r="BU479" s="172"/>
      <c r="BV479" s="172"/>
      <c r="BW479" s="172"/>
      <c r="BX479" s="172"/>
      <c r="BY479" s="174"/>
      <c r="BZ479" s="172"/>
      <c r="CA479" s="172"/>
      <c r="CD479" s="194"/>
      <c r="CE479" s="194"/>
      <c r="CF479" s="194"/>
      <c r="CG479" s="194"/>
      <c r="CH479" s="195"/>
      <c r="CI479" s="194"/>
      <c r="CJ479" s="194"/>
      <c r="CK479" s="194"/>
      <c r="CL479" s="196"/>
      <c r="CM479" s="196"/>
      <c r="CN479" s="194"/>
      <c r="CO479" s="197"/>
      <c r="CP479" s="196"/>
      <c r="CQ479" s="196"/>
      <c r="CR479" s="196"/>
      <c r="CS479" s="196"/>
      <c r="CT479" s="196"/>
      <c r="CU479" s="196"/>
      <c r="CV479" s="194"/>
      <c r="CW479" s="194"/>
      <c r="CX479" s="194"/>
      <c r="CY479" s="194"/>
      <c r="CZ479" s="194"/>
      <c r="DA479" s="194"/>
      <c r="DB479" s="194"/>
      <c r="DC479" s="194"/>
      <c r="DD479" s="194"/>
      <c r="DE479" s="194"/>
      <c r="DF479" s="196"/>
      <c r="DG479" s="198"/>
      <c r="DH479" s="194"/>
      <c r="DI479" s="282"/>
      <c r="DJ479" s="282"/>
      <c r="DK479" s="282"/>
      <c r="DL479" s="282"/>
    </row>
    <row r="480" spans="1:116" s="24" customFormat="1" x14ac:dyDescent="0.3">
      <c r="A480" s="172"/>
      <c r="B480" s="172"/>
      <c r="C480" s="172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  <c r="BT480" s="172"/>
      <c r="BU480" s="172"/>
      <c r="BV480" s="172"/>
      <c r="BW480" s="172"/>
      <c r="BX480" s="172"/>
      <c r="BY480" s="174"/>
      <c r="BZ480" s="172"/>
      <c r="CA480" s="172"/>
      <c r="CD480" s="194"/>
      <c r="CE480" s="194"/>
      <c r="CF480" s="194"/>
      <c r="CG480" s="194"/>
      <c r="CH480" s="195"/>
      <c r="CI480" s="194"/>
      <c r="CJ480" s="194"/>
      <c r="CK480" s="194"/>
      <c r="CL480" s="196"/>
      <c r="CM480" s="196"/>
      <c r="CN480" s="194"/>
      <c r="CO480" s="197"/>
      <c r="CP480" s="196"/>
      <c r="CQ480" s="196"/>
      <c r="CR480" s="196"/>
      <c r="CS480" s="196"/>
      <c r="CT480" s="196"/>
      <c r="CU480" s="196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6"/>
      <c r="DG480" s="198"/>
      <c r="DH480" s="194"/>
      <c r="DI480" s="282"/>
      <c r="DJ480" s="282"/>
      <c r="DK480" s="282"/>
      <c r="DL480" s="282"/>
    </row>
    <row r="481" spans="1:116" s="24" customFormat="1" x14ac:dyDescent="0.3">
      <c r="A481" s="172"/>
      <c r="B481" s="172"/>
      <c r="C481" s="172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/>
      <c r="BX481" s="172"/>
      <c r="BY481" s="174"/>
      <c r="BZ481" s="172"/>
      <c r="CA481" s="172"/>
      <c r="CD481" s="194"/>
      <c r="CE481" s="194"/>
      <c r="CF481" s="194"/>
      <c r="CG481" s="194"/>
      <c r="CH481" s="195"/>
      <c r="CI481" s="194"/>
      <c r="CJ481" s="194"/>
      <c r="CK481" s="194"/>
      <c r="CL481" s="196"/>
      <c r="CM481" s="196"/>
      <c r="CN481" s="194"/>
      <c r="CO481" s="197"/>
      <c r="CP481" s="196"/>
      <c r="CQ481" s="196"/>
      <c r="CR481" s="196"/>
      <c r="CS481" s="196"/>
      <c r="CT481" s="196"/>
      <c r="CU481" s="196"/>
      <c r="CV481" s="194"/>
      <c r="CW481" s="194"/>
      <c r="CX481" s="194"/>
      <c r="CY481" s="194"/>
      <c r="CZ481" s="194"/>
      <c r="DA481" s="194"/>
      <c r="DB481" s="194"/>
      <c r="DC481" s="194"/>
      <c r="DD481" s="194"/>
      <c r="DE481" s="194"/>
      <c r="DF481" s="196"/>
      <c r="DG481" s="198"/>
      <c r="DH481" s="194"/>
      <c r="DI481" s="282"/>
      <c r="DJ481" s="282"/>
      <c r="DK481" s="282"/>
      <c r="DL481" s="282"/>
    </row>
    <row r="482" spans="1:116" s="24" customFormat="1" x14ac:dyDescent="0.3">
      <c r="A482" s="172"/>
      <c r="B482" s="172"/>
      <c r="C482" s="172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  <c r="BT482" s="172"/>
      <c r="BU482" s="172"/>
      <c r="BV482" s="172"/>
      <c r="BW482" s="172"/>
      <c r="BX482" s="172"/>
      <c r="BY482" s="174"/>
      <c r="BZ482" s="172"/>
      <c r="CA482" s="172"/>
      <c r="CD482" s="194"/>
      <c r="CE482" s="194"/>
      <c r="CF482" s="194"/>
      <c r="CG482" s="194"/>
      <c r="CH482" s="195"/>
      <c r="CI482" s="194"/>
      <c r="CJ482" s="194"/>
      <c r="CK482" s="194"/>
      <c r="CL482" s="196"/>
      <c r="CM482" s="196"/>
      <c r="CN482" s="194"/>
      <c r="CO482" s="197"/>
      <c r="CP482" s="196"/>
      <c r="CQ482" s="196"/>
      <c r="CR482" s="196"/>
      <c r="CS482" s="196"/>
      <c r="CT482" s="196"/>
      <c r="CU482" s="196"/>
      <c r="CV482" s="194"/>
      <c r="CW482" s="194"/>
      <c r="CX482" s="194"/>
      <c r="CY482" s="194"/>
      <c r="CZ482" s="194"/>
      <c r="DA482" s="194"/>
      <c r="DB482" s="194"/>
      <c r="DC482" s="194"/>
      <c r="DD482" s="194"/>
      <c r="DE482" s="194"/>
      <c r="DF482" s="196"/>
      <c r="DG482" s="198"/>
      <c r="DH482" s="194"/>
      <c r="DI482" s="282"/>
      <c r="DJ482" s="282"/>
      <c r="DK482" s="282"/>
      <c r="DL482" s="282"/>
    </row>
    <row r="483" spans="1:116" s="24" customFormat="1" x14ac:dyDescent="0.3">
      <c r="A483" s="172"/>
      <c r="B483" s="172"/>
      <c r="C483" s="172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4"/>
      <c r="BZ483" s="172"/>
      <c r="CA483" s="172"/>
      <c r="CD483" s="194"/>
      <c r="CE483" s="194"/>
      <c r="CF483" s="194"/>
      <c r="CG483" s="194"/>
      <c r="CH483" s="195"/>
      <c r="CI483" s="194"/>
      <c r="CJ483" s="194"/>
      <c r="CK483" s="194"/>
      <c r="CL483" s="196"/>
      <c r="CM483" s="196"/>
      <c r="CN483" s="194"/>
      <c r="CO483" s="197"/>
      <c r="CP483" s="196"/>
      <c r="CQ483" s="196"/>
      <c r="CR483" s="196"/>
      <c r="CS483" s="196"/>
      <c r="CT483" s="196"/>
      <c r="CU483" s="196"/>
      <c r="CV483" s="194"/>
      <c r="CW483" s="194"/>
      <c r="CX483" s="194"/>
      <c r="CY483" s="194"/>
      <c r="CZ483" s="194"/>
      <c r="DA483" s="194"/>
      <c r="DB483" s="194"/>
      <c r="DC483" s="194"/>
      <c r="DD483" s="194"/>
      <c r="DE483" s="194"/>
      <c r="DF483" s="196"/>
      <c r="DG483" s="198"/>
      <c r="DH483" s="194"/>
      <c r="DI483" s="282"/>
      <c r="DJ483" s="282"/>
      <c r="DK483" s="282"/>
      <c r="DL483" s="282"/>
    </row>
    <row r="484" spans="1:116" s="24" customFormat="1" x14ac:dyDescent="0.3">
      <c r="A484" s="172"/>
      <c r="B484" s="172"/>
      <c r="C484" s="172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4"/>
      <c r="BZ484" s="172"/>
      <c r="CA484" s="172"/>
      <c r="CD484" s="194"/>
      <c r="CE484" s="194"/>
      <c r="CF484" s="194"/>
      <c r="CG484" s="194"/>
      <c r="CH484" s="195"/>
      <c r="CI484" s="194"/>
      <c r="CJ484" s="194"/>
      <c r="CK484" s="194"/>
      <c r="CL484" s="196"/>
      <c r="CM484" s="196"/>
      <c r="CN484" s="194"/>
      <c r="CO484" s="197"/>
      <c r="CP484" s="196"/>
      <c r="CQ484" s="196"/>
      <c r="CR484" s="196"/>
      <c r="CS484" s="196"/>
      <c r="CT484" s="196"/>
      <c r="CU484" s="196"/>
      <c r="CV484" s="194"/>
      <c r="CW484" s="194"/>
      <c r="CX484" s="194"/>
      <c r="CY484" s="194"/>
      <c r="CZ484" s="194"/>
      <c r="DA484" s="194"/>
      <c r="DB484" s="194"/>
      <c r="DC484" s="194"/>
      <c r="DD484" s="194"/>
      <c r="DE484" s="194"/>
      <c r="DF484" s="196"/>
      <c r="DG484" s="198"/>
      <c r="DH484" s="194"/>
      <c r="DI484" s="282"/>
      <c r="DJ484" s="282"/>
      <c r="DK484" s="282"/>
      <c r="DL484" s="282"/>
    </row>
    <row r="485" spans="1:116" s="24" customFormat="1" x14ac:dyDescent="0.3">
      <c r="A485" s="172"/>
      <c r="B485" s="172"/>
      <c r="C485" s="172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/>
      <c r="BW485" s="172"/>
      <c r="BX485" s="172"/>
      <c r="BY485" s="174"/>
      <c r="BZ485" s="172"/>
      <c r="CA485" s="172"/>
      <c r="CD485" s="194"/>
      <c r="CE485" s="194"/>
      <c r="CF485" s="194"/>
      <c r="CG485" s="194"/>
      <c r="CH485" s="195"/>
      <c r="CI485" s="194"/>
      <c r="CJ485" s="194"/>
      <c r="CK485" s="194"/>
      <c r="CL485" s="196"/>
      <c r="CM485" s="196"/>
      <c r="CN485" s="194"/>
      <c r="CO485" s="197"/>
      <c r="CP485" s="196"/>
      <c r="CQ485" s="196"/>
      <c r="CR485" s="196"/>
      <c r="CS485" s="196"/>
      <c r="CT485" s="196"/>
      <c r="CU485" s="196"/>
      <c r="CV485" s="194"/>
      <c r="CW485" s="194"/>
      <c r="CX485" s="194"/>
      <c r="CY485" s="194"/>
      <c r="CZ485" s="194"/>
      <c r="DA485" s="194"/>
      <c r="DB485" s="194"/>
      <c r="DC485" s="194"/>
      <c r="DD485" s="194"/>
      <c r="DE485" s="194"/>
      <c r="DF485" s="196"/>
      <c r="DG485" s="198"/>
      <c r="DH485" s="194"/>
      <c r="DI485" s="282"/>
      <c r="DJ485" s="282"/>
      <c r="DK485" s="282"/>
      <c r="DL485" s="282"/>
    </row>
    <row r="486" spans="1:116" s="24" customFormat="1" x14ac:dyDescent="0.3">
      <c r="A486" s="172"/>
      <c r="B486" s="172"/>
      <c r="C486" s="172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4"/>
      <c r="BZ486" s="172"/>
      <c r="CA486" s="172"/>
      <c r="CD486" s="194"/>
      <c r="CE486" s="194"/>
      <c r="CF486" s="194"/>
      <c r="CG486" s="194"/>
      <c r="CH486" s="195"/>
      <c r="CI486" s="194"/>
      <c r="CJ486" s="194"/>
      <c r="CK486" s="194"/>
      <c r="CL486" s="196"/>
      <c r="CM486" s="196"/>
      <c r="CN486" s="194"/>
      <c r="CO486" s="197"/>
      <c r="CP486" s="196"/>
      <c r="CQ486" s="196"/>
      <c r="CR486" s="196"/>
      <c r="CS486" s="196"/>
      <c r="CT486" s="196"/>
      <c r="CU486" s="196"/>
      <c r="CV486" s="194"/>
      <c r="CW486" s="194"/>
      <c r="CX486" s="194"/>
      <c r="CY486" s="194"/>
      <c r="CZ486" s="194"/>
      <c r="DA486" s="194"/>
      <c r="DB486" s="194"/>
      <c r="DC486" s="194"/>
      <c r="DD486" s="194"/>
      <c r="DE486" s="194"/>
      <c r="DF486" s="196"/>
      <c r="DG486" s="198"/>
      <c r="DH486" s="194"/>
      <c r="DI486" s="282"/>
      <c r="DJ486" s="282"/>
      <c r="DK486" s="282"/>
      <c r="DL486" s="282"/>
    </row>
    <row r="487" spans="1:116" s="24" customFormat="1" x14ac:dyDescent="0.3">
      <c r="A487" s="172"/>
      <c r="B487" s="172"/>
      <c r="C487" s="172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4"/>
      <c r="BZ487" s="172"/>
      <c r="CA487" s="172"/>
      <c r="CD487" s="194"/>
      <c r="CE487" s="194"/>
      <c r="CF487" s="194"/>
      <c r="CG487" s="194"/>
      <c r="CH487" s="195"/>
      <c r="CI487" s="194"/>
      <c r="CJ487" s="194"/>
      <c r="CK487" s="194"/>
      <c r="CL487" s="196"/>
      <c r="CM487" s="196"/>
      <c r="CN487" s="194"/>
      <c r="CO487" s="197"/>
      <c r="CP487" s="196"/>
      <c r="CQ487" s="196"/>
      <c r="CR487" s="196"/>
      <c r="CS487" s="196"/>
      <c r="CT487" s="196"/>
      <c r="CU487" s="196"/>
      <c r="CV487" s="194"/>
      <c r="CW487" s="194"/>
      <c r="CX487" s="194"/>
      <c r="CY487" s="194"/>
      <c r="CZ487" s="194"/>
      <c r="DA487" s="194"/>
      <c r="DB487" s="194"/>
      <c r="DC487" s="194"/>
      <c r="DD487" s="194"/>
      <c r="DE487" s="194"/>
      <c r="DF487" s="196"/>
      <c r="DG487" s="198"/>
      <c r="DH487" s="194"/>
      <c r="DI487" s="282"/>
      <c r="DJ487" s="282"/>
      <c r="DK487" s="282"/>
      <c r="DL487" s="282"/>
    </row>
    <row r="488" spans="1:116" s="24" customFormat="1" x14ac:dyDescent="0.3">
      <c r="A488" s="172"/>
      <c r="B488" s="172"/>
      <c r="C488" s="172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  <c r="BT488" s="172"/>
      <c r="BU488" s="172"/>
      <c r="BV488" s="172"/>
      <c r="BW488" s="172"/>
      <c r="BX488" s="172"/>
      <c r="BY488" s="174"/>
      <c r="BZ488" s="172"/>
      <c r="CA488" s="172"/>
      <c r="CD488" s="194"/>
      <c r="CE488" s="194"/>
      <c r="CF488" s="194"/>
      <c r="CG488" s="194"/>
      <c r="CH488" s="195"/>
      <c r="CI488" s="194"/>
      <c r="CJ488" s="194"/>
      <c r="CK488" s="194"/>
      <c r="CL488" s="196"/>
      <c r="CM488" s="196"/>
      <c r="CN488" s="194"/>
      <c r="CO488" s="197"/>
      <c r="CP488" s="196"/>
      <c r="CQ488" s="196"/>
      <c r="CR488" s="196"/>
      <c r="CS488" s="196"/>
      <c r="CT488" s="196"/>
      <c r="CU488" s="196"/>
      <c r="CV488" s="194"/>
      <c r="CW488" s="194"/>
      <c r="CX488" s="194"/>
      <c r="CY488" s="194"/>
      <c r="CZ488" s="194"/>
      <c r="DA488" s="194"/>
      <c r="DB488" s="194"/>
      <c r="DC488" s="194"/>
      <c r="DD488" s="194"/>
      <c r="DE488" s="194"/>
      <c r="DF488" s="196"/>
      <c r="DG488" s="198"/>
      <c r="DH488" s="194"/>
      <c r="DI488" s="282"/>
      <c r="DJ488" s="282"/>
      <c r="DK488" s="282"/>
      <c r="DL488" s="282"/>
    </row>
    <row r="489" spans="1:116" s="24" customFormat="1" x14ac:dyDescent="0.3">
      <c r="A489" s="172"/>
      <c r="B489" s="172"/>
      <c r="C489" s="172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  <c r="BT489" s="172"/>
      <c r="BU489" s="172"/>
      <c r="BV489" s="172"/>
      <c r="BW489" s="172"/>
      <c r="BX489" s="172"/>
      <c r="BY489" s="174"/>
      <c r="BZ489" s="172"/>
      <c r="CA489" s="172"/>
      <c r="CD489" s="194"/>
      <c r="CE489" s="194"/>
      <c r="CF489" s="194"/>
      <c r="CG489" s="194"/>
      <c r="CH489" s="195"/>
      <c r="CI489" s="194"/>
      <c r="CJ489" s="194"/>
      <c r="CK489" s="194"/>
      <c r="CL489" s="196"/>
      <c r="CM489" s="196"/>
      <c r="CN489" s="194"/>
      <c r="CO489" s="197"/>
      <c r="CP489" s="196"/>
      <c r="CQ489" s="196"/>
      <c r="CR489" s="196"/>
      <c r="CS489" s="196"/>
      <c r="CT489" s="196"/>
      <c r="CU489" s="196"/>
      <c r="CV489" s="194"/>
      <c r="CW489" s="194"/>
      <c r="CX489" s="194"/>
      <c r="CY489" s="194"/>
      <c r="CZ489" s="194"/>
      <c r="DA489" s="194"/>
      <c r="DB489" s="194"/>
      <c r="DC489" s="194"/>
      <c r="DD489" s="194"/>
      <c r="DE489" s="194"/>
      <c r="DF489" s="196"/>
      <c r="DG489" s="198"/>
      <c r="DH489" s="194"/>
      <c r="DI489" s="282"/>
      <c r="DJ489" s="282"/>
      <c r="DK489" s="282"/>
      <c r="DL489" s="282"/>
    </row>
    <row r="490" spans="1:116" s="24" customFormat="1" x14ac:dyDescent="0.3">
      <c r="A490" s="172"/>
      <c r="B490" s="172"/>
      <c r="C490" s="172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  <c r="BT490" s="172"/>
      <c r="BU490" s="172"/>
      <c r="BV490" s="172"/>
      <c r="BW490" s="172"/>
      <c r="BX490" s="172"/>
      <c r="BY490" s="174"/>
      <c r="BZ490" s="172"/>
      <c r="CA490" s="172"/>
      <c r="CD490" s="194"/>
      <c r="CE490" s="194"/>
      <c r="CF490" s="194"/>
      <c r="CG490" s="194"/>
      <c r="CH490" s="195"/>
      <c r="CI490" s="194"/>
      <c r="CJ490" s="194"/>
      <c r="CK490" s="194"/>
      <c r="CL490" s="196"/>
      <c r="CM490" s="196"/>
      <c r="CN490" s="194"/>
      <c r="CO490" s="197"/>
      <c r="CP490" s="196"/>
      <c r="CQ490" s="196"/>
      <c r="CR490" s="196"/>
      <c r="CS490" s="196"/>
      <c r="CT490" s="196"/>
      <c r="CU490" s="196"/>
      <c r="CV490" s="194"/>
      <c r="CW490" s="194"/>
      <c r="CX490" s="194"/>
      <c r="CY490" s="194"/>
      <c r="CZ490" s="194"/>
      <c r="DA490" s="194"/>
      <c r="DB490" s="194"/>
      <c r="DC490" s="194"/>
      <c r="DD490" s="194"/>
      <c r="DE490" s="194"/>
      <c r="DF490" s="196"/>
      <c r="DG490" s="198"/>
      <c r="DH490" s="194"/>
      <c r="DI490" s="282"/>
      <c r="DJ490" s="282"/>
      <c r="DK490" s="282"/>
      <c r="DL490" s="282"/>
    </row>
    <row r="491" spans="1:116" s="24" customFormat="1" x14ac:dyDescent="0.3">
      <c r="A491" s="172"/>
      <c r="B491" s="172"/>
      <c r="C491" s="172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  <c r="BT491" s="172"/>
      <c r="BU491" s="172"/>
      <c r="BV491" s="172"/>
      <c r="BW491" s="172"/>
      <c r="BX491" s="172"/>
      <c r="BY491" s="174"/>
      <c r="BZ491" s="172"/>
      <c r="CA491" s="172"/>
      <c r="CD491" s="194"/>
      <c r="CE491" s="194"/>
      <c r="CF491" s="194"/>
      <c r="CG491" s="194"/>
      <c r="CH491" s="195"/>
      <c r="CI491" s="194"/>
      <c r="CJ491" s="194"/>
      <c r="CK491" s="194"/>
      <c r="CL491" s="196"/>
      <c r="CM491" s="196"/>
      <c r="CN491" s="194"/>
      <c r="CO491" s="197"/>
      <c r="CP491" s="196"/>
      <c r="CQ491" s="196"/>
      <c r="CR491" s="196"/>
      <c r="CS491" s="196"/>
      <c r="CT491" s="196"/>
      <c r="CU491" s="196"/>
      <c r="CV491" s="194"/>
      <c r="CW491" s="194"/>
      <c r="CX491" s="194"/>
      <c r="CY491" s="194"/>
      <c r="CZ491" s="194"/>
      <c r="DA491" s="194"/>
      <c r="DB491" s="194"/>
      <c r="DC491" s="194"/>
      <c r="DD491" s="194"/>
      <c r="DE491" s="194"/>
      <c r="DF491" s="196"/>
      <c r="DG491" s="198"/>
      <c r="DH491" s="194"/>
      <c r="DI491" s="282"/>
      <c r="DJ491" s="282"/>
      <c r="DK491" s="282"/>
      <c r="DL491" s="282"/>
    </row>
    <row r="492" spans="1:116" s="24" customFormat="1" x14ac:dyDescent="0.3">
      <c r="A492" s="172"/>
      <c r="B492" s="172"/>
      <c r="C492" s="172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  <c r="BT492" s="172"/>
      <c r="BU492" s="172"/>
      <c r="BV492" s="172"/>
      <c r="BW492" s="172"/>
      <c r="BX492" s="172"/>
      <c r="BY492" s="174"/>
      <c r="BZ492" s="172"/>
      <c r="CA492" s="172"/>
      <c r="CD492" s="194"/>
      <c r="CE492" s="194"/>
      <c r="CF492" s="194"/>
      <c r="CG492" s="194"/>
      <c r="CH492" s="195"/>
      <c r="CI492" s="194"/>
      <c r="CJ492" s="194"/>
      <c r="CK492" s="194"/>
      <c r="CL492" s="196"/>
      <c r="CM492" s="196"/>
      <c r="CN492" s="194"/>
      <c r="CO492" s="197"/>
      <c r="CP492" s="196"/>
      <c r="CQ492" s="196"/>
      <c r="CR492" s="196"/>
      <c r="CS492" s="196"/>
      <c r="CT492" s="196"/>
      <c r="CU492" s="196"/>
      <c r="CV492" s="194"/>
      <c r="CW492" s="194"/>
      <c r="CX492" s="194"/>
      <c r="CY492" s="194"/>
      <c r="CZ492" s="194"/>
      <c r="DA492" s="194"/>
      <c r="DB492" s="194"/>
      <c r="DC492" s="194"/>
      <c r="DD492" s="194"/>
      <c r="DE492" s="194"/>
      <c r="DF492" s="196"/>
      <c r="DG492" s="198"/>
      <c r="DH492" s="194"/>
      <c r="DI492" s="282"/>
      <c r="DJ492" s="282"/>
      <c r="DK492" s="282"/>
      <c r="DL492" s="282"/>
    </row>
    <row r="493" spans="1:116" s="24" customFormat="1" x14ac:dyDescent="0.3">
      <c r="A493" s="172"/>
      <c r="B493" s="172"/>
      <c r="C493" s="172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  <c r="BT493" s="172"/>
      <c r="BU493" s="172"/>
      <c r="BV493" s="172"/>
      <c r="BW493" s="172"/>
      <c r="BX493" s="172"/>
      <c r="BY493" s="174"/>
      <c r="BZ493" s="172"/>
      <c r="CA493" s="172"/>
      <c r="CD493" s="194"/>
      <c r="CE493" s="194"/>
      <c r="CF493" s="194"/>
      <c r="CG493" s="194"/>
      <c r="CH493" s="195"/>
      <c r="CI493" s="194"/>
      <c r="CJ493" s="194"/>
      <c r="CK493" s="194"/>
      <c r="CL493" s="196"/>
      <c r="CM493" s="196"/>
      <c r="CN493" s="194"/>
      <c r="CO493" s="197"/>
      <c r="CP493" s="196"/>
      <c r="CQ493" s="196"/>
      <c r="CR493" s="196"/>
      <c r="CS493" s="196"/>
      <c r="CT493" s="196"/>
      <c r="CU493" s="196"/>
      <c r="CV493" s="194"/>
      <c r="CW493" s="194"/>
      <c r="CX493" s="194"/>
      <c r="CY493" s="194"/>
      <c r="CZ493" s="194"/>
      <c r="DA493" s="194"/>
      <c r="DB493" s="194"/>
      <c r="DC493" s="194"/>
      <c r="DD493" s="194"/>
      <c r="DE493" s="194"/>
      <c r="DF493" s="196"/>
      <c r="DG493" s="198"/>
      <c r="DH493" s="194"/>
      <c r="DI493" s="282"/>
      <c r="DJ493" s="282"/>
      <c r="DK493" s="282"/>
      <c r="DL493" s="282"/>
    </row>
    <row r="494" spans="1:116" s="24" customFormat="1" x14ac:dyDescent="0.3">
      <c r="A494" s="172"/>
      <c r="B494" s="172"/>
      <c r="C494" s="172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4"/>
      <c r="BZ494" s="172"/>
      <c r="CA494" s="172"/>
      <c r="CD494" s="194"/>
      <c r="CE494" s="194"/>
      <c r="CF494" s="194"/>
      <c r="CG494" s="194"/>
      <c r="CH494" s="195"/>
      <c r="CI494" s="194"/>
      <c r="CJ494" s="194"/>
      <c r="CK494" s="194"/>
      <c r="CL494" s="196"/>
      <c r="CM494" s="196"/>
      <c r="CN494" s="194"/>
      <c r="CO494" s="197"/>
      <c r="CP494" s="196"/>
      <c r="CQ494" s="196"/>
      <c r="CR494" s="196"/>
      <c r="CS494" s="196"/>
      <c r="CT494" s="196"/>
      <c r="CU494" s="196"/>
      <c r="CV494" s="194"/>
      <c r="CW494" s="194"/>
      <c r="CX494" s="194"/>
      <c r="CY494" s="194"/>
      <c r="CZ494" s="194"/>
      <c r="DA494" s="194"/>
      <c r="DB494" s="194"/>
      <c r="DC494" s="194"/>
      <c r="DD494" s="194"/>
      <c r="DE494" s="194"/>
      <c r="DF494" s="196"/>
      <c r="DG494" s="198"/>
      <c r="DH494" s="194"/>
      <c r="DI494" s="282"/>
      <c r="DJ494" s="282"/>
      <c r="DK494" s="282"/>
      <c r="DL494" s="282"/>
    </row>
    <row r="495" spans="1:116" s="24" customFormat="1" x14ac:dyDescent="0.3">
      <c r="A495" s="172"/>
      <c r="B495" s="172"/>
      <c r="C495" s="172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  <c r="BT495" s="172"/>
      <c r="BU495" s="172"/>
      <c r="BV495" s="172"/>
      <c r="BW495" s="172"/>
      <c r="BX495" s="172"/>
      <c r="BY495" s="174"/>
      <c r="BZ495" s="172"/>
      <c r="CA495" s="172"/>
      <c r="CD495" s="194"/>
      <c r="CE495" s="194"/>
      <c r="CF495" s="194"/>
      <c r="CG495" s="194"/>
      <c r="CH495" s="195"/>
      <c r="CI495" s="194"/>
      <c r="CJ495" s="194"/>
      <c r="CK495" s="194"/>
      <c r="CL495" s="196"/>
      <c r="CM495" s="196"/>
      <c r="CN495" s="194"/>
      <c r="CO495" s="197"/>
      <c r="CP495" s="196"/>
      <c r="CQ495" s="196"/>
      <c r="CR495" s="196"/>
      <c r="CS495" s="196"/>
      <c r="CT495" s="196"/>
      <c r="CU495" s="196"/>
      <c r="CV495" s="194"/>
      <c r="CW495" s="194"/>
      <c r="CX495" s="194"/>
      <c r="CY495" s="194"/>
      <c r="CZ495" s="194"/>
      <c r="DA495" s="194"/>
      <c r="DB495" s="194"/>
      <c r="DC495" s="194"/>
      <c r="DD495" s="194"/>
      <c r="DE495" s="194"/>
      <c r="DF495" s="196"/>
      <c r="DG495" s="198"/>
      <c r="DH495" s="194"/>
      <c r="DI495" s="282"/>
      <c r="DJ495" s="282"/>
      <c r="DK495" s="282"/>
      <c r="DL495" s="282"/>
    </row>
    <row r="496" spans="1:116" s="24" customFormat="1" x14ac:dyDescent="0.3">
      <c r="A496" s="172"/>
      <c r="B496" s="172"/>
      <c r="C496" s="172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  <c r="BT496" s="172"/>
      <c r="BU496" s="172"/>
      <c r="BV496" s="172"/>
      <c r="BW496" s="172"/>
      <c r="BX496" s="172"/>
      <c r="BY496" s="174"/>
      <c r="BZ496" s="172"/>
      <c r="CA496" s="172"/>
      <c r="CD496" s="194"/>
      <c r="CE496" s="194"/>
      <c r="CF496" s="194"/>
      <c r="CG496" s="194"/>
      <c r="CH496" s="195"/>
      <c r="CI496" s="194"/>
      <c r="CJ496" s="194"/>
      <c r="CK496" s="194"/>
      <c r="CL496" s="196"/>
      <c r="CM496" s="196"/>
      <c r="CN496" s="194"/>
      <c r="CO496" s="197"/>
      <c r="CP496" s="196"/>
      <c r="CQ496" s="196"/>
      <c r="CR496" s="196"/>
      <c r="CS496" s="196"/>
      <c r="CT496" s="196"/>
      <c r="CU496" s="196"/>
      <c r="CV496" s="194"/>
      <c r="CW496" s="194"/>
      <c r="CX496" s="194"/>
      <c r="CY496" s="194"/>
      <c r="CZ496" s="194"/>
      <c r="DA496" s="194"/>
      <c r="DB496" s="194"/>
      <c r="DC496" s="194"/>
      <c r="DD496" s="194"/>
      <c r="DE496" s="194"/>
      <c r="DF496" s="196"/>
      <c r="DG496" s="198"/>
      <c r="DH496" s="194"/>
      <c r="DI496" s="282"/>
      <c r="DJ496" s="282"/>
      <c r="DK496" s="282"/>
      <c r="DL496" s="282"/>
    </row>
    <row r="497" spans="1:116" s="24" customFormat="1" x14ac:dyDescent="0.3">
      <c r="A497" s="172"/>
      <c r="B497" s="172"/>
      <c r="C497" s="172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  <c r="BT497" s="172"/>
      <c r="BU497" s="172"/>
      <c r="BV497" s="172"/>
      <c r="BW497" s="172"/>
      <c r="BX497" s="172"/>
      <c r="BY497" s="174"/>
      <c r="BZ497" s="172"/>
      <c r="CA497" s="172"/>
      <c r="CD497" s="194"/>
      <c r="CE497" s="194"/>
      <c r="CF497" s="194"/>
      <c r="CG497" s="194"/>
      <c r="CH497" s="195"/>
      <c r="CI497" s="194"/>
      <c r="CJ497" s="194"/>
      <c r="CK497" s="194"/>
      <c r="CL497" s="196"/>
      <c r="CM497" s="196"/>
      <c r="CN497" s="194"/>
      <c r="CO497" s="197"/>
      <c r="CP497" s="196"/>
      <c r="CQ497" s="196"/>
      <c r="CR497" s="196"/>
      <c r="CS497" s="196"/>
      <c r="CT497" s="196"/>
      <c r="CU497" s="196"/>
      <c r="CV497" s="194"/>
      <c r="CW497" s="194"/>
      <c r="CX497" s="194"/>
      <c r="CY497" s="194"/>
      <c r="CZ497" s="194"/>
      <c r="DA497" s="194"/>
      <c r="DB497" s="194"/>
      <c r="DC497" s="194"/>
      <c r="DD497" s="194"/>
      <c r="DE497" s="194"/>
      <c r="DF497" s="196"/>
      <c r="DG497" s="198"/>
      <c r="DH497" s="194"/>
      <c r="DI497" s="282"/>
      <c r="DJ497" s="282"/>
      <c r="DK497" s="282"/>
      <c r="DL497" s="282"/>
    </row>
    <row r="498" spans="1:116" s="24" customFormat="1" x14ac:dyDescent="0.3">
      <c r="A498" s="172"/>
      <c r="B498" s="172"/>
      <c r="C498" s="172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  <c r="BT498" s="172"/>
      <c r="BU498" s="172"/>
      <c r="BV498" s="172"/>
      <c r="BW498" s="172"/>
      <c r="BX498" s="172"/>
      <c r="BY498" s="174"/>
      <c r="BZ498" s="172"/>
      <c r="CA498" s="172"/>
      <c r="CD498" s="194"/>
      <c r="CE498" s="194"/>
      <c r="CF498" s="194"/>
      <c r="CG498" s="194"/>
      <c r="CH498" s="195"/>
      <c r="CI498" s="194"/>
      <c r="CJ498" s="194"/>
      <c r="CK498" s="194"/>
      <c r="CL498" s="196"/>
      <c r="CM498" s="196"/>
      <c r="CN498" s="194"/>
      <c r="CO498" s="197"/>
      <c r="CP498" s="196"/>
      <c r="CQ498" s="196"/>
      <c r="CR498" s="196"/>
      <c r="CS498" s="196"/>
      <c r="CT498" s="196"/>
      <c r="CU498" s="196"/>
      <c r="CV498" s="194"/>
      <c r="CW498" s="194"/>
      <c r="CX498" s="194"/>
      <c r="CY498" s="194"/>
      <c r="CZ498" s="194"/>
      <c r="DA498" s="194"/>
      <c r="DB498" s="194"/>
      <c r="DC498" s="194"/>
      <c r="DD498" s="194"/>
      <c r="DE498" s="194"/>
      <c r="DF498" s="196"/>
      <c r="DG498" s="198"/>
      <c r="DH498" s="194"/>
      <c r="DI498" s="282"/>
      <c r="DJ498" s="282"/>
      <c r="DK498" s="282"/>
      <c r="DL498" s="282"/>
    </row>
    <row r="499" spans="1:116" s="24" customFormat="1" x14ac:dyDescent="0.3">
      <c r="A499" s="172"/>
      <c r="B499" s="172"/>
      <c r="C499" s="172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  <c r="BT499" s="172"/>
      <c r="BU499" s="172"/>
      <c r="BV499" s="172"/>
      <c r="BW499" s="172"/>
      <c r="BX499" s="172"/>
      <c r="BY499" s="174"/>
      <c r="BZ499" s="172"/>
      <c r="CA499" s="172"/>
      <c r="CD499" s="194"/>
      <c r="CE499" s="194"/>
      <c r="CF499" s="194"/>
      <c r="CG499" s="194"/>
      <c r="CH499" s="195"/>
      <c r="CI499" s="194"/>
      <c r="CJ499" s="194"/>
      <c r="CK499" s="194"/>
      <c r="CL499" s="196"/>
      <c r="CM499" s="196"/>
      <c r="CN499" s="194"/>
      <c r="CO499" s="197"/>
      <c r="CP499" s="196"/>
      <c r="CQ499" s="196"/>
      <c r="CR499" s="196"/>
      <c r="CS499" s="196"/>
      <c r="CT499" s="196"/>
      <c r="CU499" s="196"/>
      <c r="CV499" s="194"/>
      <c r="CW499" s="194"/>
      <c r="CX499" s="194"/>
      <c r="CY499" s="194"/>
      <c r="CZ499" s="194"/>
      <c r="DA499" s="194"/>
      <c r="DB499" s="194"/>
      <c r="DC499" s="194"/>
      <c r="DD499" s="194"/>
      <c r="DE499" s="194"/>
      <c r="DF499" s="196"/>
      <c r="DG499" s="198"/>
      <c r="DH499" s="194"/>
      <c r="DI499" s="282"/>
      <c r="DJ499" s="282"/>
      <c r="DK499" s="282"/>
      <c r="DL499" s="282"/>
    </row>
    <row r="500" spans="1:116" s="24" customFormat="1" x14ac:dyDescent="0.3">
      <c r="A500" s="172"/>
      <c r="B500" s="172"/>
      <c r="C500" s="172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  <c r="BT500" s="172"/>
      <c r="BU500" s="172"/>
      <c r="BV500" s="172"/>
      <c r="BW500" s="172"/>
      <c r="BX500" s="172"/>
      <c r="BY500" s="174"/>
      <c r="BZ500" s="172"/>
      <c r="CA500" s="172"/>
      <c r="CD500" s="194"/>
      <c r="CE500" s="194"/>
      <c r="CF500" s="194"/>
      <c r="CG500" s="194"/>
      <c r="CH500" s="195"/>
      <c r="CI500" s="194"/>
      <c r="CJ500" s="194"/>
      <c r="CK500" s="194"/>
      <c r="CL500" s="196"/>
      <c r="CM500" s="196"/>
      <c r="CN500" s="194"/>
      <c r="CO500" s="197"/>
      <c r="CP500" s="196"/>
      <c r="CQ500" s="196"/>
      <c r="CR500" s="196"/>
      <c r="CS500" s="196"/>
      <c r="CT500" s="196"/>
      <c r="CU500" s="196"/>
      <c r="CV500" s="194"/>
      <c r="CW500" s="194"/>
      <c r="CX500" s="194"/>
      <c r="CY500" s="194"/>
      <c r="CZ500" s="194"/>
      <c r="DA500" s="194"/>
      <c r="DB500" s="194"/>
      <c r="DC500" s="194"/>
      <c r="DD500" s="194"/>
      <c r="DE500" s="194"/>
      <c r="DF500" s="196"/>
      <c r="DG500" s="198"/>
      <c r="DH500" s="194"/>
      <c r="DI500" s="282"/>
      <c r="DJ500" s="282"/>
      <c r="DK500" s="282"/>
      <c r="DL500" s="282"/>
    </row>
    <row r="501" spans="1:116" s="24" customFormat="1" x14ac:dyDescent="0.3">
      <c r="A501" s="172"/>
      <c r="B501" s="172"/>
      <c r="C501" s="172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  <c r="BT501" s="172"/>
      <c r="BU501" s="172"/>
      <c r="BV501" s="172"/>
      <c r="BW501" s="172"/>
      <c r="BX501" s="172"/>
      <c r="BY501" s="174"/>
      <c r="BZ501" s="172"/>
      <c r="CA501" s="172"/>
      <c r="CD501" s="194"/>
      <c r="CE501" s="194"/>
      <c r="CF501" s="194"/>
      <c r="CG501" s="194"/>
      <c r="CH501" s="195"/>
      <c r="CI501" s="194"/>
      <c r="CJ501" s="194"/>
      <c r="CK501" s="194"/>
      <c r="CL501" s="196"/>
      <c r="CM501" s="196"/>
      <c r="CN501" s="194"/>
      <c r="CO501" s="197"/>
      <c r="CP501" s="196"/>
      <c r="CQ501" s="196"/>
      <c r="CR501" s="196"/>
      <c r="CS501" s="196"/>
      <c r="CT501" s="196"/>
      <c r="CU501" s="196"/>
      <c r="CV501" s="194"/>
      <c r="CW501" s="194"/>
      <c r="CX501" s="194"/>
      <c r="CY501" s="194"/>
      <c r="CZ501" s="194"/>
      <c r="DA501" s="194"/>
      <c r="DB501" s="194"/>
      <c r="DC501" s="194"/>
      <c r="DD501" s="194"/>
      <c r="DE501" s="194"/>
      <c r="DF501" s="196"/>
      <c r="DG501" s="198"/>
      <c r="DH501" s="194"/>
      <c r="DI501" s="282"/>
      <c r="DJ501" s="282"/>
      <c r="DK501" s="282"/>
      <c r="DL501" s="282"/>
    </row>
    <row r="502" spans="1:116" s="24" customFormat="1" x14ac:dyDescent="0.3">
      <c r="A502" s="172"/>
      <c r="B502" s="172"/>
      <c r="C502" s="172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  <c r="BT502" s="172"/>
      <c r="BU502" s="172"/>
      <c r="BV502" s="172"/>
      <c r="BW502" s="172"/>
      <c r="BX502" s="172"/>
      <c r="BY502" s="174"/>
      <c r="BZ502" s="172"/>
      <c r="CA502" s="172"/>
      <c r="CD502" s="194"/>
      <c r="CE502" s="194"/>
      <c r="CF502" s="194"/>
      <c r="CG502" s="194"/>
      <c r="CH502" s="195"/>
      <c r="CI502" s="194"/>
      <c r="CJ502" s="194"/>
      <c r="CK502" s="194"/>
      <c r="CL502" s="196"/>
      <c r="CM502" s="196"/>
      <c r="CN502" s="194"/>
      <c r="CO502" s="197"/>
      <c r="CP502" s="196"/>
      <c r="CQ502" s="196"/>
      <c r="CR502" s="196"/>
      <c r="CS502" s="196"/>
      <c r="CT502" s="196"/>
      <c r="CU502" s="196"/>
      <c r="CV502" s="194"/>
      <c r="CW502" s="194"/>
      <c r="CX502" s="194"/>
      <c r="CY502" s="194"/>
      <c r="CZ502" s="194"/>
      <c r="DA502" s="194"/>
      <c r="DB502" s="194"/>
      <c r="DC502" s="194"/>
      <c r="DD502" s="194"/>
      <c r="DE502" s="194"/>
      <c r="DF502" s="196"/>
      <c r="DG502" s="198"/>
      <c r="DH502" s="194"/>
      <c r="DI502" s="282"/>
      <c r="DJ502" s="282"/>
      <c r="DK502" s="282"/>
      <c r="DL502" s="282"/>
    </row>
    <row r="503" spans="1:116" s="24" customFormat="1" x14ac:dyDescent="0.3">
      <c r="A503" s="172"/>
      <c r="B503" s="172"/>
      <c r="C503" s="172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  <c r="BT503" s="172"/>
      <c r="BU503" s="172"/>
      <c r="BV503" s="172"/>
      <c r="BW503" s="172"/>
      <c r="BX503" s="172"/>
      <c r="BY503" s="174"/>
      <c r="BZ503" s="172"/>
      <c r="CA503" s="172"/>
      <c r="CD503" s="194"/>
      <c r="CE503" s="194"/>
      <c r="CF503" s="194"/>
      <c r="CG503" s="194"/>
      <c r="CH503" s="195"/>
      <c r="CI503" s="194"/>
      <c r="CJ503" s="194"/>
      <c r="CK503" s="194"/>
      <c r="CL503" s="196"/>
      <c r="CM503" s="196"/>
      <c r="CN503" s="194"/>
      <c r="CO503" s="197"/>
      <c r="CP503" s="196"/>
      <c r="CQ503" s="196"/>
      <c r="CR503" s="196"/>
      <c r="CS503" s="196"/>
      <c r="CT503" s="196"/>
      <c r="CU503" s="196"/>
      <c r="CV503" s="194"/>
      <c r="CW503" s="194"/>
      <c r="CX503" s="194"/>
      <c r="CY503" s="194"/>
      <c r="CZ503" s="194"/>
      <c r="DA503" s="194"/>
      <c r="DB503" s="194"/>
      <c r="DC503" s="194"/>
      <c r="DD503" s="194"/>
      <c r="DE503" s="194"/>
      <c r="DF503" s="196"/>
      <c r="DG503" s="198"/>
      <c r="DH503" s="194"/>
      <c r="DI503" s="282"/>
      <c r="DJ503" s="282"/>
      <c r="DK503" s="282"/>
      <c r="DL503" s="282"/>
    </row>
    <row r="504" spans="1:116" s="24" customFormat="1" x14ac:dyDescent="0.3">
      <c r="A504" s="172"/>
      <c r="B504" s="172"/>
      <c r="C504" s="172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172"/>
      <c r="BV504" s="172"/>
      <c r="BW504" s="172"/>
      <c r="BX504" s="172"/>
      <c r="BY504" s="174"/>
      <c r="BZ504" s="172"/>
      <c r="CA504" s="172"/>
      <c r="CD504" s="194"/>
      <c r="CE504" s="194"/>
      <c r="CF504" s="194"/>
      <c r="CG504" s="194"/>
      <c r="CH504" s="195"/>
      <c r="CI504" s="194"/>
      <c r="CJ504" s="194"/>
      <c r="CK504" s="194"/>
      <c r="CL504" s="196"/>
      <c r="CM504" s="196"/>
      <c r="CN504" s="194"/>
      <c r="CO504" s="197"/>
      <c r="CP504" s="196"/>
      <c r="CQ504" s="196"/>
      <c r="CR504" s="196"/>
      <c r="CS504" s="196"/>
      <c r="CT504" s="196"/>
      <c r="CU504" s="196"/>
      <c r="CV504" s="194"/>
      <c r="CW504" s="194"/>
      <c r="CX504" s="194"/>
      <c r="CY504" s="194"/>
      <c r="CZ504" s="194"/>
      <c r="DA504" s="194"/>
      <c r="DB504" s="194"/>
      <c r="DC504" s="194"/>
      <c r="DD504" s="194"/>
      <c r="DE504" s="194"/>
      <c r="DF504" s="196"/>
      <c r="DG504" s="198"/>
      <c r="DH504" s="194"/>
      <c r="DI504" s="282"/>
      <c r="DJ504" s="282"/>
      <c r="DK504" s="282"/>
      <c r="DL504" s="282"/>
    </row>
    <row r="505" spans="1:116" s="24" customFormat="1" x14ac:dyDescent="0.3">
      <c r="A505" s="172"/>
      <c r="B505" s="172"/>
      <c r="C505" s="172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  <c r="BT505" s="172"/>
      <c r="BU505" s="172"/>
      <c r="BV505" s="172"/>
      <c r="BW505" s="172"/>
      <c r="BX505" s="172"/>
      <c r="BY505" s="174"/>
      <c r="BZ505" s="172"/>
      <c r="CA505" s="172"/>
      <c r="CD505" s="194"/>
      <c r="CE505" s="194"/>
      <c r="CF505" s="194"/>
      <c r="CG505" s="194"/>
      <c r="CH505" s="195"/>
      <c r="CI505" s="194"/>
      <c r="CJ505" s="194"/>
      <c r="CK505" s="194"/>
      <c r="CL505" s="196"/>
      <c r="CM505" s="196"/>
      <c r="CN505" s="194"/>
      <c r="CO505" s="197"/>
      <c r="CP505" s="196"/>
      <c r="CQ505" s="196"/>
      <c r="CR505" s="196"/>
      <c r="CS505" s="196"/>
      <c r="CT505" s="196"/>
      <c r="CU505" s="196"/>
      <c r="CV505" s="194"/>
      <c r="CW505" s="194"/>
      <c r="CX505" s="194"/>
      <c r="CY505" s="194"/>
      <c r="CZ505" s="194"/>
      <c r="DA505" s="194"/>
      <c r="DB505" s="194"/>
      <c r="DC505" s="194"/>
      <c r="DD505" s="194"/>
      <c r="DE505" s="194"/>
      <c r="DF505" s="196"/>
      <c r="DG505" s="198"/>
      <c r="DH505" s="194"/>
      <c r="DI505" s="282"/>
      <c r="DJ505" s="282"/>
      <c r="DK505" s="282"/>
      <c r="DL505" s="282"/>
    </row>
    <row r="506" spans="1:116" s="24" customFormat="1" x14ac:dyDescent="0.3">
      <c r="A506" s="172"/>
      <c r="B506" s="172"/>
      <c r="C506" s="172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  <c r="BT506" s="172"/>
      <c r="BU506" s="172"/>
      <c r="BV506" s="172"/>
      <c r="BW506" s="172"/>
      <c r="BX506" s="172"/>
      <c r="BY506" s="174"/>
      <c r="BZ506" s="172"/>
      <c r="CA506" s="172"/>
      <c r="CD506" s="194"/>
      <c r="CE506" s="194"/>
      <c r="CF506" s="194"/>
      <c r="CG506" s="194"/>
      <c r="CH506" s="195"/>
      <c r="CI506" s="194"/>
      <c r="CJ506" s="194"/>
      <c r="CK506" s="194"/>
      <c r="CL506" s="196"/>
      <c r="CM506" s="196"/>
      <c r="CN506" s="194"/>
      <c r="CO506" s="197"/>
      <c r="CP506" s="196"/>
      <c r="CQ506" s="196"/>
      <c r="CR506" s="196"/>
      <c r="CS506" s="196"/>
      <c r="CT506" s="196"/>
      <c r="CU506" s="196"/>
      <c r="CV506" s="194"/>
      <c r="CW506" s="194"/>
      <c r="CX506" s="194"/>
      <c r="CY506" s="194"/>
      <c r="CZ506" s="194"/>
      <c r="DA506" s="194"/>
      <c r="DB506" s="194"/>
      <c r="DC506" s="194"/>
      <c r="DD506" s="194"/>
      <c r="DE506" s="194"/>
      <c r="DF506" s="196"/>
      <c r="DG506" s="198"/>
      <c r="DH506" s="194"/>
      <c r="DI506" s="282"/>
      <c r="DJ506" s="282"/>
      <c r="DK506" s="282"/>
      <c r="DL506" s="282"/>
    </row>
    <row r="507" spans="1:116" s="24" customFormat="1" x14ac:dyDescent="0.3">
      <c r="A507" s="172"/>
      <c r="B507" s="172"/>
      <c r="C507" s="172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4"/>
      <c r="BZ507" s="172"/>
      <c r="CA507" s="172"/>
      <c r="CD507" s="194"/>
      <c r="CE507" s="194"/>
      <c r="CF507" s="194"/>
      <c r="CG507" s="194"/>
      <c r="CH507" s="195"/>
      <c r="CI507" s="194"/>
      <c r="CJ507" s="194"/>
      <c r="CK507" s="194"/>
      <c r="CL507" s="196"/>
      <c r="CM507" s="196"/>
      <c r="CN507" s="194"/>
      <c r="CO507" s="197"/>
      <c r="CP507" s="196"/>
      <c r="CQ507" s="196"/>
      <c r="CR507" s="196"/>
      <c r="CS507" s="196"/>
      <c r="CT507" s="196"/>
      <c r="CU507" s="196"/>
      <c r="CV507" s="194"/>
      <c r="CW507" s="194"/>
      <c r="CX507" s="194"/>
      <c r="CY507" s="194"/>
      <c r="CZ507" s="194"/>
      <c r="DA507" s="194"/>
      <c r="DB507" s="194"/>
      <c r="DC507" s="194"/>
      <c r="DD507" s="194"/>
      <c r="DE507" s="194"/>
      <c r="DF507" s="196"/>
      <c r="DG507" s="198"/>
      <c r="DH507" s="194"/>
      <c r="DI507" s="282"/>
      <c r="DJ507" s="282"/>
      <c r="DK507" s="282"/>
      <c r="DL507" s="282"/>
    </row>
    <row r="508" spans="1:116" s="24" customFormat="1" x14ac:dyDescent="0.3">
      <c r="A508" s="172"/>
      <c r="B508" s="172"/>
      <c r="C508" s="172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  <c r="BT508" s="172"/>
      <c r="BU508" s="172"/>
      <c r="BV508" s="172"/>
      <c r="BW508" s="172"/>
      <c r="BX508" s="172"/>
      <c r="BY508" s="174"/>
      <c r="BZ508" s="172"/>
      <c r="CA508" s="172"/>
      <c r="CD508" s="194"/>
      <c r="CE508" s="194"/>
      <c r="CF508" s="194"/>
      <c r="CG508" s="194"/>
      <c r="CH508" s="195"/>
      <c r="CI508" s="194"/>
      <c r="CJ508" s="194"/>
      <c r="CK508" s="194"/>
      <c r="CL508" s="196"/>
      <c r="CM508" s="196"/>
      <c r="CN508" s="194"/>
      <c r="CO508" s="197"/>
      <c r="CP508" s="196"/>
      <c r="CQ508" s="196"/>
      <c r="CR508" s="196"/>
      <c r="CS508" s="196"/>
      <c r="CT508" s="196"/>
      <c r="CU508" s="196"/>
      <c r="CV508" s="194"/>
      <c r="CW508" s="194"/>
      <c r="CX508" s="194"/>
      <c r="CY508" s="194"/>
      <c r="CZ508" s="194"/>
      <c r="DA508" s="194"/>
      <c r="DB508" s="194"/>
      <c r="DC508" s="194"/>
      <c r="DD508" s="194"/>
      <c r="DE508" s="194"/>
      <c r="DF508" s="196"/>
      <c r="DG508" s="198"/>
      <c r="DH508" s="194"/>
      <c r="DI508" s="282"/>
      <c r="DJ508" s="282"/>
      <c r="DK508" s="282"/>
      <c r="DL508" s="282"/>
    </row>
    <row r="509" spans="1:116" s="24" customFormat="1" x14ac:dyDescent="0.3">
      <c r="A509" s="172"/>
      <c r="B509" s="172"/>
      <c r="C509" s="172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  <c r="BT509" s="172"/>
      <c r="BU509" s="172"/>
      <c r="BV509" s="172"/>
      <c r="BW509" s="172"/>
      <c r="BX509" s="172"/>
      <c r="BY509" s="174"/>
      <c r="BZ509" s="172"/>
      <c r="CA509" s="172"/>
      <c r="CD509" s="194"/>
      <c r="CE509" s="194"/>
      <c r="CF509" s="194"/>
      <c r="CG509" s="194"/>
      <c r="CH509" s="195"/>
      <c r="CI509" s="194"/>
      <c r="CJ509" s="194"/>
      <c r="CK509" s="194"/>
      <c r="CL509" s="196"/>
      <c r="CM509" s="196"/>
      <c r="CN509" s="194"/>
      <c r="CO509" s="197"/>
      <c r="CP509" s="196"/>
      <c r="CQ509" s="196"/>
      <c r="CR509" s="196"/>
      <c r="CS509" s="196"/>
      <c r="CT509" s="196"/>
      <c r="CU509" s="196"/>
      <c r="CV509" s="194"/>
      <c r="CW509" s="194"/>
      <c r="CX509" s="194"/>
      <c r="CY509" s="194"/>
      <c r="CZ509" s="194"/>
      <c r="DA509" s="194"/>
      <c r="DB509" s="194"/>
      <c r="DC509" s="194"/>
      <c r="DD509" s="194"/>
      <c r="DE509" s="194"/>
      <c r="DF509" s="196"/>
      <c r="DG509" s="198"/>
      <c r="DH509" s="194"/>
      <c r="DI509" s="282"/>
      <c r="DJ509" s="282"/>
      <c r="DK509" s="282"/>
      <c r="DL509" s="282"/>
    </row>
    <row r="510" spans="1:116" s="24" customFormat="1" x14ac:dyDescent="0.3">
      <c r="A510" s="172"/>
      <c r="B510" s="172"/>
      <c r="C510" s="172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172"/>
      <c r="BV510" s="172"/>
      <c r="BW510" s="172"/>
      <c r="BX510" s="172"/>
      <c r="BY510" s="174"/>
      <c r="BZ510" s="172"/>
      <c r="CA510" s="172"/>
      <c r="CD510" s="194"/>
      <c r="CE510" s="194"/>
      <c r="CF510" s="194"/>
      <c r="CG510" s="194"/>
      <c r="CH510" s="195"/>
      <c r="CI510" s="194"/>
      <c r="CJ510" s="194"/>
      <c r="CK510" s="194"/>
      <c r="CL510" s="196"/>
      <c r="CM510" s="196"/>
      <c r="CN510" s="194"/>
      <c r="CO510" s="197"/>
      <c r="CP510" s="196"/>
      <c r="CQ510" s="196"/>
      <c r="CR510" s="196"/>
      <c r="CS510" s="196"/>
      <c r="CT510" s="196"/>
      <c r="CU510" s="196"/>
      <c r="CV510" s="194"/>
      <c r="CW510" s="194"/>
      <c r="CX510" s="194"/>
      <c r="CY510" s="194"/>
      <c r="CZ510" s="194"/>
      <c r="DA510" s="194"/>
      <c r="DB510" s="194"/>
      <c r="DC510" s="194"/>
      <c r="DD510" s="194"/>
      <c r="DE510" s="194"/>
      <c r="DF510" s="196"/>
      <c r="DG510" s="198"/>
      <c r="DH510" s="194"/>
      <c r="DI510" s="282"/>
      <c r="DJ510" s="282"/>
      <c r="DK510" s="282"/>
      <c r="DL510" s="282"/>
    </row>
    <row r="511" spans="1:116" s="24" customFormat="1" x14ac:dyDescent="0.3">
      <c r="A511" s="172"/>
      <c r="B511" s="172"/>
      <c r="C511" s="172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4"/>
      <c r="BZ511" s="172"/>
      <c r="CA511" s="172"/>
      <c r="CD511" s="194"/>
      <c r="CE511" s="194"/>
      <c r="CF511" s="194"/>
      <c r="CG511" s="194"/>
      <c r="CH511" s="195"/>
      <c r="CI511" s="194"/>
      <c r="CJ511" s="194"/>
      <c r="CK511" s="194"/>
      <c r="CL511" s="196"/>
      <c r="CM511" s="196"/>
      <c r="CN511" s="194"/>
      <c r="CO511" s="197"/>
      <c r="CP511" s="196"/>
      <c r="CQ511" s="196"/>
      <c r="CR511" s="196"/>
      <c r="CS511" s="196"/>
      <c r="CT511" s="196"/>
      <c r="CU511" s="196"/>
      <c r="CV511" s="194"/>
      <c r="CW511" s="194"/>
      <c r="CX511" s="194"/>
      <c r="CY511" s="194"/>
      <c r="CZ511" s="194"/>
      <c r="DA511" s="194"/>
      <c r="DB511" s="194"/>
      <c r="DC511" s="194"/>
      <c r="DD511" s="194"/>
      <c r="DE511" s="194"/>
      <c r="DF511" s="196"/>
      <c r="DG511" s="198"/>
      <c r="DH511" s="194"/>
      <c r="DI511" s="282"/>
      <c r="DJ511" s="282"/>
      <c r="DK511" s="282"/>
      <c r="DL511" s="282"/>
    </row>
    <row r="512" spans="1:116" s="24" customFormat="1" x14ac:dyDescent="0.3">
      <c r="A512" s="172"/>
      <c r="B512" s="172"/>
      <c r="C512" s="172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2"/>
      <c r="AT512" s="172"/>
      <c r="AU512" s="172"/>
      <c r="AV512" s="172"/>
      <c r="AW512" s="172"/>
      <c r="AX512" s="17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  <c r="BT512" s="172"/>
      <c r="BU512" s="172"/>
      <c r="BV512" s="172"/>
      <c r="BW512" s="172"/>
      <c r="BX512" s="172"/>
      <c r="BY512" s="174"/>
      <c r="BZ512" s="172"/>
      <c r="CA512" s="172"/>
      <c r="CD512" s="194"/>
      <c r="CE512" s="194"/>
      <c r="CF512" s="194"/>
      <c r="CG512" s="194"/>
      <c r="CH512" s="195"/>
      <c r="CI512" s="194"/>
      <c r="CJ512" s="194"/>
      <c r="CK512" s="194"/>
      <c r="CL512" s="196"/>
      <c r="CM512" s="196"/>
      <c r="CN512" s="194"/>
      <c r="CO512" s="197"/>
      <c r="CP512" s="196"/>
      <c r="CQ512" s="196"/>
      <c r="CR512" s="196"/>
      <c r="CS512" s="196"/>
      <c r="CT512" s="196"/>
      <c r="CU512" s="196"/>
      <c r="CV512" s="194"/>
      <c r="CW512" s="194"/>
      <c r="CX512" s="194"/>
      <c r="CY512" s="194"/>
      <c r="CZ512" s="194"/>
      <c r="DA512" s="194"/>
      <c r="DB512" s="194"/>
      <c r="DC512" s="194"/>
      <c r="DD512" s="194"/>
      <c r="DE512" s="194"/>
      <c r="DF512" s="196"/>
      <c r="DG512" s="198"/>
      <c r="DH512" s="194"/>
      <c r="DI512" s="282"/>
      <c r="DJ512" s="282"/>
      <c r="DK512" s="282"/>
      <c r="DL512" s="282"/>
    </row>
    <row r="513" spans="1:116" s="24" customFormat="1" x14ac:dyDescent="0.3">
      <c r="A513" s="172"/>
      <c r="B513" s="172"/>
      <c r="C513" s="172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2"/>
      <c r="AT513" s="172"/>
      <c r="AU513" s="172"/>
      <c r="AV513" s="172"/>
      <c r="AW513" s="172"/>
      <c r="AX513" s="17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  <c r="BT513" s="172"/>
      <c r="BU513" s="172"/>
      <c r="BV513" s="172"/>
      <c r="BW513" s="172"/>
      <c r="BX513" s="172"/>
      <c r="BY513" s="174"/>
      <c r="BZ513" s="172"/>
      <c r="CA513" s="172"/>
      <c r="CD513" s="194"/>
      <c r="CE513" s="194"/>
      <c r="CF513" s="194"/>
      <c r="CG513" s="194"/>
      <c r="CH513" s="195"/>
      <c r="CI513" s="194"/>
      <c r="CJ513" s="194"/>
      <c r="CK513" s="194"/>
      <c r="CL513" s="196"/>
      <c r="CM513" s="196"/>
      <c r="CN513" s="194"/>
      <c r="CO513" s="197"/>
      <c r="CP513" s="196"/>
      <c r="CQ513" s="196"/>
      <c r="CR513" s="196"/>
      <c r="CS513" s="196"/>
      <c r="CT513" s="196"/>
      <c r="CU513" s="196"/>
      <c r="CV513" s="194"/>
      <c r="CW513" s="194"/>
      <c r="CX513" s="194"/>
      <c r="CY513" s="194"/>
      <c r="CZ513" s="194"/>
      <c r="DA513" s="194"/>
      <c r="DB513" s="194"/>
      <c r="DC513" s="194"/>
      <c r="DD513" s="194"/>
      <c r="DE513" s="194"/>
      <c r="DF513" s="196"/>
      <c r="DG513" s="198"/>
      <c r="DH513" s="194"/>
      <c r="DI513" s="282"/>
      <c r="DJ513" s="282"/>
      <c r="DK513" s="282"/>
      <c r="DL513" s="282"/>
    </row>
    <row r="514" spans="1:116" s="24" customFormat="1" x14ac:dyDescent="0.3">
      <c r="A514" s="172"/>
      <c r="B514" s="172"/>
      <c r="C514" s="172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2"/>
      <c r="AT514" s="172"/>
      <c r="AU514" s="172"/>
      <c r="AV514" s="172"/>
      <c r="AW514" s="172"/>
      <c r="AX514" s="17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  <c r="BT514" s="172"/>
      <c r="BU514" s="172"/>
      <c r="BV514" s="172"/>
      <c r="BW514" s="172"/>
      <c r="BX514" s="172"/>
      <c r="BY514" s="174"/>
      <c r="BZ514" s="172"/>
      <c r="CA514" s="172"/>
      <c r="CD514" s="194"/>
      <c r="CE514" s="194"/>
      <c r="CF514" s="194"/>
      <c r="CG514" s="194"/>
      <c r="CH514" s="195"/>
      <c r="CI514" s="194"/>
      <c r="CJ514" s="194"/>
      <c r="CK514" s="194"/>
      <c r="CL514" s="196"/>
      <c r="CM514" s="196"/>
      <c r="CN514" s="194"/>
      <c r="CO514" s="197"/>
      <c r="CP514" s="196"/>
      <c r="CQ514" s="196"/>
      <c r="CR514" s="196"/>
      <c r="CS514" s="196"/>
      <c r="CT514" s="196"/>
      <c r="CU514" s="196"/>
      <c r="CV514" s="194"/>
      <c r="CW514" s="194"/>
      <c r="CX514" s="194"/>
      <c r="CY514" s="194"/>
      <c r="CZ514" s="194"/>
      <c r="DA514" s="194"/>
      <c r="DB514" s="194"/>
      <c r="DC514" s="194"/>
      <c r="DD514" s="194"/>
      <c r="DE514" s="194"/>
      <c r="DF514" s="196"/>
      <c r="DG514" s="198"/>
      <c r="DH514" s="194"/>
      <c r="DI514" s="282"/>
      <c r="DJ514" s="282"/>
      <c r="DK514" s="282"/>
      <c r="DL514" s="282"/>
    </row>
    <row r="515" spans="1:116" s="24" customFormat="1" x14ac:dyDescent="0.3">
      <c r="A515" s="172"/>
      <c r="B515" s="172"/>
      <c r="C515" s="172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2"/>
      <c r="AT515" s="172"/>
      <c r="AU515" s="172"/>
      <c r="AV515" s="172"/>
      <c r="AW515" s="172"/>
      <c r="AX515" s="17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  <c r="BT515" s="172"/>
      <c r="BU515" s="172"/>
      <c r="BV515" s="172"/>
      <c r="BW515" s="172"/>
      <c r="BX515" s="172"/>
      <c r="BY515" s="174"/>
      <c r="BZ515" s="172"/>
      <c r="CA515" s="172"/>
      <c r="CD515" s="194"/>
      <c r="CE515" s="194"/>
      <c r="CF515" s="194"/>
      <c r="CG515" s="194"/>
      <c r="CH515" s="195"/>
      <c r="CI515" s="194"/>
      <c r="CJ515" s="194"/>
      <c r="CK515" s="194"/>
      <c r="CL515" s="196"/>
      <c r="CM515" s="196"/>
      <c r="CN515" s="194"/>
      <c r="CO515" s="197"/>
      <c r="CP515" s="196"/>
      <c r="CQ515" s="196"/>
      <c r="CR515" s="196"/>
      <c r="CS515" s="196"/>
      <c r="CT515" s="196"/>
      <c r="CU515" s="196"/>
      <c r="CV515" s="194"/>
      <c r="CW515" s="194"/>
      <c r="CX515" s="194"/>
      <c r="CY515" s="194"/>
      <c r="CZ515" s="194"/>
      <c r="DA515" s="194"/>
      <c r="DB515" s="194"/>
      <c r="DC515" s="194"/>
      <c r="DD515" s="194"/>
      <c r="DE515" s="194"/>
      <c r="DF515" s="196"/>
      <c r="DG515" s="198"/>
      <c r="DH515" s="194"/>
      <c r="DI515" s="282"/>
      <c r="DJ515" s="282"/>
      <c r="DK515" s="282"/>
      <c r="DL515" s="282"/>
    </row>
    <row r="516" spans="1:116" s="24" customFormat="1" x14ac:dyDescent="0.3">
      <c r="A516" s="172"/>
      <c r="B516" s="172"/>
      <c r="C516" s="172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  <c r="BT516" s="172"/>
      <c r="BU516" s="172"/>
      <c r="BV516" s="172"/>
      <c r="BW516" s="172"/>
      <c r="BX516" s="172"/>
      <c r="BY516" s="174"/>
      <c r="BZ516" s="172"/>
      <c r="CA516" s="172"/>
      <c r="CD516" s="194"/>
      <c r="CE516" s="194"/>
      <c r="CF516" s="194"/>
      <c r="CG516" s="194"/>
      <c r="CH516" s="195"/>
      <c r="CI516" s="194"/>
      <c r="CJ516" s="194"/>
      <c r="CK516" s="194"/>
      <c r="CL516" s="196"/>
      <c r="CM516" s="196"/>
      <c r="CN516" s="194"/>
      <c r="CO516" s="197"/>
      <c r="CP516" s="196"/>
      <c r="CQ516" s="196"/>
      <c r="CR516" s="196"/>
      <c r="CS516" s="196"/>
      <c r="CT516" s="196"/>
      <c r="CU516" s="196"/>
      <c r="CV516" s="194"/>
      <c r="CW516" s="194"/>
      <c r="CX516" s="194"/>
      <c r="CY516" s="194"/>
      <c r="CZ516" s="194"/>
      <c r="DA516" s="194"/>
      <c r="DB516" s="194"/>
      <c r="DC516" s="194"/>
      <c r="DD516" s="194"/>
      <c r="DE516" s="194"/>
      <c r="DF516" s="196"/>
      <c r="DG516" s="198"/>
      <c r="DH516" s="194"/>
      <c r="DI516" s="282"/>
      <c r="DJ516" s="282"/>
      <c r="DK516" s="282"/>
      <c r="DL516" s="282"/>
    </row>
    <row r="517" spans="1:116" s="24" customFormat="1" x14ac:dyDescent="0.3">
      <c r="A517" s="172"/>
      <c r="B517" s="172"/>
      <c r="C517" s="172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  <c r="BT517" s="172"/>
      <c r="BU517" s="172"/>
      <c r="BV517" s="172"/>
      <c r="BW517" s="172"/>
      <c r="BX517" s="172"/>
      <c r="BY517" s="174"/>
      <c r="BZ517" s="172"/>
      <c r="CA517" s="172"/>
      <c r="CD517" s="194"/>
      <c r="CE517" s="194"/>
      <c r="CF517" s="194"/>
      <c r="CG517" s="194"/>
      <c r="CH517" s="195"/>
      <c r="CI517" s="194"/>
      <c r="CJ517" s="194"/>
      <c r="CK517" s="194"/>
      <c r="CL517" s="196"/>
      <c r="CM517" s="196"/>
      <c r="CN517" s="194"/>
      <c r="CO517" s="197"/>
      <c r="CP517" s="196"/>
      <c r="CQ517" s="196"/>
      <c r="CR517" s="196"/>
      <c r="CS517" s="196"/>
      <c r="CT517" s="196"/>
      <c r="CU517" s="196"/>
      <c r="CV517" s="194"/>
      <c r="CW517" s="194"/>
      <c r="CX517" s="194"/>
      <c r="CY517" s="194"/>
      <c r="CZ517" s="194"/>
      <c r="DA517" s="194"/>
      <c r="DB517" s="194"/>
      <c r="DC517" s="194"/>
      <c r="DD517" s="194"/>
      <c r="DE517" s="194"/>
      <c r="DF517" s="196"/>
      <c r="DG517" s="198"/>
      <c r="DH517" s="194"/>
      <c r="DI517" s="282"/>
      <c r="DJ517" s="282"/>
      <c r="DK517" s="282"/>
      <c r="DL517" s="282"/>
    </row>
    <row r="518" spans="1:116" s="24" customFormat="1" x14ac:dyDescent="0.3">
      <c r="A518" s="172"/>
      <c r="B518" s="172"/>
      <c r="C518" s="172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  <c r="BT518" s="172"/>
      <c r="BU518" s="172"/>
      <c r="BV518" s="172"/>
      <c r="BW518" s="172"/>
      <c r="BX518" s="172"/>
      <c r="BY518" s="174"/>
      <c r="BZ518" s="172"/>
      <c r="CA518" s="172"/>
      <c r="CD518" s="194"/>
      <c r="CE518" s="194"/>
      <c r="CF518" s="194"/>
      <c r="CG518" s="194"/>
      <c r="CH518" s="195"/>
      <c r="CI518" s="194"/>
      <c r="CJ518" s="194"/>
      <c r="CK518" s="194"/>
      <c r="CL518" s="196"/>
      <c r="CM518" s="196"/>
      <c r="CN518" s="194"/>
      <c r="CO518" s="197"/>
      <c r="CP518" s="196"/>
      <c r="CQ518" s="196"/>
      <c r="CR518" s="196"/>
      <c r="CS518" s="196"/>
      <c r="CT518" s="196"/>
      <c r="CU518" s="196"/>
      <c r="CV518" s="194"/>
      <c r="CW518" s="194"/>
      <c r="CX518" s="194"/>
      <c r="CY518" s="194"/>
      <c r="CZ518" s="194"/>
      <c r="DA518" s="194"/>
      <c r="DB518" s="194"/>
      <c r="DC518" s="194"/>
      <c r="DD518" s="194"/>
      <c r="DE518" s="194"/>
      <c r="DF518" s="196"/>
      <c r="DG518" s="198"/>
      <c r="DH518" s="194"/>
      <c r="DI518" s="282"/>
      <c r="DJ518" s="282"/>
      <c r="DK518" s="282"/>
      <c r="DL518" s="282"/>
    </row>
    <row r="519" spans="1:116" s="24" customFormat="1" x14ac:dyDescent="0.3">
      <c r="A519" s="172"/>
      <c r="B519" s="172"/>
      <c r="C519" s="172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  <c r="BT519" s="172"/>
      <c r="BU519" s="172"/>
      <c r="BV519" s="172"/>
      <c r="BW519" s="172"/>
      <c r="BX519" s="172"/>
      <c r="BY519" s="174"/>
      <c r="BZ519" s="172"/>
      <c r="CA519" s="172"/>
      <c r="CD519" s="194"/>
      <c r="CE519" s="194"/>
      <c r="CF519" s="194"/>
      <c r="CG519" s="194"/>
      <c r="CH519" s="195"/>
      <c r="CI519" s="194"/>
      <c r="CJ519" s="194"/>
      <c r="CK519" s="194"/>
      <c r="CL519" s="196"/>
      <c r="CM519" s="196"/>
      <c r="CN519" s="194"/>
      <c r="CO519" s="197"/>
      <c r="CP519" s="196"/>
      <c r="CQ519" s="196"/>
      <c r="CR519" s="196"/>
      <c r="CS519" s="196"/>
      <c r="CT519" s="196"/>
      <c r="CU519" s="196"/>
      <c r="CV519" s="194"/>
      <c r="CW519" s="194"/>
      <c r="CX519" s="194"/>
      <c r="CY519" s="194"/>
      <c r="CZ519" s="194"/>
      <c r="DA519" s="194"/>
      <c r="DB519" s="194"/>
      <c r="DC519" s="194"/>
      <c r="DD519" s="194"/>
      <c r="DE519" s="194"/>
      <c r="DF519" s="196"/>
      <c r="DG519" s="198"/>
      <c r="DH519" s="194"/>
      <c r="DI519" s="282"/>
      <c r="DJ519" s="282"/>
      <c r="DK519" s="282"/>
      <c r="DL519" s="282"/>
    </row>
    <row r="520" spans="1:116" s="24" customFormat="1" x14ac:dyDescent="0.3">
      <c r="A520" s="172"/>
      <c r="B520" s="172"/>
      <c r="C520" s="172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  <c r="BT520" s="172"/>
      <c r="BU520" s="172"/>
      <c r="BV520" s="172"/>
      <c r="BW520" s="172"/>
      <c r="BX520" s="172"/>
      <c r="BY520" s="174"/>
      <c r="BZ520" s="172"/>
      <c r="CA520" s="172"/>
      <c r="CD520" s="194"/>
      <c r="CE520" s="194"/>
      <c r="CF520" s="194"/>
      <c r="CG520" s="194"/>
      <c r="CH520" s="195"/>
      <c r="CI520" s="194"/>
      <c r="CJ520" s="194"/>
      <c r="CK520" s="194"/>
      <c r="CL520" s="196"/>
      <c r="CM520" s="196"/>
      <c r="CN520" s="194"/>
      <c r="CO520" s="197"/>
      <c r="CP520" s="196"/>
      <c r="CQ520" s="196"/>
      <c r="CR520" s="196"/>
      <c r="CS520" s="196"/>
      <c r="CT520" s="196"/>
      <c r="CU520" s="196"/>
      <c r="CV520" s="194"/>
      <c r="CW520" s="194"/>
      <c r="CX520" s="194"/>
      <c r="CY520" s="194"/>
      <c r="CZ520" s="194"/>
      <c r="DA520" s="194"/>
      <c r="DB520" s="194"/>
      <c r="DC520" s="194"/>
      <c r="DD520" s="194"/>
      <c r="DE520" s="194"/>
      <c r="DF520" s="196"/>
      <c r="DG520" s="198"/>
      <c r="DH520" s="194"/>
      <c r="DI520" s="282"/>
      <c r="DJ520" s="282"/>
      <c r="DK520" s="282"/>
      <c r="DL520" s="282"/>
    </row>
    <row r="521" spans="1:116" s="24" customFormat="1" x14ac:dyDescent="0.3">
      <c r="A521" s="172"/>
      <c r="B521" s="172"/>
      <c r="C521" s="172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  <c r="BT521" s="172"/>
      <c r="BU521" s="172"/>
      <c r="BV521" s="172"/>
      <c r="BW521" s="172"/>
      <c r="BX521" s="172"/>
      <c r="BY521" s="174"/>
      <c r="BZ521" s="172"/>
      <c r="CA521" s="172"/>
      <c r="CD521" s="194"/>
      <c r="CE521" s="194"/>
      <c r="CF521" s="194"/>
      <c r="CG521" s="194"/>
      <c r="CH521" s="195"/>
      <c r="CI521" s="194"/>
      <c r="CJ521" s="194"/>
      <c r="CK521" s="194"/>
      <c r="CL521" s="196"/>
      <c r="CM521" s="196"/>
      <c r="CN521" s="194"/>
      <c r="CO521" s="197"/>
      <c r="CP521" s="196"/>
      <c r="CQ521" s="196"/>
      <c r="CR521" s="196"/>
      <c r="CS521" s="196"/>
      <c r="CT521" s="196"/>
      <c r="CU521" s="196"/>
      <c r="CV521" s="194"/>
      <c r="CW521" s="194"/>
      <c r="CX521" s="194"/>
      <c r="CY521" s="194"/>
      <c r="CZ521" s="194"/>
      <c r="DA521" s="194"/>
      <c r="DB521" s="194"/>
      <c r="DC521" s="194"/>
      <c r="DD521" s="194"/>
      <c r="DE521" s="194"/>
      <c r="DF521" s="196"/>
      <c r="DG521" s="198"/>
      <c r="DH521" s="194"/>
      <c r="DI521" s="282"/>
      <c r="DJ521" s="282"/>
      <c r="DK521" s="282"/>
      <c r="DL521" s="282"/>
    </row>
    <row r="522" spans="1:116" s="24" customFormat="1" x14ac:dyDescent="0.3">
      <c r="A522" s="172"/>
      <c r="B522" s="172"/>
      <c r="C522" s="172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  <c r="BT522" s="172"/>
      <c r="BU522" s="172"/>
      <c r="BV522" s="172"/>
      <c r="BW522" s="172"/>
      <c r="BX522" s="172"/>
      <c r="BY522" s="174"/>
      <c r="BZ522" s="172"/>
      <c r="CA522" s="172"/>
      <c r="CD522" s="194"/>
      <c r="CE522" s="194"/>
      <c r="CF522" s="194"/>
      <c r="CG522" s="194"/>
      <c r="CH522" s="195"/>
      <c r="CI522" s="194"/>
      <c r="CJ522" s="194"/>
      <c r="CK522" s="194"/>
      <c r="CL522" s="196"/>
      <c r="CM522" s="196"/>
      <c r="CN522" s="194"/>
      <c r="CO522" s="197"/>
      <c r="CP522" s="196"/>
      <c r="CQ522" s="196"/>
      <c r="CR522" s="196"/>
      <c r="CS522" s="196"/>
      <c r="CT522" s="196"/>
      <c r="CU522" s="196"/>
      <c r="CV522" s="194"/>
      <c r="CW522" s="194"/>
      <c r="CX522" s="194"/>
      <c r="CY522" s="194"/>
      <c r="CZ522" s="194"/>
      <c r="DA522" s="194"/>
      <c r="DB522" s="194"/>
      <c r="DC522" s="194"/>
      <c r="DD522" s="194"/>
      <c r="DE522" s="194"/>
      <c r="DF522" s="196"/>
      <c r="DG522" s="198"/>
      <c r="DH522" s="194"/>
      <c r="DI522" s="282"/>
      <c r="DJ522" s="282"/>
      <c r="DK522" s="282"/>
      <c r="DL522" s="282"/>
    </row>
    <row r="523" spans="1:116" s="24" customFormat="1" x14ac:dyDescent="0.3">
      <c r="A523" s="172"/>
      <c r="B523" s="172"/>
      <c r="C523" s="172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  <c r="BT523" s="172"/>
      <c r="BU523" s="172"/>
      <c r="BV523" s="172"/>
      <c r="BW523" s="172"/>
      <c r="BX523" s="172"/>
      <c r="BY523" s="174"/>
      <c r="BZ523" s="172"/>
      <c r="CA523" s="172"/>
      <c r="CD523" s="194"/>
      <c r="CE523" s="194"/>
      <c r="CF523" s="194"/>
      <c r="CG523" s="194"/>
      <c r="CH523" s="195"/>
      <c r="CI523" s="194"/>
      <c r="CJ523" s="194"/>
      <c r="CK523" s="194"/>
      <c r="CL523" s="196"/>
      <c r="CM523" s="196"/>
      <c r="CN523" s="194"/>
      <c r="CO523" s="197"/>
      <c r="CP523" s="196"/>
      <c r="CQ523" s="196"/>
      <c r="CR523" s="196"/>
      <c r="CS523" s="196"/>
      <c r="CT523" s="196"/>
      <c r="CU523" s="196"/>
      <c r="CV523" s="194"/>
      <c r="CW523" s="194"/>
      <c r="CX523" s="194"/>
      <c r="CY523" s="194"/>
      <c r="CZ523" s="194"/>
      <c r="DA523" s="194"/>
      <c r="DB523" s="194"/>
      <c r="DC523" s="194"/>
      <c r="DD523" s="194"/>
      <c r="DE523" s="194"/>
      <c r="DF523" s="196"/>
      <c r="DG523" s="198"/>
      <c r="DH523" s="194"/>
      <c r="DI523" s="282"/>
      <c r="DJ523" s="282"/>
      <c r="DK523" s="282"/>
      <c r="DL523" s="282"/>
    </row>
    <row r="524" spans="1:116" s="24" customFormat="1" x14ac:dyDescent="0.3">
      <c r="A524" s="172"/>
      <c r="B524" s="172"/>
      <c r="C524" s="172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  <c r="BT524" s="172"/>
      <c r="BU524" s="172"/>
      <c r="BV524" s="172"/>
      <c r="BW524" s="172"/>
      <c r="BX524" s="172"/>
      <c r="BY524" s="174"/>
      <c r="BZ524" s="172"/>
      <c r="CA524" s="172"/>
      <c r="CD524" s="194"/>
      <c r="CE524" s="194"/>
      <c r="CF524" s="194"/>
      <c r="CG524" s="194"/>
      <c r="CH524" s="195"/>
      <c r="CI524" s="194"/>
      <c r="CJ524" s="194"/>
      <c r="CK524" s="194"/>
      <c r="CL524" s="196"/>
      <c r="CM524" s="196"/>
      <c r="CN524" s="194"/>
      <c r="CO524" s="197"/>
      <c r="CP524" s="196"/>
      <c r="CQ524" s="196"/>
      <c r="CR524" s="196"/>
      <c r="CS524" s="196"/>
      <c r="CT524" s="196"/>
      <c r="CU524" s="196"/>
      <c r="CV524" s="194"/>
      <c r="CW524" s="194"/>
      <c r="CX524" s="194"/>
      <c r="CY524" s="194"/>
      <c r="CZ524" s="194"/>
      <c r="DA524" s="194"/>
      <c r="DB524" s="194"/>
      <c r="DC524" s="194"/>
      <c r="DD524" s="194"/>
      <c r="DE524" s="194"/>
      <c r="DF524" s="196"/>
      <c r="DG524" s="198"/>
      <c r="DH524" s="194"/>
      <c r="DI524" s="282"/>
      <c r="DJ524" s="282"/>
      <c r="DK524" s="282"/>
      <c r="DL524" s="282"/>
    </row>
    <row r="525" spans="1:116" s="24" customFormat="1" x14ac:dyDescent="0.3">
      <c r="A525" s="172"/>
      <c r="B525" s="172"/>
      <c r="C525" s="172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  <c r="BT525" s="172"/>
      <c r="BU525" s="172"/>
      <c r="BV525" s="172"/>
      <c r="BW525" s="172"/>
      <c r="BX525" s="172"/>
      <c r="BY525" s="174"/>
      <c r="BZ525" s="172"/>
      <c r="CA525" s="172"/>
      <c r="CD525" s="194"/>
      <c r="CE525" s="194"/>
      <c r="CF525" s="194"/>
      <c r="CG525" s="194"/>
      <c r="CH525" s="195"/>
      <c r="CI525" s="194"/>
      <c r="CJ525" s="194"/>
      <c r="CK525" s="194"/>
      <c r="CL525" s="196"/>
      <c r="CM525" s="196"/>
      <c r="CN525" s="194"/>
      <c r="CO525" s="197"/>
      <c r="CP525" s="196"/>
      <c r="CQ525" s="196"/>
      <c r="CR525" s="196"/>
      <c r="CS525" s="196"/>
      <c r="CT525" s="196"/>
      <c r="CU525" s="196"/>
      <c r="CV525" s="194"/>
      <c r="CW525" s="194"/>
      <c r="CX525" s="194"/>
      <c r="CY525" s="194"/>
      <c r="CZ525" s="194"/>
      <c r="DA525" s="194"/>
      <c r="DB525" s="194"/>
      <c r="DC525" s="194"/>
      <c r="DD525" s="194"/>
      <c r="DE525" s="194"/>
      <c r="DF525" s="196"/>
      <c r="DG525" s="198"/>
      <c r="DH525" s="194"/>
      <c r="DI525" s="282"/>
      <c r="DJ525" s="282"/>
      <c r="DK525" s="282"/>
      <c r="DL525" s="282"/>
    </row>
    <row r="526" spans="1:116" s="24" customFormat="1" x14ac:dyDescent="0.3">
      <c r="A526" s="172"/>
      <c r="B526" s="172"/>
      <c r="C526" s="172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  <c r="BT526" s="172"/>
      <c r="BU526" s="172"/>
      <c r="BV526" s="172"/>
      <c r="BW526" s="172"/>
      <c r="BX526" s="172"/>
      <c r="BY526" s="174"/>
      <c r="BZ526" s="172"/>
      <c r="CA526" s="172"/>
      <c r="CD526" s="194"/>
      <c r="CE526" s="194"/>
      <c r="CF526" s="194"/>
      <c r="CG526" s="194"/>
      <c r="CH526" s="195"/>
      <c r="CI526" s="194"/>
      <c r="CJ526" s="194"/>
      <c r="CK526" s="194"/>
      <c r="CL526" s="196"/>
      <c r="CM526" s="196"/>
      <c r="CN526" s="194"/>
      <c r="CO526" s="197"/>
      <c r="CP526" s="196"/>
      <c r="CQ526" s="196"/>
      <c r="CR526" s="196"/>
      <c r="CS526" s="196"/>
      <c r="CT526" s="196"/>
      <c r="CU526" s="196"/>
      <c r="CV526" s="194"/>
      <c r="CW526" s="194"/>
      <c r="CX526" s="194"/>
      <c r="CY526" s="194"/>
      <c r="CZ526" s="194"/>
      <c r="DA526" s="194"/>
      <c r="DB526" s="194"/>
      <c r="DC526" s="194"/>
      <c r="DD526" s="194"/>
      <c r="DE526" s="194"/>
      <c r="DF526" s="196"/>
      <c r="DG526" s="198"/>
      <c r="DH526" s="194"/>
      <c r="DI526" s="282"/>
      <c r="DJ526" s="282"/>
      <c r="DK526" s="282"/>
      <c r="DL526" s="282"/>
    </row>
    <row r="527" spans="1:116" s="24" customFormat="1" x14ac:dyDescent="0.3">
      <c r="A527" s="172"/>
      <c r="B527" s="172"/>
      <c r="C527" s="172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  <c r="BT527" s="172"/>
      <c r="BU527" s="172"/>
      <c r="BV527" s="172"/>
      <c r="BW527" s="172"/>
      <c r="BX527" s="172"/>
      <c r="BY527" s="174"/>
      <c r="BZ527" s="172"/>
      <c r="CA527" s="172"/>
      <c r="CD527" s="194"/>
      <c r="CE527" s="194"/>
      <c r="CF527" s="194"/>
      <c r="CG527" s="194"/>
      <c r="CH527" s="195"/>
      <c r="CI527" s="194"/>
      <c r="CJ527" s="194"/>
      <c r="CK527" s="194"/>
      <c r="CL527" s="196"/>
      <c r="CM527" s="196"/>
      <c r="CN527" s="194"/>
      <c r="CO527" s="197"/>
      <c r="CP527" s="196"/>
      <c r="CQ527" s="196"/>
      <c r="CR527" s="196"/>
      <c r="CS527" s="196"/>
      <c r="CT527" s="196"/>
      <c r="CU527" s="196"/>
      <c r="CV527" s="194"/>
      <c r="CW527" s="194"/>
      <c r="CX527" s="194"/>
      <c r="CY527" s="194"/>
      <c r="CZ527" s="194"/>
      <c r="DA527" s="194"/>
      <c r="DB527" s="194"/>
      <c r="DC527" s="194"/>
      <c r="DD527" s="194"/>
      <c r="DE527" s="194"/>
      <c r="DF527" s="196"/>
      <c r="DG527" s="198"/>
      <c r="DH527" s="194"/>
      <c r="DI527" s="282"/>
      <c r="DJ527" s="282"/>
      <c r="DK527" s="282"/>
      <c r="DL527" s="282"/>
    </row>
    <row r="528" spans="1:116" s="24" customFormat="1" x14ac:dyDescent="0.3">
      <c r="A528" s="172"/>
      <c r="B528" s="172"/>
      <c r="C528" s="172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  <c r="BT528" s="172"/>
      <c r="BU528" s="172"/>
      <c r="BV528" s="172"/>
      <c r="BW528" s="172"/>
      <c r="BX528" s="172"/>
      <c r="BY528" s="174"/>
      <c r="BZ528" s="172"/>
      <c r="CA528" s="172"/>
      <c r="CD528" s="194"/>
      <c r="CE528" s="194"/>
      <c r="CF528" s="194"/>
      <c r="CG528" s="194"/>
      <c r="CH528" s="195"/>
      <c r="CI528" s="194"/>
      <c r="CJ528" s="194"/>
      <c r="CK528" s="194"/>
      <c r="CL528" s="196"/>
      <c r="CM528" s="196"/>
      <c r="CN528" s="194"/>
      <c r="CO528" s="197"/>
      <c r="CP528" s="196"/>
      <c r="CQ528" s="196"/>
      <c r="CR528" s="196"/>
      <c r="CS528" s="196"/>
      <c r="CT528" s="196"/>
      <c r="CU528" s="196"/>
      <c r="CV528" s="194"/>
      <c r="CW528" s="194"/>
      <c r="CX528" s="194"/>
      <c r="CY528" s="194"/>
      <c r="CZ528" s="194"/>
      <c r="DA528" s="194"/>
      <c r="DB528" s="194"/>
      <c r="DC528" s="194"/>
      <c r="DD528" s="194"/>
      <c r="DE528" s="194"/>
      <c r="DF528" s="196"/>
      <c r="DG528" s="198"/>
      <c r="DH528" s="194"/>
      <c r="DI528" s="282"/>
      <c r="DJ528" s="282"/>
      <c r="DK528" s="282"/>
      <c r="DL528" s="282"/>
    </row>
    <row r="529" spans="1:116" s="24" customFormat="1" x14ac:dyDescent="0.3">
      <c r="A529" s="172"/>
      <c r="B529" s="172"/>
      <c r="C529" s="172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  <c r="BT529" s="172"/>
      <c r="BU529" s="172"/>
      <c r="BV529" s="172"/>
      <c r="BW529" s="172"/>
      <c r="BX529" s="172"/>
      <c r="BY529" s="174"/>
      <c r="BZ529" s="172"/>
      <c r="CA529" s="172"/>
      <c r="CD529" s="194"/>
      <c r="CE529" s="194"/>
      <c r="CF529" s="194"/>
      <c r="CG529" s="194"/>
      <c r="CH529" s="195"/>
      <c r="CI529" s="194"/>
      <c r="CJ529" s="194"/>
      <c r="CK529" s="194"/>
      <c r="CL529" s="196"/>
      <c r="CM529" s="196"/>
      <c r="CN529" s="194"/>
      <c r="CO529" s="197"/>
      <c r="CP529" s="196"/>
      <c r="CQ529" s="196"/>
      <c r="CR529" s="196"/>
      <c r="CS529" s="196"/>
      <c r="CT529" s="196"/>
      <c r="CU529" s="196"/>
      <c r="CV529" s="194"/>
      <c r="CW529" s="194"/>
      <c r="CX529" s="194"/>
      <c r="CY529" s="194"/>
      <c r="CZ529" s="194"/>
      <c r="DA529" s="194"/>
      <c r="DB529" s="194"/>
      <c r="DC529" s="194"/>
      <c r="DD529" s="194"/>
      <c r="DE529" s="194"/>
      <c r="DF529" s="196"/>
      <c r="DG529" s="198"/>
      <c r="DH529" s="194"/>
      <c r="DI529" s="282"/>
      <c r="DJ529" s="282"/>
      <c r="DK529" s="282"/>
      <c r="DL529" s="282"/>
    </row>
    <row r="530" spans="1:116" s="24" customFormat="1" x14ac:dyDescent="0.3">
      <c r="A530" s="172"/>
      <c r="B530" s="172"/>
      <c r="C530" s="172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  <c r="BT530" s="172"/>
      <c r="BU530" s="172"/>
      <c r="BV530" s="172"/>
      <c r="BW530" s="172"/>
      <c r="BX530" s="172"/>
      <c r="BY530" s="174"/>
      <c r="BZ530" s="172"/>
      <c r="CA530" s="172"/>
      <c r="CD530" s="194"/>
      <c r="CE530" s="194"/>
      <c r="CF530" s="194"/>
      <c r="CG530" s="194"/>
      <c r="CH530" s="195"/>
      <c r="CI530" s="194"/>
      <c r="CJ530" s="194"/>
      <c r="CK530" s="194"/>
      <c r="CL530" s="196"/>
      <c r="CM530" s="196"/>
      <c r="CN530" s="194"/>
      <c r="CO530" s="197"/>
      <c r="CP530" s="196"/>
      <c r="CQ530" s="196"/>
      <c r="CR530" s="196"/>
      <c r="CS530" s="196"/>
      <c r="CT530" s="196"/>
      <c r="CU530" s="196"/>
      <c r="CV530" s="194"/>
      <c r="CW530" s="194"/>
      <c r="CX530" s="194"/>
      <c r="CY530" s="194"/>
      <c r="CZ530" s="194"/>
      <c r="DA530" s="194"/>
      <c r="DB530" s="194"/>
      <c r="DC530" s="194"/>
      <c r="DD530" s="194"/>
      <c r="DE530" s="194"/>
      <c r="DF530" s="196"/>
      <c r="DG530" s="198"/>
      <c r="DH530" s="194"/>
      <c r="DI530" s="282"/>
      <c r="DJ530" s="282"/>
      <c r="DK530" s="282"/>
      <c r="DL530" s="282"/>
    </row>
    <row r="531" spans="1:116" s="24" customFormat="1" x14ac:dyDescent="0.3">
      <c r="A531" s="172"/>
      <c r="B531" s="172"/>
      <c r="C531" s="172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  <c r="BT531" s="172"/>
      <c r="BU531" s="172"/>
      <c r="BV531" s="172"/>
      <c r="BW531" s="172"/>
      <c r="BX531" s="172"/>
      <c r="BY531" s="174"/>
      <c r="BZ531" s="172"/>
      <c r="CA531" s="172"/>
      <c r="CD531" s="194"/>
      <c r="CE531" s="194"/>
      <c r="CF531" s="194"/>
      <c r="CG531" s="194"/>
      <c r="CH531" s="195"/>
      <c r="CI531" s="194"/>
      <c r="CJ531" s="194"/>
      <c r="CK531" s="194"/>
      <c r="CL531" s="196"/>
      <c r="CM531" s="196"/>
      <c r="CN531" s="194"/>
      <c r="CO531" s="197"/>
      <c r="CP531" s="196"/>
      <c r="CQ531" s="196"/>
      <c r="CR531" s="196"/>
      <c r="CS531" s="196"/>
      <c r="CT531" s="196"/>
      <c r="CU531" s="196"/>
      <c r="CV531" s="194"/>
      <c r="CW531" s="194"/>
      <c r="CX531" s="194"/>
      <c r="CY531" s="194"/>
      <c r="CZ531" s="194"/>
      <c r="DA531" s="194"/>
      <c r="DB531" s="194"/>
      <c r="DC531" s="194"/>
      <c r="DD531" s="194"/>
      <c r="DE531" s="194"/>
      <c r="DF531" s="196"/>
      <c r="DG531" s="198"/>
      <c r="DH531" s="194"/>
      <c r="DI531" s="282"/>
      <c r="DJ531" s="282"/>
      <c r="DK531" s="282"/>
      <c r="DL531" s="282"/>
    </row>
    <row r="532" spans="1:116" s="24" customFormat="1" x14ac:dyDescent="0.3">
      <c r="A532" s="172"/>
      <c r="B532" s="172"/>
      <c r="C532" s="172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  <c r="BT532" s="172"/>
      <c r="BU532" s="172"/>
      <c r="BV532" s="172"/>
      <c r="BW532" s="172"/>
      <c r="BX532" s="172"/>
      <c r="BY532" s="174"/>
      <c r="BZ532" s="172"/>
      <c r="CA532" s="172"/>
      <c r="CD532" s="194"/>
      <c r="CE532" s="194"/>
      <c r="CF532" s="194"/>
      <c r="CG532" s="194"/>
      <c r="CH532" s="195"/>
      <c r="CI532" s="194"/>
      <c r="CJ532" s="194"/>
      <c r="CK532" s="194"/>
      <c r="CL532" s="196"/>
      <c r="CM532" s="196"/>
      <c r="CN532" s="194"/>
      <c r="CO532" s="197"/>
      <c r="CP532" s="196"/>
      <c r="CQ532" s="196"/>
      <c r="CR532" s="196"/>
      <c r="CS532" s="196"/>
      <c r="CT532" s="196"/>
      <c r="CU532" s="196"/>
      <c r="CV532" s="194"/>
      <c r="CW532" s="194"/>
      <c r="CX532" s="194"/>
      <c r="CY532" s="194"/>
      <c r="CZ532" s="194"/>
      <c r="DA532" s="194"/>
      <c r="DB532" s="194"/>
      <c r="DC532" s="194"/>
      <c r="DD532" s="194"/>
      <c r="DE532" s="194"/>
      <c r="DF532" s="196"/>
      <c r="DG532" s="198"/>
      <c r="DH532" s="194"/>
      <c r="DI532" s="282"/>
      <c r="DJ532" s="282"/>
      <c r="DK532" s="282"/>
      <c r="DL532" s="282"/>
    </row>
    <row r="533" spans="1:116" s="24" customFormat="1" x14ac:dyDescent="0.3">
      <c r="A533" s="172"/>
      <c r="B533" s="172"/>
      <c r="C533" s="172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  <c r="BT533" s="172"/>
      <c r="BU533" s="172"/>
      <c r="BV533" s="172"/>
      <c r="BW533" s="172"/>
      <c r="BX533" s="172"/>
      <c r="BY533" s="174"/>
      <c r="BZ533" s="172"/>
      <c r="CA533" s="172"/>
      <c r="CD533" s="194"/>
      <c r="CE533" s="194"/>
      <c r="CF533" s="194"/>
      <c r="CG533" s="194"/>
      <c r="CH533" s="195"/>
      <c r="CI533" s="194"/>
      <c r="CJ533" s="194"/>
      <c r="CK533" s="194"/>
      <c r="CL533" s="196"/>
      <c r="CM533" s="196"/>
      <c r="CN533" s="194"/>
      <c r="CO533" s="197"/>
      <c r="CP533" s="196"/>
      <c r="CQ533" s="196"/>
      <c r="CR533" s="196"/>
      <c r="CS533" s="196"/>
      <c r="CT533" s="196"/>
      <c r="CU533" s="196"/>
      <c r="CV533" s="194"/>
      <c r="CW533" s="194"/>
      <c r="CX533" s="194"/>
      <c r="CY533" s="194"/>
      <c r="CZ533" s="194"/>
      <c r="DA533" s="194"/>
      <c r="DB533" s="194"/>
      <c r="DC533" s="194"/>
      <c r="DD533" s="194"/>
      <c r="DE533" s="194"/>
      <c r="DF533" s="196"/>
      <c r="DG533" s="198"/>
      <c r="DH533" s="194"/>
      <c r="DI533" s="282"/>
      <c r="DJ533" s="282"/>
      <c r="DK533" s="282"/>
      <c r="DL533" s="282"/>
    </row>
    <row r="534" spans="1:116" s="24" customFormat="1" x14ac:dyDescent="0.3">
      <c r="A534" s="172"/>
      <c r="B534" s="172"/>
      <c r="C534" s="172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  <c r="BT534" s="172"/>
      <c r="BU534" s="172"/>
      <c r="BV534" s="172"/>
      <c r="BW534" s="172"/>
      <c r="BX534" s="172"/>
      <c r="BY534" s="174"/>
      <c r="BZ534" s="172"/>
      <c r="CA534" s="172"/>
      <c r="CD534" s="194"/>
      <c r="CE534" s="194"/>
      <c r="CF534" s="194"/>
      <c r="CG534" s="194"/>
      <c r="CH534" s="195"/>
      <c r="CI534" s="194"/>
      <c r="CJ534" s="194"/>
      <c r="CK534" s="194"/>
      <c r="CL534" s="196"/>
      <c r="CM534" s="196"/>
      <c r="CN534" s="194"/>
      <c r="CO534" s="197"/>
      <c r="CP534" s="196"/>
      <c r="CQ534" s="196"/>
      <c r="CR534" s="196"/>
      <c r="CS534" s="196"/>
      <c r="CT534" s="196"/>
      <c r="CU534" s="196"/>
      <c r="CV534" s="194"/>
      <c r="CW534" s="194"/>
      <c r="CX534" s="194"/>
      <c r="CY534" s="194"/>
      <c r="CZ534" s="194"/>
      <c r="DA534" s="194"/>
      <c r="DB534" s="194"/>
      <c r="DC534" s="194"/>
      <c r="DD534" s="194"/>
      <c r="DE534" s="194"/>
      <c r="DF534" s="196"/>
      <c r="DG534" s="198"/>
      <c r="DH534" s="194"/>
      <c r="DI534" s="282"/>
      <c r="DJ534" s="282"/>
      <c r="DK534" s="282"/>
      <c r="DL534" s="282"/>
    </row>
    <row r="535" spans="1:116" s="24" customFormat="1" x14ac:dyDescent="0.3">
      <c r="A535" s="172"/>
      <c r="B535" s="172"/>
      <c r="C535" s="172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  <c r="BT535" s="172"/>
      <c r="BU535" s="172"/>
      <c r="BV535" s="172"/>
      <c r="BW535" s="172"/>
      <c r="BX535" s="172"/>
      <c r="BY535" s="174"/>
      <c r="BZ535" s="172"/>
      <c r="CA535" s="172"/>
      <c r="CD535" s="194"/>
      <c r="CE535" s="194"/>
      <c r="CF535" s="194"/>
      <c r="CG535" s="194"/>
      <c r="CH535" s="195"/>
      <c r="CI535" s="194"/>
      <c r="CJ535" s="194"/>
      <c r="CK535" s="194"/>
      <c r="CL535" s="196"/>
      <c r="CM535" s="196"/>
      <c r="CN535" s="194"/>
      <c r="CO535" s="197"/>
      <c r="CP535" s="196"/>
      <c r="CQ535" s="196"/>
      <c r="CR535" s="196"/>
      <c r="CS535" s="196"/>
      <c r="CT535" s="196"/>
      <c r="CU535" s="196"/>
      <c r="CV535" s="194"/>
      <c r="CW535" s="194"/>
      <c r="CX535" s="194"/>
      <c r="CY535" s="194"/>
      <c r="CZ535" s="194"/>
      <c r="DA535" s="194"/>
      <c r="DB535" s="194"/>
      <c r="DC535" s="194"/>
      <c r="DD535" s="194"/>
      <c r="DE535" s="194"/>
      <c r="DF535" s="196"/>
      <c r="DG535" s="198"/>
      <c r="DH535" s="194"/>
      <c r="DI535" s="282"/>
      <c r="DJ535" s="282"/>
      <c r="DK535" s="282"/>
      <c r="DL535" s="282"/>
    </row>
    <row r="536" spans="1:116" s="24" customFormat="1" x14ac:dyDescent="0.3">
      <c r="A536" s="172"/>
      <c r="B536" s="172"/>
      <c r="C536" s="172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  <c r="BT536" s="172"/>
      <c r="BU536" s="172"/>
      <c r="BV536" s="172"/>
      <c r="BW536" s="172"/>
      <c r="BX536" s="172"/>
      <c r="BY536" s="174"/>
      <c r="BZ536" s="172"/>
      <c r="CA536" s="172"/>
      <c r="CD536" s="194"/>
      <c r="CE536" s="194"/>
      <c r="CF536" s="194"/>
      <c r="CG536" s="194"/>
      <c r="CH536" s="195"/>
      <c r="CI536" s="194"/>
      <c r="CJ536" s="194"/>
      <c r="CK536" s="194"/>
      <c r="CL536" s="196"/>
      <c r="CM536" s="196"/>
      <c r="CN536" s="194"/>
      <c r="CO536" s="197"/>
      <c r="CP536" s="196"/>
      <c r="CQ536" s="196"/>
      <c r="CR536" s="196"/>
      <c r="CS536" s="196"/>
      <c r="CT536" s="196"/>
      <c r="CU536" s="196"/>
      <c r="CV536" s="194"/>
      <c r="CW536" s="194"/>
      <c r="CX536" s="194"/>
      <c r="CY536" s="194"/>
      <c r="CZ536" s="194"/>
      <c r="DA536" s="194"/>
      <c r="DB536" s="194"/>
      <c r="DC536" s="194"/>
      <c r="DD536" s="194"/>
      <c r="DE536" s="194"/>
      <c r="DF536" s="196"/>
      <c r="DG536" s="198"/>
      <c r="DH536" s="194"/>
      <c r="DI536" s="282"/>
      <c r="DJ536" s="282"/>
      <c r="DK536" s="282"/>
      <c r="DL536" s="282"/>
    </row>
    <row r="537" spans="1:116" s="24" customFormat="1" x14ac:dyDescent="0.3">
      <c r="A537" s="172"/>
      <c r="B537" s="172"/>
      <c r="C537" s="172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  <c r="BT537" s="172"/>
      <c r="BU537" s="172"/>
      <c r="BV537" s="172"/>
      <c r="BW537" s="172"/>
      <c r="BX537" s="172"/>
      <c r="BY537" s="174"/>
      <c r="BZ537" s="172"/>
      <c r="CA537" s="172"/>
      <c r="CD537" s="194"/>
      <c r="CE537" s="194"/>
      <c r="CF537" s="194"/>
      <c r="CG537" s="194"/>
      <c r="CH537" s="195"/>
      <c r="CI537" s="194"/>
      <c r="CJ537" s="194"/>
      <c r="CK537" s="194"/>
      <c r="CL537" s="196"/>
      <c r="CM537" s="196"/>
      <c r="CN537" s="194"/>
      <c r="CO537" s="197"/>
      <c r="CP537" s="196"/>
      <c r="CQ537" s="196"/>
      <c r="CR537" s="196"/>
      <c r="CS537" s="196"/>
      <c r="CT537" s="196"/>
      <c r="CU537" s="196"/>
      <c r="CV537" s="194"/>
      <c r="CW537" s="194"/>
      <c r="CX537" s="194"/>
      <c r="CY537" s="194"/>
      <c r="CZ537" s="194"/>
      <c r="DA537" s="194"/>
      <c r="DB537" s="194"/>
      <c r="DC537" s="194"/>
      <c r="DD537" s="194"/>
      <c r="DE537" s="194"/>
      <c r="DF537" s="196"/>
      <c r="DG537" s="198"/>
      <c r="DH537" s="194"/>
      <c r="DI537" s="282"/>
      <c r="DJ537" s="282"/>
      <c r="DK537" s="282"/>
      <c r="DL537" s="282"/>
    </row>
    <row r="538" spans="1:116" s="24" customFormat="1" x14ac:dyDescent="0.3">
      <c r="A538" s="172"/>
      <c r="B538" s="172"/>
      <c r="C538" s="172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  <c r="BT538" s="172"/>
      <c r="BU538" s="172"/>
      <c r="BV538" s="172"/>
      <c r="BW538" s="172"/>
      <c r="BX538" s="172"/>
      <c r="BY538" s="174"/>
      <c r="BZ538" s="172"/>
      <c r="CA538" s="172"/>
      <c r="CD538" s="194"/>
      <c r="CE538" s="194"/>
      <c r="CF538" s="194"/>
      <c r="CG538" s="194"/>
      <c r="CH538" s="195"/>
      <c r="CI538" s="194"/>
      <c r="CJ538" s="194"/>
      <c r="CK538" s="194"/>
      <c r="CL538" s="196"/>
      <c r="CM538" s="196"/>
      <c r="CN538" s="194"/>
      <c r="CO538" s="197"/>
      <c r="CP538" s="196"/>
      <c r="CQ538" s="196"/>
      <c r="CR538" s="196"/>
      <c r="CS538" s="196"/>
      <c r="CT538" s="196"/>
      <c r="CU538" s="196"/>
      <c r="CV538" s="194"/>
      <c r="CW538" s="194"/>
      <c r="CX538" s="194"/>
      <c r="CY538" s="194"/>
      <c r="CZ538" s="194"/>
      <c r="DA538" s="194"/>
      <c r="DB538" s="194"/>
      <c r="DC538" s="194"/>
      <c r="DD538" s="194"/>
      <c r="DE538" s="194"/>
      <c r="DF538" s="196"/>
      <c r="DG538" s="198"/>
      <c r="DH538" s="194"/>
      <c r="DI538" s="282"/>
      <c r="DJ538" s="282"/>
      <c r="DK538" s="282"/>
      <c r="DL538" s="282"/>
    </row>
    <row r="539" spans="1:116" s="24" customFormat="1" x14ac:dyDescent="0.3">
      <c r="A539" s="172"/>
      <c r="B539" s="172"/>
      <c r="C539" s="172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  <c r="BT539" s="172"/>
      <c r="BU539" s="172"/>
      <c r="BV539" s="172"/>
      <c r="BW539" s="172"/>
      <c r="BX539" s="172"/>
      <c r="BY539" s="174"/>
      <c r="BZ539" s="172"/>
      <c r="CA539" s="172"/>
      <c r="CD539" s="194"/>
      <c r="CE539" s="194"/>
      <c r="CF539" s="194"/>
      <c r="CG539" s="194"/>
      <c r="CH539" s="195"/>
      <c r="CI539" s="194"/>
      <c r="CJ539" s="194"/>
      <c r="CK539" s="194"/>
      <c r="CL539" s="196"/>
      <c r="CM539" s="196"/>
      <c r="CN539" s="194"/>
      <c r="CO539" s="197"/>
      <c r="CP539" s="196"/>
      <c r="CQ539" s="196"/>
      <c r="CR539" s="196"/>
      <c r="CS539" s="196"/>
      <c r="CT539" s="196"/>
      <c r="CU539" s="196"/>
      <c r="CV539" s="194"/>
      <c r="CW539" s="194"/>
      <c r="CX539" s="194"/>
      <c r="CY539" s="194"/>
      <c r="CZ539" s="194"/>
      <c r="DA539" s="194"/>
      <c r="DB539" s="194"/>
      <c r="DC539" s="194"/>
      <c r="DD539" s="194"/>
      <c r="DE539" s="194"/>
      <c r="DF539" s="196"/>
      <c r="DG539" s="198"/>
      <c r="DH539" s="194"/>
      <c r="DI539" s="282"/>
      <c r="DJ539" s="282"/>
      <c r="DK539" s="282"/>
      <c r="DL539" s="282"/>
    </row>
    <row r="540" spans="1:116" s="24" customFormat="1" x14ac:dyDescent="0.3">
      <c r="A540" s="172"/>
      <c r="B540" s="172"/>
      <c r="C540" s="172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  <c r="BT540" s="172"/>
      <c r="BU540" s="172"/>
      <c r="BV540" s="172"/>
      <c r="BW540" s="172"/>
      <c r="BX540" s="172"/>
      <c r="BY540" s="174"/>
      <c r="BZ540" s="172"/>
      <c r="CA540" s="172"/>
      <c r="CD540" s="194"/>
      <c r="CE540" s="194"/>
      <c r="CF540" s="194"/>
      <c r="CG540" s="194"/>
      <c r="CH540" s="195"/>
      <c r="CI540" s="194"/>
      <c r="CJ540" s="194"/>
      <c r="CK540" s="194"/>
      <c r="CL540" s="196"/>
      <c r="CM540" s="196"/>
      <c r="CN540" s="194"/>
      <c r="CO540" s="197"/>
      <c r="CP540" s="196"/>
      <c r="CQ540" s="196"/>
      <c r="CR540" s="196"/>
      <c r="CS540" s="196"/>
      <c r="CT540" s="196"/>
      <c r="CU540" s="196"/>
      <c r="CV540" s="194"/>
      <c r="CW540" s="194"/>
      <c r="CX540" s="194"/>
      <c r="CY540" s="194"/>
      <c r="CZ540" s="194"/>
      <c r="DA540" s="194"/>
      <c r="DB540" s="194"/>
      <c r="DC540" s="194"/>
      <c r="DD540" s="194"/>
      <c r="DE540" s="194"/>
      <c r="DF540" s="196"/>
      <c r="DG540" s="198"/>
      <c r="DH540" s="194"/>
      <c r="DI540" s="282"/>
      <c r="DJ540" s="282"/>
      <c r="DK540" s="282"/>
      <c r="DL540" s="282"/>
    </row>
    <row r="541" spans="1:116" s="24" customFormat="1" x14ac:dyDescent="0.3">
      <c r="A541" s="172"/>
      <c r="B541" s="172"/>
      <c r="C541" s="172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  <c r="BT541" s="172"/>
      <c r="BU541" s="172"/>
      <c r="BV541" s="172"/>
      <c r="BW541" s="172"/>
      <c r="BX541" s="172"/>
      <c r="BY541" s="174"/>
      <c r="BZ541" s="172"/>
      <c r="CA541" s="172"/>
      <c r="CD541" s="194"/>
      <c r="CE541" s="194"/>
      <c r="CF541" s="194"/>
      <c r="CG541" s="194"/>
      <c r="CH541" s="195"/>
      <c r="CI541" s="194"/>
      <c r="CJ541" s="194"/>
      <c r="CK541" s="194"/>
      <c r="CL541" s="196"/>
      <c r="CM541" s="196"/>
      <c r="CN541" s="194"/>
      <c r="CO541" s="197"/>
      <c r="CP541" s="196"/>
      <c r="CQ541" s="196"/>
      <c r="CR541" s="196"/>
      <c r="CS541" s="196"/>
      <c r="CT541" s="196"/>
      <c r="CU541" s="196"/>
      <c r="CV541" s="194"/>
      <c r="CW541" s="194"/>
      <c r="CX541" s="194"/>
      <c r="CY541" s="194"/>
      <c r="CZ541" s="194"/>
      <c r="DA541" s="194"/>
      <c r="DB541" s="194"/>
      <c r="DC541" s="194"/>
      <c r="DD541" s="194"/>
      <c r="DE541" s="194"/>
      <c r="DF541" s="196"/>
      <c r="DG541" s="198"/>
      <c r="DH541" s="194"/>
      <c r="DI541" s="282"/>
      <c r="DJ541" s="282"/>
      <c r="DK541" s="282"/>
      <c r="DL541" s="282"/>
    </row>
    <row r="542" spans="1:116" s="24" customFormat="1" x14ac:dyDescent="0.3">
      <c r="A542" s="172"/>
      <c r="B542" s="172"/>
      <c r="C542" s="172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  <c r="BT542" s="172"/>
      <c r="BU542" s="172"/>
      <c r="BV542" s="172"/>
      <c r="BW542" s="172"/>
      <c r="BX542" s="172"/>
      <c r="BY542" s="174"/>
      <c r="BZ542" s="172"/>
      <c r="CA542" s="172"/>
      <c r="CD542" s="194"/>
      <c r="CE542" s="194"/>
      <c r="CF542" s="194"/>
      <c r="CG542" s="194"/>
      <c r="CH542" s="195"/>
      <c r="CI542" s="194"/>
      <c r="CJ542" s="194"/>
      <c r="CK542" s="194"/>
      <c r="CL542" s="196"/>
      <c r="CM542" s="196"/>
      <c r="CN542" s="194"/>
      <c r="CO542" s="197"/>
      <c r="CP542" s="196"/>
      <c r="CQ542" s="196"/>
      <c r="CR542" s="196"/>
      <c r="CS542" s="196"/>
      <c r="CT542" s="196"/>
      <c r="CU542" s="196"/>
      <c r="CV542" s="194"/>
      <c r="CW542" s="194"/>
      <c r="CX542" s="194"/>
      <c r="CY542" s="194"/>
      <c r="CZ542" s="194"/>
      <c r="DA542" s="194"/>
      <c r="DB542" s="194"/>
      <c r="DC542" s="194"/>
      <c r="DD542" s="194"/>
      <c r="DE542" s="194"/>
      <c r="DF542" s="196"/>
      <c r="DG542" s="198"/>
      <c r="DH542" s="194"/>
      <c r="DI542" s="282"/>
      <c r="DJ542" s="282"/>
      <c r="DK542" s="282"/>
      <c r="DL542" s="282"/>
    </row>
    <row r="543" spans="1:116" s="24" customFormat="1" x14ac:dyDescent="0.3">
      <c r="A543" s="172"/>
      <c r="B543" s="172"/>
      <c r="C543" s="172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  <c r="BT543" s="172"/>
      <c r="BU543" s="172"/>
      <c r="BV543" s="172"/>
      <c r="BW543" s="172"/>
      <c r="BX543" s="172"/>
      <c r="BY543" s="174"/>
      <c r="BZ543" s="172"/>
      <c r="CA543" s="172"/>
      <c r="CD543" s="194"/>
      <c r="CE543" s="194"/>
      <c r="CF543" s="194"/>
      <c r="CG543" s="194"/>
      <c r="CH543" s="195"/>
      <c r="CI543" s="194"/>
      <c r="CJ543" s="194"/>
      <c r="CK543" s="194"/>
      <c r="CL543" s="196"/>
      <c r="CM543" s="196"/>
      <c r="CN543" s="194"/>
      <c r="CO543" s="197"/>
      <c r="CP543" s="196"/>
      <c r="CQ543" s="196"/>
      <c r="CR543" s="196"/>
      <c r="CS543" s="196"/>
      <c r="CT543" s="196"/>
      <c r="CU543" s="196"/>
      <c r="CV543" s="194"/>
      <c r="CW543" s="194"/>
      <c r="CX543" s="194"/>
      <c r="CY543" s="194"/>
      <c r="CZ543" s="194"/>
      <c r="DA543" s="194"/>
      <c r="DB543" s="194"/>
      <c r="DC543" s="194"/>
      <c r="DD543" s="194"/>
      <c r="DE543" s="194"/>
      <c r="DF543" s="196"/>
      <c r="DG543" s="198"/>
      <c r="DH543" s="194"/>
      <c r="DI543" s="282"/>
      <c r="DJ543" s="282"/>
      <c r="DK543" s="282"/>
      <c r="DL543" s="282"/>
    </row>
    <row r="544" spans="1:116" s="24" customFormat="1" x14ac:dyDescent="0.3">
      <c r="A544" s="172"/>
      <c r="B544" s="172"/>
      <c r="C544" s="172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  <c r="BT544" s="172"/>
      <c r="BU544" s="172"/>
      <c r="BV544" s="172"/>
      <c r="BW544" s="172"/>
      <c r="BX544" s="172"/>
      <c r="BY544" s="174"/>
      <c r="BZ544" s="172"/>
      <c r="CA544" s="172"/>
      <c r="CD544" s="194"/>
      <c r="CE544" s="194"/>
      <c r="CF544" s="194"/>
      <c r="CG544" s="194"/>
      <c r="CH544" s="195"/>
      <c r="CI544" s="194"/>
      <c r="CJ544" s="194"/>
      <c r="CK544" s="194"/>
      <c r="CL544" s="196"/>
      <c r="CM544" s="196"/>
      <c r="CN544" s="194"/>
      <c r="CO544" s="197"/>
      <c r="CP544" s="196"/>
      <c r="CQ544" s="196"/>
      <c r="CR544" s="196"/>
      <c r="CS544" s="196"/>
      <c r="CT544" s="196"/>
      <c r="CU544" s="196"/>
      <c r="CV544" s="194"/>
      <c r="CW544" s="194"/>
      <c r="CX544" s="194"/>
      <c r="CY544" s="194"/>
      <c r="CZ544" s="194"/>
      <c r="DA544" s="194"/>
      <c r="DB544" s="194"/>
      <c r="DC544" s="194"/>
      <c r="DD544" s="194"/>
      <c r="DE544" s="194"/>
      <c r="DF544" s="196"/>
      <c r="DG544" s="198"/>
      <c r="DH544" s="194"/>
      <c r="DI544" s="282"/>
      <c r="DJ544" s="282"/>
      <c r="DK544" s="282"/>
      <c r="DL544" s="282"/>
    </row>
    <row r="545" spans="1:116" s="24" customFormat="1" x14ac:dyDescent="0.3">
      <c r="A545" s="172"/>
      <c r="B545" s="172"/>
      <c r="C545" s="172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172"/>
      <c r="BV545" s="172"/>
      <c r="BW545" s="172"/>
      <c r="BX545" s="172"/>
      <c r="BY545" s="174"/>
      <c r="BZ545" s="172"/>
      <c r="CA545" s="172"/>
      <c r="CD545" s="194"/>
      <c r="CE545" s="194"/>
      <c r="CF545" s="194"/>
      <c r="CG545" s="194"/>
      <c r="CH545" s="195"/>
      <c r="CI545" s="194"/>
      <c r="CJ545" s="194"/>
      <c r="CK545" s="194"/>
      <c r="CL545" s="196"/>
      <c r="CM545" s="196"/>
      <c r="CN545" s="194"/>
      <c r="CO545" s="197"/>
      <c r="CP545" s="196"/>
      <c r="CQ545" s="196"/>
      <c r="CR545" s="196"/>
      <c r="CS545" s="196"/>
      <c r="CT545" s="196"/>
      <c r="CU545" s="196"/>
      <c r="CV545" s="194"/>
      <c r="CW545" s="194"/>
      <c r="CX545" s="194"/>
      <c r="CY545" s="194"/>
      <c r="CZ545" s="194"/>
      <c r="DA545" s="194"/>
      <c r="DB545" s="194"/>
      <c r="DC545" s="194"/>
      <c r="DD545" s="194"/>
      <c r="DE545" s="194"/>
      <c r="DF545" s="196"/>
      <c r="DG545" s="198"/>
      <c r="DH545" s="194"/>
      <c r="DI545" s="282"/>
      <c r="DJ545" s="282"/>
      <c r="DK545" s="282"/>
      <c r="DL545" s="282"/>
    </row>
    <row r="546" spans="1:116" s="24" customFormat="1" x14ac:dyDescent="0.3">
      <c r="A546" s="172"/>
      <c r="B546" s="172"/>
      <c r="C546" s="172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  <c r="BT546" s="172"/>
      <c r="BU546" s="172"/>
      <c r="BV546" s="172"/>
      <c r="BW546" s="172"/>
      <c r="BX546" s="172"/>
      <c r="BY546" s="174"/>
      <c r="BZ546" s="172"/>
      <c r="CA546" s="172"/>
      <c r="CD546" s="194"/>
      <c r="CE546" s="194"/>
      <c r="CF546" s="194"/>
      <c r="CG546" s="194"/>
      <c r="CH546" s="195"/>
      <c r="CI546" s="194"/>
      <c r="CJ546" s="194"/>
      <c r="CK546" s="194"/>
      <c r="CL546" s="196"/>
      <c r="CM546" s="196"/>
      <c r="CN546" s="194"/>
      <c r="CO546" s="197"/>
      <c r="CP546" s="196"/>
      <c r="CQ546" s="196"/>
      <c r="CR546" s="196"/>
      <c r="CS546" s="196"/>
      <c r="CT546" s="196"/>
      <c r="CU546" s="196"/>
      <c r="CV546" s="194"/>
      <c r="CW546" s="194"/>
      <c r="CX546" s="194"/>
      <c r="CY546" s="194"/>
      <c r="CZ546" s="194"/>
      <c r="DA546" s="194"/>
      <c r="DB546" s="194"/>
      <c r="DC546" s="194"/>
      <c r="DD546" s="194"/>
      <c r="DE546" s="194"/>
      <c r="DF546" s="196"/>
      <c r="DG546" s="198"/>
      <c r="DH546" s="194"/>
      <c r="DI546" s="282"/>
      <c r="DJ546" s="282"/>
      <c r="DK546" s="282"/>
      <c r="DL546" s="282"/>
    </row>
    <row r="547" spans="1:116" s="24" customFormat="1" x14ac:dyDescent="0.3">
      <c r="A547" s="172"/>
      <c r="B547" s="172"/>
      <c r="C547" s="172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  <c r="BT547" s="172"/>
      <c r="BU547" s="172"/>
      <c r="BV547" s="172"/>
      <c r="BW547" s="172"/>
      <c r="BX547" s="172"/>
      <c r="BY547" s="174"/>
      <c r="BZ547" s="172"/>
      <c r="CA547" s="172"/>
      <c r="CD547" s="194"/>
      <c r="CE547" s="194"/>
      <c r="CF547" s="194"/>
      <c r="CG547" s="194"/>
      <c r="CH547" s="195"/>
      <c r="CI547" s="194"/>
      <c r="CJ547" s="194"/>
      <c r="CK547" s="194"/>
      <c r="CL547" s="196"/>
      <c r="CM547" s="196"/>
      <c r="CN547" s="194"/>
      <c r="CO547" s="197"/>
      <c r="CP547" s="196"/>
      <c r="CQ547" s="196"/>
      <c r="CR547" s="196"/>
      <c r="CS547" s="196"/>
      <c r="CT547" s="196"/>
      <c r="CU547" s="196"/>
      <c r="CV547" s="194"/>
      <c r="CW547" s="194"/>
      <c r="CX547" s="194"/>
      <c r="CY547" s="194"/>
      <c r="CZ547" s="194"/>
      <c r="DA547" s="194"/>
      <c r="DB547" s="194"/>
      <c r="DC547" s="194"/>
      <c r="DD547" s="194"/>
      <c r="DE547" s="194"/>
      <c r="DF547" s="196"/>
      <c r="DG547" s="198"/>
      <c r="DH547" s="194"/>
      <c r="DI547" s="282"/>
      <c r="DJ547" s="282"/>
      <c r="DK547" s="282"/>
      <c r="DL547" s="282"/>
    </row>
    <row r="548" spans="1:116" s="24" customFormat="1" x14ac:dyDescent="0.3">
      <c r="A548" s="172"/>
      <c r="B548" s="172"/>
      <c r="C548" s="172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  <c r="BT548" s="172"/>
      <c r="BU548" s="172"/>
      <c r="BV548" s="172"/>
      <c r="BW548" s="172"/>
      <c r="BX548" s="172"/>
      <c r="BY548" s="174"/>
      <c r="BZ548" s="172"/>
      <c r="CA548" s="172"/>
      <c r="CD548" s="194"/>
      <c r="CE548" s="194"/>
      <c r="CF548" s="194"/>
      <c r="CG548" s="194"/>
      <c r="CH548" s="195"/>
      <c r="CI548" s="194"/>
      <c r="CJ548" s="194"/>
      <c r="CK548" s="194"/>
      <c r="CL548" s="196"/>
      <c r="CM548" s="196"/>
      <c r="CN548" s="194"/>
      <c r="CO548" s="197"/>
      <c r="CP548" s="196"/>
      <c r="CQ548" s="196"/>
      <c r="CR548" s="196"/>
      <c r="CS548" s="196"/>
      <c r="CT548" s="196"/>
      <c r="CU548" s="196"/>
      <c r="CV548" s="194"/>
      <c r="CW548" s="194"/>
      <c r="CX548" s="194"/>
      <c r="CY548" s="194"/>
      <c r="CZ548" s="194"/>
      <c r="DA548" s="194"/>
      <c r="DB548" s="194"/>
      <c r="DC548" s="194"/>
      <c r="DD548" s="194"/>
      <c r="DE548" s="194"/>
      <c r="DF548" s="196"/>
      <c r="DG548" s="198"/>
      <c r="DH548" s="194"/>
      <c r="DI548" s="282"/>
      <c r="DJ548" s="282"/>
      <c r="DK548" s="282"/>
      <c r="DL548" s="282"/>
    </row>
    <row r="549" spans="1:116" s="24" customFormat="1" x14ac:dyDescent="0.3">
      <c r="A549" s="172"/>
      <c r="B549" s="172"/>
      <c r="C549" s="172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  <c r="BT549" s="172"/>
      <c r="BU549" s="172"/>
      <c r="BV549" s="172"/>
      <c r="BW549" s="172"/>
      <c r="BX549" s="172"/>
      <c r="BY549" s="174"/>
      <c r="BZ549" s="172"/>
      <c r="CA549" s="172"/>
      <c r="CD549" s="194"/>
      <c r="CE549" s="194"/>
      <c r="CF549" s="194"/>
      <c r="CG549" s="194"/>
      <c r="CH549" s="195"/>
      <c r="CI549" s="194"/>
      <c r="CJ549" s="194"/>
      <c r="CK549" s="194"/>
      <c r="CL549" s="196"/>
      <c r="CM549" s="196"/>
      <c r="CN549" s="194"/>
      <c r="CO549" s="197"/>
      <c r="CP549" s="196"/>
      <c r="CQ549" s="196"/>
      <c r="CR549" s="196"/>
      <c r="CS549" s="196"/>
      <c r="CT549" s="196"/>
      <c r="CU549" s="196"/>
      <c r="CV549" s="194"/>
      <c r="CW549" s="194"/>
      <c r="CX549" s="194"/>
      <c r="CY549" s="194"/>
      <c r="CZ549" s="194"/>
      <c r="DA549" s="194"/>
      <c r="DB549" s="194"/>
      <c r="DC549" s="194"/>
      <c r="DD549" s="194"/>
      <c r="DE549" s="194"/>
      <c r="DF549" s="196"/>
      <c r="DG549" s="198"/>
      <c r="DH549" s="194"/>
      <c r="DI549" s="282"/>
      <c r="DJ549" s="282"/>
      <c r="DK549" s="282"/>
      <c r="DL549" s="282"/>
    </row>
    <row r="550" spans="1:116" s="24" customFormat="1" x14ac:dyDescent="0.3">
      <c r="A550" s="172"/>
      <c r="B550" s="172"/>
      <c r="C550" s="172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2"/>
      <c r="BU550" s="172"/>
      <c r="BV550" s="172"/>
      <c r="BW550" s="172"/>
      <c r="BX550" s="172"/>
      <c r="BY550" s="174"/>
      <c r="BZ550" s="172"/>
      <c r="CA550" s="172"/>
      <c r="CD550" s="194"/>
      <c r="CE550" s="194"/>
      <c r="CF550" s="194"/>
      <c r="CG550" s="194"/>
      <c r="CH550" s="195"/>
      <c r="CI550" s="194"/>
      <c r="CJ550" s="194"/>
      <c r="CK550" s="194"/>
      <c r="CL550" s="196"/>
      <c r="CM550" s="196"/>
      <c r="CN550" s="194"/>
      <c r="CO550" s="197"/>
      <c r="CP550" s="196"/>
      <c r="CQ550" s="196"/>
      <c r="CR550" s="196"/>
      <c r="CS550" s="196"/>
      <c r="CT550" s="196"/>
      <c r="CU550" s="196"/>
      <c r="CV550" s="194"/>
      <c r="CW550" s="194"/>
      <c r="CX550" s="194"/>
      <c r="CY550" s="194"/>
      <c r="CZ550" s="194"/>
      <c r="DA550" s="194"/>
      <c r="DB550" s="194"/>
      <c r="DC550" s="194"/>
      <c r="DD550" s="194"/>
      <c r="DE550" s="194"/>
      <c r="DF550" s="196"/>
      <c r="DG550" s="198"/>
      <c r="DH550" s="194"/>
      <c r="DI550" s="282"/>
      <c r="DJ550" s="282"/>
      <c r="DK550" s="282"/>
      <c r="DL550" s="282"/>
    </row>
    <row r="551" spans="1:116" s="24" customFormat="1" x14ac:dyDescent="0.3">
      <c r="A551" s="172"/>
      <c r="B551" s="172"/>
      <c r="C551" s="172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  <c r="BT551" s="172"/>
      <c r="BU551" s="172"/>
      <c r="BV551" s="172"/>
      <c r="BW551" s="172"/>
      <c r="BX551" s="172"/>
      <c r="BY551" s="174"/>
      <c r="BZ551" s="172"/>
      <c r="CA551" s="172"/>
      <c r="CD551" s="194"/>
      <c r="CE551" s="194"/>
      <c r="CF551" s="194"/>
      <c r="CG551" s="194"/>
      <c r="CH551" s="195"/>
      <c r="CI551" s="194"/>
      <c r="CJ551" s="194"/>
      <c r="CK551" s="194"/>
      <c r="CL551" s="196"/>
      <c r="CM551" s="196"/>
      <c r="CN551" s="194"/>
      <c r="CO551" s="197"/>
      <c r="CP551" s="196"/>
      <c r="CQ551" s="196"/>
      <c r="CR551" s="196"/>
      <c r="CS551" s="196"/>
      <c r="CT551" s="196"/>
      <c r="CU551" s="196"/>
      <c r="CV551" s="194"/>
      <c r="CW551" s="194"/>
      <c r="CX551" s="194"/>
      <c r="CY551" s="194"/>
      <c r="CZ551" s="194"/>
      <c r="DA551" s="194"/>
      <c r="DB551" s="194"/>
      <c r="DC551" s="194"/>
      <c r="DD551" s="194"/>
      <c r="DE551" s="194"/>
      <c r="DF551" s="196"/>
      <c r="DG551" s="198"/>
      <c r="DH551" s="194"/>
      <c r="DI551" s="282"/>
      <c r="DJ551" s="282"/>
      <c r="DK551" s="282"/>
      <c r="DL551" s="282"/>
    </row>
    <row r="552" spans="1:116" s="24" customFormat="1" x14ac:dyDescent="0.3">
      <c r="A552" s="172"/>
      <c r="B552" s="172"/>
      <c r="C552" s="172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  <c r="BT552" s="172"/>
      <c r="BU552" s="172"/>
      <c r="BV552" s="172"/>
      <c r="BW552" s="172"/>
      <c r="BX552" s="172"/>
      <c r="BY552" s="174"/>
      <c r="BZ552" s="172"/>
      <c r="CA552" s="172"/>
      <c r="CD552" s="194"/>
      <c r="CE552" s="194"/>
      <c r="CF552" s="194"/>
      <c r="CG552" s="194"/>
      <c r="CH552" s="195"/>
      <c r="CI552" s="194"/>
      <c r="CJ552" s="194"/>
      <c r="CK552" s="194"/>
      <c r="CL552" s="196"/>
      <c r="CM552" s="196"/>
      <c r="CN552" s="194"/>
      <c r="CO552" s="197"/>
      <c r="CP552" s="196"/>
      <c r="CQ552" s="196"/>
      <c r="CR552" s="196"/>
      <c r="CS552" s="196"/>
      <c r="CT552" s="196"/>
      <c r="CU552" s="196"/>
      <c r="CV552" s="194"/>
      <c r="CW552" s="194"/>
      <c r="CX552" s="194"/>
      <c r="CY552" s="194"/>
      <c r="CZ552" s="194"/>
      <c r="DA552" s="194"/>
      <c r="DB552" s="194"/>
      <c r="DC552" s="194"/>
      <c r="DD552" s="194"/>
      <c r="DE552" s="194"/>
      <c r="DF552" s="196"/>
      <c r="DG552" s="198"/>
      <c r="DH552" s="194"/>
      <c r="DI552" s="282"/>
      <c r="DJ552" s="282"/>
      <c r="DK552" s="282"/>
      <c r="DL552" s="282"/>
    </row>
    <row r="553" spans="1:116" s="24" customFormat="1" x14ac:dyDescent="0.3">
      <c r="A553" s="172"/>
      <c r="B553" s="172"/>
      <c r="C553" s="172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  <c r="BT553" s="172"/>
      <c r="BU553" s="172"/>
      <c r="BV553" s="172"/>
      <c r="BW553" s="172"/>
      <c r="BX553" s="172"/>
      <c r="BY553" s="174"/>
      <c r="BZ553" s="172"/>
      <c r="CA553" s="172"/>
      <c r="CD553" s="194"/>
      <c r="CE553" s="194"/>
      <c r="CF553" s="194"/>
      <c r="CG553" s="194"/>
      <c r="CH553" s="195"/>
      <c r="CI553" s="194"/>
      <c r="CJ553" s="194"/>
      <c r="CK553" s="194"/>
      <c r="CL553" s="196"/>
      <c r="CM553" s="196"/>
      <c r="CN553" s="194"/>
      <c r="CO553" s="197"/>
      <c r="CP553" s="196"/>
      <c r="CQ553" s="196"/>
      <c r="CR553" s="196"/>
      <c r="CS553" s="196"/>
      <c r="CT553" s="196"/>
      <c r="CU553" s="196"/>
      <c r="CV553" s="194"/>
      <c r="CW553" s="194"/>
      <c r="CX553" s="194"/>
      <c r="CY553" s="194"/>
      <c r="CZ553" s="194"/>
      <c r="DA553" s="194"/>
      <c r="DB553" s="194"/>
      <c r="DC553" s="194"/>
      <c r="DD553" s="194"/>
      <c r="DE553" s="194"/>
      <c r="DF553" s="196"/>
      <c r="DG553" s="198"/>
      <c r="DH553" s="194"/>
      <c r="DI553" s="282"/>
      <c r="DJ553" s="282"/>
      <c r="DK553" s="282"/>
      <c r="DL553" s="282"/>
    </row>
    <row r="554" spans="1:116" s="24" customFormat="1" x14ac:dyDescent="0.3">
      <c r="A554" s="172"/>
      <c r="B554" s="172"/>
      <c r="C554" s="172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  <c r="BT554" s="172"/>
      <c r="BU554" s="172"/>
      <c r="BV554" s="172"/>
      <c r="BW554" s="172"/>
      <c r="BX554" s="172"/>
      <c r="BY554" s="174"/>
      <c r="BZ554" s="172"/>
      <c r="CA554" s="172"/>
      <c r="CD554" s="194"/>
      <c r="CE554" s="194"/>
      <c r="CF554" s="194"/>
      <c r="CG554" s="194"/>
      <c r="CH554" s="195"/>
      <c r="CI554" s="194"/>
      <c r="CJ554" s="194"/>
      <c r="CK554" s="194"/>
      <c r="CL554" s="196"/>
      <c r="CM554" s="196"/>
      <c r="CN554" s="194"/>
      <c r="CO554" s="197"/>
      <c r="CP554" s="196"/>
      <c r="CQ554" s="196"/>
      <c r="CR554" s="196"/>
      <c r="CS554" s="196"/>
      <c r="CT554" s="196"/>
      <c r="CU554" s="196"/>
      <c r="CV554" s="194"/>
      <c r="CW554" s="194"/>
      <c r="CX554" s="194"/>
      <c r="CY554" s="194"/>
      <c r="CZ554" s="194"/>
      <c r="DA554" s="194"/>
      <c r="DB554" s="194"/>
      <c r="DC554" s="194"/>
      <c r="DD554" s="194"/>
      <c r="DE554" s="194"/>
      <c r="DF554" s="196"/>
      <c r="DG554" s="198"/>
      <c r="DH554" s="194"/>
      <c r="DI554" s="282"/>
      <c r="DJ554" s="282"/>
      <c r="DK554" s="282"/>
      <c r="DL554" s="282"/>
    </row>
    <row r="555" spans="1:116" s="24" customFormat="1" x14ac:dyDescent="0.3">
      <c r="A555" s="172"/>
      <c r="B555" s="172"/>
      <c r="C555" s="172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172"/>
      <c r="BV555" s="172"/>
      <c r="BW555" s="172"/>
      <c r="BX555" s="172"/>
      <c r="BY555" s="174"/>
      <c r="BZ555" s="172"/>
      <c r="CA555" s="172"/>
      <c r="CD555" s="194"/>
      <c r="CE555" s="194"/>
      <c r="CF555" s="194"/>
      <c r="CG555" s="194"/>
      <c r="CH555" s="195"/>
      <c r="CI555" s="194"/>
      <c r="CJ555" s="194"/>
      <c r="CK555" s="194"/>
      <c r="CL555" s="196"/>
      <c r="CM555" s="196"/>
      <c r="CN555" s="194"/>
      <c r="CO555" s="197"/>
      <c r="CP555" s="196"/>
      <c r="CQ555" s="196"/>
      <c r="CR555" s="196"/>
      <c r="CS555" s="196"/>
      <c r="CT555" s="196"/>
      <c r="CU555" s="196"/>
      <c r="CV555" s="194"/>
      <c r="CW555" s="194"/>
      <c r="CX555" s="194"/>
      <c r="CY555" s="194"/>
      <c r="CZ555" s="194"/>
      <c r="DA555" s="194"/>
      <c r="DB555" s="194"/>
      <c r="DC555" s="194"/>
      <c r="DD555" s="194"/>
      <c r="DE555" s="194"/>
      <c r="DF555" s="196"/>
      <c r="DG555" s="198"/>
      <c r="DH555" s="194"/>
      <c r="DI555" s="282"/>
      <c r="DJ555" s="282"/>
      <c r="DK555" s="282"/>
      <c r="DL555" s="282"/>
    </row>
    <row r="556" spans="1:116" s="24" customFormat="1" x14ac:dyDescent="0.3">
      <c r="A556" s="172"/>
      <c r="B556" s="172"/>
      <c r="C556" s="172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  <c r="BT556" s="172"/>
      <c r="BU556" s="172"/>
      <c r="BV556" s="172"/>
      <c r="BW556" s="172"/>
      <c r="BX556" s="172"/>
      <c r="BY556" s="174"/>
      <c r="BZ556" s="172"/>
      <c r="CA556" s="172"/>
      <c r="CD556" s="194"/>
      <c r="CE556" s="194"/>
      <c r="CF556" s="194"/>
      <c r="CG556" s="194"/>
      <c r="CH556" s="195"/>
      <c r="CI556" s="194"/>
      <c r="CJ556" s="194"/>
      <c r="CK556" s="194"/>
      <c r="CL556" s="196"/>
      <c r="CM556" s="196"/>
      <c r="CN556" s="194"/>
      <c r="CO556" s="197"/>
      <c r="CP556" s="196"/>
      <c r="CQ556" s="196"/>
      <c r="CR556" s="196"/>
      <c r="CS556" s="196"/>
      <c r="CT556" s="196"/>
      <c r="CU556" s="196"/>
      <c r="CV556" s="194"/>
      <c r="CW556" s="194"/>
      <c r="CX556" s="194"/>
      <c r="CY556" s="194"/>
      <c r="CZ556" s="194"/>
      <c r="DA556" s="194"/>
      <c r="DB556" s="194"/>
      <c r="DC556" s="194"/>
      <c r="DD556" s="194"/>
      <c r="DE556" s="194"/>
      <c r="DF556" s="196"/>
      <c r="DG556" s="198"/>
      <c r="DH556" s="194"/>
      <c r="DI556" s="282"/>
      <c r="DJ556" s="282"/>
      <c r="DK556" s="282"/>
      <c r="DL556" s="282"/>
    </row>
    <row r="557" spans="1:116" s="24" customFormat="1" x14ac:dyDescent="0.3">
      <c r="A557" s="172"/>
      <c r="B557" s="172"/>
      <c r="C557" s="172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  <c r="BT557" s="172"/>
      <c r="BU557" s="172"/>
      <c r="BV557" s="172"/>
      <c r="BW557" s="172"/>
      <c r="BX557" s="172"/>
      <c r="BY557" s="174"/>
      <c r="BZ557" s="172"/>
      <c r="CA557" s="172"/>
      <c r="CD557" s="194"/>
      <c r="CE557" s="194"/>
      <c r="CF557" s="194"/>
      <c r="CG557" s="194"/>
      <c r="CH557" s="195"/>
      <c r="CI557" s="194"/>
      <c r="CJ557" s="194"/>
      <c r="CK557" s="194"/>
      <c r="CL557" s="196"/>
      <c r="CM557" s="196"/>
      <c r="CN557" s="194"/>
      <c r="CO557" s="197"/>
      <c r="CP557" s="196"/>
      <c r="CQ557" s="196"/>
      <c r="CR557" s="196"/>
      <c r="CS557" s="196"/>
      <c r="CT557" s="196"/>
      <c r="CU557" s="196"/>
      <c r="CV557" s="194"/>
      <c r="CW557" s="194"/>
      <c r="CX557" s="194"/>
      <c r="CY557" s="194"/>
      <c r="CZ557" s="194"/>
      <c r="DA557" s="194"/>
      <c r="DB557" s="194"/>
      <c r="DC557" s="194"/>
      <c r="DD557" s="194"/>
      <c r="DE557" s="194"/>
      <c r="DF557" s="196"/>
      <c r="DG557" s="198"/>
      <c r="DH557" s="194"/>
      <c r="DI557" s="282"/>
      <c r="DJ557" s="282"/>
      <c r="DK557" s="282"/>
      <c r="DL557" s="282"/>
    </row>
    <row r="558" spans="1:116" s="24" customFormat="1" x14ac:dyDescent="0.3">
      <c r="A558" s="172"/>
      <c r="B558" s="172"/>
      <c r="C558" s="172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  <c r="BT558" s="172"/>
      <c r="BU558" s="172"/>
      <c r="BV558" s="172"/>
      <c r="BW558" s="172"/>
      <c r="BX558" s="172"/>
      <c r="BY558" s="174"/>
      <c r="BZ558" s="172"/>
      <c r="CA558" s="172"/>
      <c r="CD558" s="194"/>
      <c r="CE558" s="194"/>
      <c r="CF558" s="194"/>
      <c r="CG558" s="194"/>
      <c r="CH558" s="195"/>
      <c r="CI558" s="194"/>
      <c r="CJ558" s="194"/>
      <c r="CK558" s="194"/>
      <c r="CL558" s="196"/>
      <c r="CM558" s="196"/>
      <c r="CN558" s="194"/>
      <c r="CO558" s="197"/>
      <c r="CP558" s="196"/>
      <c r="CQ558" s="196"/>
      <c r="CR558" s="196"/>
      <c r="CS558" s="196"/>
      <c r="CT558" s="196"/>
      <c r="CU558" s="196"/>
      <c r="CV558" s="194"/>
      <c r="CW558" s="194"/>
      <c r="CX558" s="194"/>
      <c r="CY558" s="194"/>
      <c r="CZ558" s="194"/>
      <c r="DA558" s="194"/>
      <c r="DB558" s="194"/>
      <c r="DC558" s="194"/>
      <c r="DD558" s="194"/>
      <c r="DE558" s="194"/>
      <c r="DF558" s="196"/>
      <c r="DG558" s="198"/>
      <c r="DH558" s="194"/>
      <c r="DI558" s="282"/>
      <c r="DJ558" s="282"/>
      <c r="DK558" s="282"/>
      <c r="DL558" s="282"/>
    </row>
    <row r="559" spans="1:116" s="24" customFormat="1" x14ac:dyDescent="0.3">
      <c r="A559" s="172"/>
      <c r="B559" s="172"/>
      <c r="C559" s="172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  <c r="BT559" s="172"/>
      <c r="BU559" s="172"/>
      <c r="BV559" s="172"/>
      <c r="BW559" s="172"/>
      <c r="BX559" s="172"/>
      <c r="BY559" s="174"/>
      <c r="BZ559" s="172"/>
      <c r="CA559" s="172"/>
      <c r="CD559" s="194"/>
      <c r="CE559" s="194"/>
      <c r="CF559" s="194"/>
      <c r="CG559" s="194"/>
      <c r="CH559" s="195"/>
      <c r="CI559" s="194"/>
      <c r="CJ559" s="194"/>
      <c r="CK559" s="194"/>
      <c r="CL559" s="196"/>
      <c r="CM559" s="196"/>
      <c r="CN559" s="194"/>
      <c r="CO559" s="197"/>
      <c r="CP559" s="196"/>
      <c r="CQ559" s="196"/>
      <c r="CR559" s="196"/>
      <c r="CS559" s="196"/>
      <c r="CT559" s="196"/>
      <c r="CU559" s="196"/>
      <c r="CV559" s="194"/>
      <c r="CW559" s="194"/>
      <c r="CX559" s="194"/>
      <c r="CY559" s="194"/>
      <c r="CZ559" s="194"/>
      <c r="DA559" s="194"/>
      <c r="DB559" s="194"/>
      <c r="DC559" s="194"/>
      <c r="DD559" s="194"/>
      <c r="DE559" s="194"/>
      <c r="DF559" s="196"/>
      <c r="DG559" s="198"/>
      <c r="DH559" s="194"/>
      <c r="DI559" s="282"/>
      <c r="DJ559" s="282"/>
      <c r="DK559" s="282"/>
      <c r="DL559" s="282"/>
    </row>
    <row r="560" spans="1:116" s="24" customFormat="1" x14ac:dyDescent="0.3">
      <c r="A560" s="172"/>
      <c r="B560" s="172"/>
      <c r="C560" s="172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  <c r="BT560" s="172"/>
      <c r="BU560" s="172"/>
      <c r="BV560" s="172"/>
      <c r="BW560" s="172"/>
      <c r="BX560" s="172"/>
      <c r="BY560" s="174"/>
      <c r="BZ560" s="172"/>
      <c r="CA560" s="172"/>
      <c r="CD560" s="194"/>
      <c r="CE560" s="194"/>
      <c r="CF560" s="194"/>
      <c r="CG560" s="194"/>
      <c r="CH560" s="195"/>
      <c r="CI560" s="194"/>
      <c r="CJ560" s="194"/>
      <c r="CK560" s="194"/>
      <c r="CL560" s="196"/>
      <c r="CM560" s="196"/>
      <c r="CN560" s="194"/>
      <c r="CO560" s="197"/>
      <c r="CP560" s="196"/>
      <c r="CQ560" s="196"/>
      <c r="CR560" s="196"/>
      <c r="CS560" s="196"/>
      <c r="CT560" s="196"/>
      <c r="CU560" s="196"/>
      <c r="CV560" s="194"/>
      <c r="CW560" s="194"/>
      <c r="CX560" s="194"/>
      <c r="CY560" s="194"/>
      <c r="CZ560" s="194"/>
      <c r="DA560" s="194"/>
      <c r="DB560" s="194"/>
      <c r="DC560" s="194"/>
      <c r="DD560" s="194"/>
      <c r="DE560" s="194"/>
      <c r="DF560" s="196"/>
      <c r="DG560" s="198"/>
      <c r="DH560" s="194"/>
      <c r="DI560" s="282"/>
      <c r="DJ560" s="282"/>
      <c r="DK560" s="282"/>
      <c r="DL560" s="282"/>
    </row>
    <row r="561" spans="1:116" s="24" customFormat="1" x14ac:dyDescent="0.3">
      <c r="A561" s="172"/>
      <c r="B561" s="172"/>
      <c r="C561" s="172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  <c r="BT561" s="172"/>
      <c r="BU561" s="172"/>
      <c r="BV561" s="172"/>
      <c r="BW561" s="172"/>
      <c r="BX561" s="172"/>
      <c r="BY561" s="174"/>
      <c r="BZ561" s="172"/>
      <c r="CA561" s="172"/>
      <c r="CD561" s="194"/>
      <c r="CE561" s="194"/>
      <c r="CF561" s="194"/>
      <c r="CG561" s="194"/>
      <c r="CH561" s="195"/>
      <c r="CI561" s="194"/>
      <c r="CJ561" s="194"/>
      <c r="CK561" s="194"/>
      <c r="CL561" s="196"/>
      <c r="CM561" s="196"/>
      <c r="CN561" s="194"/>
      <c r="CO561" s="197"/>
      <c r="CP561" s="196"/>
      <c r="CQ561" s="196"/>
      <c r="CR561" s="196"/>
      <c r="CS561" s="196"/>
      <c r="CT561" s="196"/>
      <c r="CU561" s="196"/>
      <c r="CV561" s="194"/>
      <c r="CW561" s="194"/>
      <c r="CX561" s="194"/>
      <c r="CY561" s="194"/>
      <c r="CZ561" s="194"/>
      <c r="DA561" s="194"/>
      <c r="DB561" s="194"/>
      <c r="DC561" s="194"/>
      <c r="DD561" s="194"/>
      <c r="DE561" s="194"/>
      <c r="DF561" s="196"/>
      <c r="DG561" s="198"/>
      <c r="DH561" s="194"/>
      <c r="DI561" s="282"/>
      <c r="DJ561" s="282"/>
      <c r="DK561" s="282"/>
      <c r="DL561" s="282"/>
    </row>
    <row r="562" spans="1:116" s="24" customFormat="1" x14ac:dyDescent="0.3">
      <c r="A562" s="172"/>
      <c r="B562" s="172"/>
      <c r="C562" s="172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  <c r="BT562" s="172"/>
      <c r="BU562" s="172"/>
      <c r="BV562" s="172"/>
      <c r="BW562" s="172"/>
      <c r="BX562" s="172"/>
      <c r="BY562" s="174"/>
      <c r="BZ562" s="172"/>
      <c r="CA562" s="172"/>
      <c r="CD562" s="194"/>
      <c r="CE562" s="194"/>
      <c r="CF562" s="194"/>
      <c r="CG562" s="194"/>
      <c r="CH562" s="195"/>
      <c r="CI562" s="194"/>
      <c r="CJ562" s="194"/>
      <c r="CK562" s="194"/>
      <c r="CL562" s="196"/>
      <c r="CM562" s="196"/>
      <c r="CN562" s="194"/>
      <c r="CO562" s="197"/>
      <c r="CP562" s="196"/>
      <c r="CQ562" s="196"/>
      <c r="CR562" s="196"/>
      <c r="CS562" s="196"/>
      <c r="CT562" s="196"/>
      <c r="CU562" s="196"/>
      <c r="CV562" s="194"/>
      <c r="CW562" s="194"/>
      <c r="CX562" s="194"/>
      <c r="CY562" s="194"/>
      <c r="CZ562" s="194"/>
      <c r="DA562" s="194"/>
      <c r="DB562" s="194"/>
      <c r="DC562" s="194"/>
      <c r="DD562" s="194"/>
      <c r="DE562" s="194"/>
      <c r="DF562" s="196"/>
      <c r="DG562" s="198"/>
      <c r="DH562" s="194"/>
      <c r="DI562" s="282"/>
      <c r="DJ562" s="282"/>
      <c r="DK562" s="282"/>
      <c r="DL562" s="282"/>
    </row>
    <row r="563" spans="1:116" s="24" customFormat="1" x14ac:dyDescent="0.3">
      <c r="A563" s="172"/>
      <c r="B563" s="172"/>
      <c r="C563" s="172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  <c r="BT563" s="172"/>
      <c r="BU563" s="172"/>
      <c r="BV563" s="172"/>
      <c r="BW563" s="172"/>
      <c r="BX563" s="172"/>
      <c r="BY563" s="174"/>
      <c r="BZ563" s="172"/>
      <c r="CA563" s="172"/>
      <c r="CD563" s="194"/>
      <c r="CE563" s="194"/>
      <c r="CF563" s="194"/>
      <c r="CG563" s="194"/>
      <c r="CH563" s="195"/>
      <c r="CI563" s="194"/>
      <c r="CJ563" s="194"/>
      <c r="CK563" s="194"/>
      <c r="CL563" s="196"/>
      <c r="CM563" s="196"/>
      <c r="CN563" s="194"/>
      <c r="CO563" s="197"/>
      <c r="CP563" s="196"/>
      <c r="CQ563" s="196"/>
      <c r="CR563" s="196"/>
      <c r="CS563" s="196"/>
      <c r="CT563" s="196"/>
      <c r="CU563" s="196"/>
      <c r="CV563" s="194"/>
      <c r="CW563" s="194"/>
      <c r="CX563" s="194"/>
      <c r="CY563" s="194"/>
      <c r="CZ563" s="194"/>
      <c r="DA563" s="194"/>
      <c r="DB563" s="194"/>
      <c r="DC563" s="194"/>
      <c r="DD563" s="194"/>
      <c r="DE563" s="194"/>
      <c r="DF563" s="196"/>
      <c r="DG563" s="198"/>
      <c r="DH563" s="194"/>
      <c r="DI563" s="282"/>
      <c r="DJ563" s="282"/>
      <c r="DK563" s="282"/>
      <c r="DL563" s="282"/>
    </row>
    <row r="564" spans="1:116" s="24" customFormat="1" x14ac:dyDescent="0.3">
      <c r="A564" s="172"/>
      <c r="B564" s="172"/>
      <c r="C564" s="172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  <c r="BT564" s="172"/>
      <c r="BU564" s="172"/>
      <c r="BV564" s="172"/>
      <c r="BW564" s="172"/>
      <c r="BX564" s="172"/>
      <c r="BY564" s="174"/>
      <c r="BZ564" s="172"/>
      <c r="CA564" s="172"/>
      <c r="CD564" s="194"/>
      <c r="CE564" s="194"/>
      <c r="CF564" s="194"/>
      <c r="CG564" s="194"/>
      <c r="CH564" s="195"/>
      <c r="CI564" s="194"/>
      <c r="CJ564" s="194"/>
      <c r="CK564" s="194"/>
      <c r="CL564" s="196"/>
      <c r="CM564" s="196"/>
      <c r="CN564" s="194"/>
      <c r="CO564" s="197"/>
      <c r="CP564" s="196"/>
      <c r="CQ564" s="196"/>
      <c r="CR564" s="196"/>
      <c r="CS564" s="196"/>
      <c r="CT564" s="196"/>
      <c r="CU564" s="196"/>
      <c r="CV564" s="194"/>
      <c r="CW564" s="194"/>
      <c r="CX564" s="194"/>
      <c r="CY564" s="194"/>
      <c r="CZ564" s="194"/>
      <c r="DA564" s="194"/>
      <c r="DB564" s="194"/>
      <c r="DC564" s="194"/>
      <c r="DD564" s="194"/>
      <c r="DE564" s="194"/>
      <c r="DF564" s="196"/>
      <c r="DG564" s="198"/>
      <c r="DH564" s="194"/>
      <c r="DI564" s="282"/>
      <c r="DJ564" s="282"/>
      <c r="DK564" s="282"/>
      <c r="DL564" s="282"/>
    </row>
    <row r="565" spans="1:116" s="24" customFormat="1" x14ac:dyDescent="0.3">
      <c r="A565" s="172"/>
      <c r="B565" s="172"/>
      <c r="C565" s="172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  <c r="BT565" s="172"/>
      <c r="BU565" s="172"/>
      <c r="BV565" s="172"/>
      <c r="BW565" s="172"/>
      <c r="BX565" s="172"/>
      <c r="BY565" s="174"/>
      <c r="BZ565" s="172"/>
      <c r="CA565" s="172"/>
      <c r="CD565" s="194"/>
      <c r="CE565" s="194"/>
      <c r="CF565" s="194"/>
      <c r="CG565" s="194"/>
      <c r="CH565" s="195"/>
      <c r="CI565" s="194"/>
      <c r="CJ565" s="194"/>
      <c r="CK565" s="194"/>
      <c r="CL565" s="196"/>
      <c r="CM565" s="196"/>
      <c r="CN565" s="194"/>
      <c r="CO565" s="197"/>
      <c r="CP565" s="196"/>
      <c r="CQ565" s="196"/>
      <c r="CR565" s="196"/>
      <c r="CS565" s="196"/>
      <c r="CT565" s="196"/>
      <c r="CU565" s="196"/>
      <c r="CV565" s="194"/>
      <c r="CW565" s="194"/>
      <c r="CX565" s="194"/>
      <c r="CY565" s="194"/>
      <c r="CZ565" s="194"/>
      <c r="DA565" s="194"/>
      <c r="DB565" s="194"/>
      <c r="DC565" s="194"/>
      <c r="DD565" s="194"/>
      <c r="DE565" s="194"/>
      <c r="DF565" s="196"/>
      <c r="DG565" s="198"/>
      <c r="DH565" s="194"/>
      <c r="DI565" s="282"/>
      <c r="DJ565" s="282"/>
      <c r="DK565" s="282"/>
      <c r="DL565" s="282"/>
    </row>
    <row r="566" spans="1:116" s="24" customFormat="1" x14ac:dyDescent="0.3">
      <c r="A566" s="172"/>
      <c r="B566" s="172"/>
      <c r="C566" s="172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  <c r="BT566" s="172"/>
      <c r="BU566" s="172"/>
      <c r="BV566" s="172"/>
      <c r="BW566" s="172"/>
      <c r="BX566" s="172"/>
      <c r="BY566" s="174"/>
      <c r="BZ566" s="172"/>
      <c r="CA566" s="172"/>
      <c r="CD566" s="194"/>
      <c r="CE566" s="194"/>
      <c r="CF566" s="194"/>
      <c r="CG566" s="194"/>
      <c r="CH566" s="195"/>
      <c r="CI566" s="194"/>
      <c r="CJ566" s="194"/>
      <c r="CK566" s="194"/>
      <c r="CL566" s="196"/>
      <c r="CM566" s="196"/>
      <c r="CN566" s="194"/>
      <c r="CO566" s="197"/>
      <c r="CP566" s="196"/>
      <c r="CQ566" s="196"/>
      <c r="CR566" s="196"/>
      <c r="CS566" s="196"/>
      <c r="CT566" s="196"/>
      <c r="CU566" s="196"/>
      <c r="CV566" s="194"/>
      <c r="CW566" s="194"/>
      <c r="CX566" s="194"/>
      <c r="CY566" s="194"/>
      <c r="CZ566" s="194"/>
      <c r="DA566" s="194"/>
      <c r="DB566" s="194"/>
      <c r="DC566" s="194"/>
      <c r="DD566" s="194"/>
      <c r="DE566" s="194"/>
      <c r="DF566" s="196"/>
      <c r="DG566" s="198"/>
      <c r="DH566" s="194"/>
      <c r="DI566" s="282"/>
      <c r="DJ566" s="282"/>
      <c r="DK566" s="282"/>
      <c r="DL566" s="282"/>
    </row>
    <row r="567" spans="1:116" s="24" customFormat="1" x14ac:dyDescent="0.3">
      <c r="A567" s="172"/>
      <c r="B567" s="172"/>
      <c r="C567" s="172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  <c r="BT567" s="172"/>
      <c r="BU567" s="172"/>
      <c r="BV567" s="172"/>
      <c r="BW567" s="172"/>
      <c r="BX567" s="172"/>
      <c r="BY567" s="174"/>
      <c r="BZ567" s="172"/>
      <c r="CA567" s="172"/>
      <c r="CD567" s="194"/>
      <c r="CE567" s="194"/>
      <c r="CF567" s="194"/>
      <c r="CG567" s="194"/>
      <c r="CH567" s="195"/>
      <c r="CI567" s="194"/>
      <c r="CJ567" s="194"/>
      <c r="CK567" s="194"/>
      <c r="CL567" s="196"/>
      <c r="CM567" s="196"/>
      <c r="CN567" s="194"/>
      <c r="CO567" s="197"/>
      <c r="CP567" s="196"/>
      <c r="CQ567" s="196"/>
      <c r="CR567" s="196"/>
      <c r="CS567" s="196"/>
      <c r="CT567" s="196"/>
      <c r="CU567" s="196"/>
      <c r="CV567" s="194"/>
      <c r="CW567" s="194"/>
      <c r="CX567" s="194"/>
      <c r="CY567" s="194"/>
      <c r="CZ567" s="194"/>
      <c r="DA567" s="194"/>
      <c r="DB567" s="194"/>
      <c r="DC567" s="194"/>
      <c r="DD567" s="194"/>
      <c r="DE567" s="194"/>
      <c r="DF567" s="196"/>
      <c r="DG567" s="198"/>
      <c r="DH567" s="194"/>
      <c r="DI567" s="282"/>
      <c r="DJ567" s="282"/>
      <c r="DK567" s="282"/>
      <c r="DL567" s="282"/>
    </row>
    <row r="568" spans="1:116" s="24" customFormat="1" x14ac:dyDescent="0.3">
      <c r="A568" s="172"/>
      <c r="B568" s="172"/>
      <c r="C568" s="172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  <c r="BT568" s="172"/>
      <c r="BU568" s="172"/>
      <c r="BV568" s="172"/>
      <c r="BW568" s="172"/>
      <c r="BX568" s="172"/>
      <c r="BY568" s="174"/>
      <c r="BZ568" s="172"/>
      <c r="CA568" s="172"/>
      <c r="CD568" s="194"/>
      <c r="CE568" s="194"/>
      <c r="CF568" s="194"/>
      <c r="CG568" s="194"/>
      <c r="CH568" s="195"/>
      <c r="CI568" s="194"/>
      <c r="CJ568" s="194"/>
      <c r="CK568" s="194"/>
      <c r="CL568" s="196"/>
      <c r="CM568" s="196"/>
      <c r="CN568" s="194"/>
      <c r="CO568" s="197"/>
      <c r="CP568" s="196"/>
      <c r="CQ568" s="196"/>
      <c r="CR568" s="196"/>
      <c r="CS568" s="196"/>
      <c r="CT568" s="196"/>
      <c r="CU568" s="196"/>
      <c r="CV568" s="194"/>
      <c r="CW568" s="194"/>
      <c r="CX568" s="194"/>
      <c r="CY568" s="194"/>
      <c r="CZ568" s="194"/>
      <c r="DA568" s="194"/>
      <c r="DB568" s="194"/>
      <c r="DC568" s="194"/>
      <c r="DD568" s="194"/>
      <c r="DE568" s="194"/>
      <c r="DF568" s="196"/>
      <c r="DG568" s="198"/>
      <c r="DH568" s="194"/>
      <c r="DI568" s="282"/>
      <c r="DJ568" s="282"/>
      <c r="DK568" s="282"/>
      <c r="DL568" s="282"/>
    </row>
    <row r="569" spans="1:116" s="24" customFormat="1" x14ac:dyDescent="0.3">
      <c r="A569" s="172"/>
      <c r="B569" s="172"/>
      <c r="C569" s="172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  <c r="BT569" s="172"/>
      <c r="BU569" s="172"/>
      <c r="BV569" s="172"/>
      <c r="BW569" s="172"/>
      <c r="BX569" s="172"/>
      <c r="BY569" s="174"/>
      <c r="BZ569" s="172"/>
      <c r="CA569" s="172"/>
      <c r="CD569" s="194"/>
      <c r="CE569" s="194"/>
      <c r="CF569" s="194"/>
      <c r="CG569" s="194"/>
      <c r="CH569" s="195"/>
      <c r="CI569" s="194"/>
      <c r="CJ569" s="194"/>
      <c r="CK569" s="194"/>
      <c r="CL569" s="196"/>
      <c r="CM569" s="196"/>
      <c r="CN569" s="194"/>
      <c r="CO569" s="197"/>
      <c r="CP569" s="196"/>
      <c r="CQ569" s="196"/>
      <c r="CR569" s="196"/>
      <c r="CS569" s="196"/>
      <c r="CT569" s="196"/>
      <c r="CU569" s="196"/>
      <c r="CV569" s="194"/>
      <c r="CW569" s="194"/>
      <c r="CX569" s="194"/>
      <c r="CY569" s="194"/>
      <c r="CZ569" s="194"/>
      <c r="DA569" s="194"/>
      <c r="DB569" s="194"/>
      <c r="DC569" s="194"/>
      <c r="DD569" s="194"/>
      <c r="DE569" s="194"/>
      <c r="DF569" s="196"/>
      <c r="DG569" s="198"/>
      <c r="DH569" s="194"/>
      <c r="DI569" s="282"/>
      <c r="DJ569" s="282"/>
      <c r="DK569" s="282"/>
      <c r="DL569" s="282"/>
    </row>
    <row r="570" spans="1:116" s="24" customFormat="1" x14ac:dyDescent="0.3">
      <c r="A570" s="172"/>
      <c r="B570" s="172"/>
      <c r="C570" s="172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  <c r="BT570" s="172"/>
      <c r="BU570" s="172"/>
      <c r="BV570" s="172"/>
      <c r="BW570" s="172"/>
      <c r="BX570" s="172"/>
      <c r="BY570" s="174"/>
      <c r="BZ570" s="172"/>
      <c r="CA570" s="172"/>
      <c r="CD570" s="194"/>
      <c r="CE570" s="194"/>
      <c r="CF570" s="194"/>
      <c r="CG570" s="194"/>
      <c r="CH570" s="195"/>
      <c r="CI570" s="194"/>
      <c r="CJ570" s="194"/>
      <c r="CK570" s="194"/>
      <c r="CL570" s="196"/>
      <c r="CM570" s="196"/>
      <c r="CN570" s="194"/>
      <c r="CO570" s="197"/>
      <c r="CP570" s="196"/>
      <c r="CQ570" s="196"/>
      <c r="CR570" s="196"/>
      <c r="CS570" s="196"/>
      <c r="CT570" s="196"/>
      <c r="CU570" s="196"/>
      <c r="CV570" s="194"/>
      <c r="CW570" s="194"/>
      <c r="CX570" s="194"/>
      <c r="CY570" s="194"/>
      <c r="CZ570" s="194"/>
      <c r="DA570" s="194"/>
      <c r="DB570" s="194"/>
      <c r="DC570" s="194"/>
      <c r="DD570" s="194"/>
      <c r="DE570" s="194"/>
      <c r="DF570" s="196"/>
      <c r="DG570" s="198"/>
      <c r="DH570" s="194"/>
      <c r="DI570" s="282"/>
      <c r="DJ570" s="282"/>
      <c r="DK570" s="282"/>
      <c r="DL570" s="282"/>
    </row>
    <row r="571" spans="1:116" s="24" customFormat="1" x14ac:dyDescent="0.3">
      <c r="A571" s="172"/>
      <c r="B571" s="172"/>
      <c r="C571" s="172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  <c r="BT571" s="172"/>
      <c r="BU571" s="172"/>
      <c r="BV571" s="172"/>
      <c r="BW571" s="172"/>
      <c r="BX571" s="172"/>
      <c r="BY571" s="174"/>
      <c r="BZ571" s="172"/>
      <c r="CA571" s="172"/>
      <c r="CD571" s="194"/>
      <c r="CE571" s="194"/>
      <c r="CF571" s="194"/>
      <c r="CG571" s="194"/>
      <c r="CH571" s="195"/>
      <c r="CI571" s="194"/>
      <c r="CJ571" s="194"/>
      <c r="CK571" s="194"/>
      <c r="CL571" s="196"/>
      <c r="CM571" s="196"/>
      <c r="CN571" s="194"/>
      <c r="CO571" s="197"/>
      <c r="CP571" s="196"/>
      <c r="CQ571" s="196"/>
      <c r="CR571" s="196"/>
      <c r="CS571" s="196"/>
      <c r="CT571" s="196"/>
      <c r="CU571" s="196"/>
      <c r="CV571" s="194"/>
      <c r="CW571" s="194"/>
      <c r="CX571" s="194"/>
      <c r="CY571" s="194"/>
      <c r="CZ571" s="194"/>
      <c r="DA571" s="194"/>
      <c r="DB571" s="194"/>
      <c r="DC571" s="194"/>
      <c r="DD571" s="194"/>
      <c r="DE571" s="194"/>
      <c r="DF571" s="196"/>
      <c r="DG571" s="198"/>
      <c r="DH571" s="194"/>
      <c r="DI571" s="282"/>
      <c r="DJ571" s="282"/>
      <c r="DK571" s="282"/>
      <c r="DL571" s="282"/>
    </row>
    <row r="572" spans="1:116" s="24" customFormat="1" x14ac:dyDescent="0.3">
      <c r="A572" s="172"/>
      <c r="B572" s="172"/>
      <c r="C572" s="172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  <c r="BT572" s="172"/>
      <c r="BU572" s="172"/>
      <c r="BV572" s="172"/>
      <c r="BW572" s="172"/>
      <c r="BX572" s="172"/>
      <c r="BY572" s="174"/>
      <c r="BZ572" s="172"/>
      <c r="CA572" s="172"/>
      <c r="CD572" s="194"/>
      <c r="CE572" s="194"/>
      <c r="CF572" s="194"/>
      <c r="CG572" s="194"/>
      <c r="CH572" s="195"/>
      <c r="CI572" s="194"/>
      <c r="CJ572" s="194"/>
      <c r="CK572" s="194"/>
      <c r="CL572" s="196"/>
      <c r="CM572" s="196"/>
      <c r="CN572" s="194"/>
      <c r="CO572" s="197"/>
      <c r="CP572" s="196"/>
      <c r="CQ572" s="196"/>
      <c r="CR572" s="196"/>
      <c r="CS572" s="196"/>
      <c r="CT572" s="196"/>
      <c r="CU572" s="196"/>
      <c r="CV572" s="194"/>
      <c r="CW572" s="194"/>
      <c r="CX572" s="194"/>
      <c r="CY572" s="194"/>
      <c r="CZ572" s="194"/>
      <c r="DA572" s="194"/>
      <c r="DB572" s="194"/>
      <c r="DC572" s="194"/>
      <c r="DD572" s="194"/>
      <c r="DE572" s="194"/>
      <c r="DF572" s="196"/>
      <c r="DG572" s="198"/>
      <c r="DH572" s="194"/>
      <c r="DI572" s="282"/>
      <c r="DJ572" s="282"/>
      <c r="DK572" s="282"/>
      <c r="DL572" s="282"/>
    </row>
    <row r="573" spans="1:116" s="24" customFormat="1" x14ac:dyDescent="0.3">
      <c r="A573" s="172"/>
      <c r="B573" s="172"/>
      <c r="C573" s="172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  <c r="BT573" s="172"/>
      <c r="BU573" s="172"/>
      <c r="BV573" s="172"/>
      <c r="BW573" s="172"/>
      <c r="BX573" s="172"/>
      <c r="BY573" s="174"/>
      <c r="BZ573" s="172"/>
      <c r="CA573" s="172"/>
      <c r="CD573" s="194"/>
      <c r="CE573" s="194"/>
      <c r="CF573" s="194"/>
      <c r="CG573" s="194"/>
      <c r="CH573" s="195"/>
      <c r="CI573" s="194"/>
      <c r="CJ573" s="194"/>
      <c r="CK573" s="194"/>
      <c r="CL573" s="196"/>
      <c r="CM573" s="196"/>
      <c r="CN573" s="194"/>
      <c r="CO573" s="197"/>
      <c r="CP573" s="196"/>
      <c r="CQ573" s="196"/>
      <c r="CR573" s="196"/>
      <c r="CS573" s="196"/>
      <c r="CT573" s="196"/>
      <c r="CU573" s="196"/>
      <c r="CV573" s="194"/>
      <c r="CW573" s="194"/>
      <c r="CX573" s="194"/>
      <c r="CY573" s="194"/>
      <c r="CZ573" s="194"/>
      <c r="DA573" s="194"/>
      <c r="DB573" s="194"/>
      <c r="DC573" s="194"/>
      <c r="DD573" s="194"/>
      <c r="DE573" s="194"/>
      <c r="DF573" s="196"/>
      <c r="DG573" s="198"/>
      <c r="DH573" s="194"/>
      <c r="DI573" s="282"/>
      <c r="DJ573" s="282"/>
      <c r="DK573" s="282"/>
      <c r="DL573" s="282"/>
    </row>
    <row r="574" spans="1:116" s="24" customFormat="1" x14ac:dyDescent="0.3">
      <c r="A574" s="172"/>
      <c r="B574" s="172"/>
      <c r="C574" s="172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172"/>
      <c r="BV574" s="172"/>
      <c r="BW574" s="172"/>
      <c r="BX574" s="172"/>
      <c r="BY574" s="174"/>
      <c r="BZ574" s="172"/>
      <c r="CA574" s="172"/>
      <c r="CD574" s="194"/>
      <c r="CE574" s="194"/>
      <c r="CF574" s="194"/>
      <c r="CG574" s="194"/>
      <c r="CH574" s="195"/>
      <c r="CI574" s="194"/>
      <c r="CJ574" s="194"/>
      <c r="CK574" s="194"/>
      <c r="CL574" s="196"/>
      <c r="CM574" s="196"/>
      <c r="CN574" s="194"/>
      <c r="CO574" s="197"/>
      <c r="CP574" s="196"/>
      <c r="CQ574" s="196"/>
      <c r="CR574" s="196"/>
      <c r="CS574" s="196"/>
      <c r="CT574" s="196"/>
      <c r="CU574" s="196"/>
      <c r="CV574" s="194"/>
      <c r="CW574" s="194"/>
      <c r="CX574" s="194"/>
      <c r="CY574" s="194"/>
      <c r="CZ574" s="194"/>
      <c r="DA574" s="194"/>
      <c r="DB574" s="194"/>
      <c r="DC574" s="194"/>
      <c r="DD574" s="194"/>
      <c r="DE574" s="194"/>
      <c r="DF574" s="196"/>
      <c r="DG574" s="198"/>
      <c r="DH574" s="194"/>
      <c r="DI574" s="282"/>
      <c r="DJ574" s="282"/>
      <c r="DK574" s="282"/>
      <c r="DL574" s="282"/>
    </row>
    <row r="575" spans="1:116" s="24" customFormat="1" x14ac:dyDescent="0.3">
      <c r="A575" s="172"/>
      <c r="B575" s="172"/>
      <c r="C575" s="172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  <c r="BT575" s="172"/>
      <c r="BU575" s="172"/>
      <c r="BV575" s="172"/>
      <c r="BW575" s="172"/>
      <c r="BX575" s="172"/>
      <c r="BY575" s="174"/>
      <c r="BZ575" s="172"/>
      <c r="CA575" s="172"/>
      <c r="CD575" s="194"/>
      <c r="CE575" s="194"/>
      <c r="CF575" s="194"/>
      <c r="CG575" s="194"/>
      <c r="CH575" s="195"/>
      <c r="CI575" s="194"/>
      <c r="CJ575" s="194"/>
      <c r="CK575" s="194"/>
      <c r="CL575" s="196"/>
      <c r="CM575" s="196"/>
      <c r="CN575" s="194"/>
      <c r="CO575" s="197"/>
      <c r="CP575" s="196"/>
      <c r="CQ575" s="196"/>
      <c r="CR575" s="196"/>
      <c r="CS575" s="196"/>
      <c r="CT575" s="196"/>
      <c r="CU575" s="196"/>
      <c r="CV575" s="194"/>
      <c r="CW575" s="194"/>
      <c r="CX575" s="194"/>
      <c r="CY575" s="194"/>
      <c r="CZ575" s="194"/>
      <c r="DA575" s="194"/>
      <c r="DB575" s="194"/>
      <c r="DC575" s="194"/>
      <c r="DD575" s="194"/>
      <c r="DE575" s="194"/>
      <c r="DF575" s="196"/>
      <c r="DG575" s="198"/>
      <c r="DH575" s="194"/>
      <c r="DI575" s="282"/>
      <c r="DJ575" s="282"/>
      <c r="DK575" s="282"/>
      <c r="DL575" s="282"/>
    </row>
    <row r="576" spans="1:116" s="24" customFormat="1" x14ac:dyDescent="0.3">
      <c r="A576" s="172"/>
      <c r="B576" s="172"/>
      <c r="C576" s="172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  <c r="BT576" s="172"/>
      <c r="BU576" s="172"/>
      <c r="BV576" s="172"/>
      <c r="BW576" s="172"/>
      <c r="BX576" s="172"/>
      <c r="BY576" s="174"/>
      <c r="BZ576" s="172"/>
      <c r="CA576" s="172"/>
      <c r="CD576" s="194"/>
      <c r="CE576" s="194"/>
      <c r="CF576" s="194"/>
      <c r="CG576" s="194"/>
      <c r="CH576" s="195"/>
      <c r="CI576" s="194"/>
      <c r="CJ576" s="194"/>
      <c r="CK576" s="194"/>
      <c r="CL576" s="196"/>
      <c r="CM576" s="196"/>
      <c r="CN576" s="194"/>
      <c r="CO576" s="197"/>
      <c r="CP576" s="196"/>
      <c r="CQ576" s="196"/>
      <c r="CR576" s="196"/>
      <c r="CS576" s="196"/>
      <c r="CT576" s="196"/>
      <c r="CU576" s="196"/>
      <c r="CV576" s="194"/>
      <c r="CW576" s="194"/>
      <c r="CX576" s="194"/>
      <c r="CY576" s="194"/>
      <c r="CZ576" s="194"/>
      <c r="DA576" s="194"/>
      <c r="DB576" s="194"/>
      <c r="DC576" s="194"/>
      <c r="DD576" s="194"/>
      <c r="DE576" s="194"/>
      <c r="DF576" s="196"/>
      <c r="DG576" s="198"/>
      <c r="DH576" s="194"/>
      <c r="DI576" s="282"/>
      <c r="DJ576" s="282"/>
      <c r="DK576" s="282"/>
      <c r="DL576" s="282"/>
    </row>
    <row r="577" spans="1:116" s="24" customFormat="1" x14ac:dyDescent="0.3">
      <c r="A577" s="172"/>
      <c r="B577" s="172"/>
      <c r="C577" s="172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  <c r="BT577" s="172"/>
      <c r="BU577" s="172"/>
      <c r="BV577" s="172"/>
      <c r="BW577" s="172"/>
      <c r="BX577" s="172"/>
      <c r="BY577" s="174"/>
      <c r="BZ577" s="172"/>
      <c r="CA577" s="172"/>
      <c r="CD577" s="194"/>
      <c r="CE577" s="194"/>
      <c r="CF577" s="194"/>
      <c r="CG577" s="194"/>
      <c r="CH577" s="195"/>
      <c r="CI577" s="194"/>
      <c r="CJ577" s="194"/>
      <c r="CK577" s="194"/>
      <c r="CL577" s="196"/>
      <c r="CM577" s="196"/>
      <c r="CN577" s="194"/>
      <c r="CO577" s="197"/>
      <c r="CP577" s="196"/>
      <c r="CQ577" s="196"/>
      <c r="CR577" s="196"/>
      <c r="CS577" s="196"/>
      <c r="CT577" s="196"/>
      <c r="CU577" s="196"/>
      <c r="CV577" s="194"/>
      <c r="CW577" s="194"/>
      <c r="CX577" s="194"/>
      <c r="CY577" s="194"/>
      <c r="CZ577" s="194"/>
      <c r="DA577" s="194"/>
      <c r="DB577" s="194"/>
      <c r="DC577" s="194"/>
      <c r="DD577" s="194"/>
      <c r="DE577" s="194"/>
      <c r="DF577" s="196"/>
      <c r="DG577" s="198"/>
      <c r="DH577" s="194"/>
      <c r="DI577" s="282"/>
      <c r="DJ577" s="282"/>
      <c r="DK577" s="282"/>
      <c r="DL577" s="282"/>
    </row>
    <row r="578" spans="1:116" s="24" customFormat="1" x14ac:dyDescent="0.3">
      <c r="A578" s="172"/>
      <c r="B578" s="172"/>
      <c r="C578" s="172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  <c r="BT578" s="172"/>
      <c r="BU578" s="172"/>
      <c r="BV578" s="172"/>
      <c r="BW578" s="172"/>
      <c r="BX578" s="172"/>
      <c r="BY578" s="174"/>
      <c r="BZ578" s="172"/>
      <c r="CA578" s="172"/>
      <c r="CD578" s="194"/>
      <c r="CE578" s="194"/>
      <c r="CF578" s="194"/>
      <c r="CG578" s="194"/>
      <c r="CH578" s="195"/>
      <c r="CI578" s="194"/>
      <c r="CJ578" s="194"/>
      <c r="CK578" s="194"/>
      <c r="CL578" s="196"/>
      <c r="CM578" s="196"/>
      <c r="CN578" s="194"/>
      <c r="CO578" s="197"/>
      <c r="CP578" s="196"/>
      <c r="CQ578" s="196"/>
      <c r="CR578" s="196"/>
      <c r="CS578" s="196"/>
      <c r="CT578" s="196"/>
      <c r="CU578" s="196"/>
      <c r="CV578" s="194"/>
      <c r="CW578" s="194"/>
      <c r="CX578" s="194"/>
      <c r="CY578" s="194"/>
      <c r="CZ578" s="194"/>
      <c r="DA578" s="194"/>
      <c r="DB578" s="194"/>
      <c r="DC578" s="194"/>
      <c r="DD578" s="194"/>
      <c r="DE578" s="194"/>
      <c r="DF578" s="196"/>
      <c r="DG578" s="198"/>
      <c r="DH578" s="194"/>
      <c r="DI578" s="282"/>
      <c r="DJ578" s="282"/>
      <c r="DK578" s="282"/>
      <c r="DL578" s="282"/>
    </row>
    <row r="579" spans="1:116" s="24" customFormat="1" x14ac:dyDescent="0.3">
      <c r="A579" s="172"/>
      <c r="B579" s="172"/>
      <c r="C579" s="172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  <c r="BT579" s="172"/>
      <c r="BU579" s="172"/>
      <c r="BV579" s="172"/>
      <c r="BW579" s="172"/>
      <c r="BX579" s="172"/>
      <c r="BY579" s="174"/>
      <c r="BZ579" s="172"/>
      <c r="CA579" s="172"/>
      <c r="CD579" s="194"/>
      <c r="CE579" s="194"/>
      <c r="CF579" s="194"/>
      <c r="CG579" s="194"/>
      <c r="CH579" s="195"/>
      <c r="CI579" s="194"/>
      <c r="CJ579" s="194"/>
      <c r="CK579" s="194"/>
      <c r="CL579" s="196"/>
      <c r="CM579" s="196"/>
      <c r="CN579" s="194"/>
      <c r="CO579" s="197"/>
      <c r="CP579" s="196"/>
      <c r="CQ579" s="196"/>
      <c r="CR579" s="196"/>
      <c r="CS579" s="196"/>
      <c r="CT579" s="196"/>
      <c r="CU579" s="196"/>
      <c r="CV579" s="194"/>
      <c r="CW579" s="194"/>
      <c r="CX579" s="194"/>
      <c r="CY579" s="194"/>
      <c r="CZ579" s="194"/>
      <c r="DA579" s="194"/>
      <c r="DB579" s="194"/>
      <c r="DC579" s="194"/>
      <c r="DD579" s="194"/>
      <c r="DE579" s="194"/>
      <c r="DF579" s="196"/>
      <c r="DG579" s="198"/>
      <c r="DH579" s="194"/>
      <c r="DI579" s="282"/>
      <c r="DJ579" s="282"/>
      <c r="DK579" s="282"/>
      <c r="DL579" s="282"/>
    </row>
    <row r="580" spans="1:116" s="24" customFormat="1" x14ac:dyDescent="0.3">
      <c r="A580" s="172"/>
      <c r="B580" s="172"/>
      <c r="C580" s="172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  <c r="BT580" s="172"/>
      <c r="BU580" s="172"/>
      <c r="BV580" s="172"/>
      <c r="BW580" s="172"/>
      <c r="BX580" s="172"/>
      <c r="BY580" s="174"/>
      <c r="BZ580" s="172"/>
      <c r="CA580" s="172"/>
      <c r="CD580" s="194"/>
      <c r="CE580" s="194"/>
      <c r="CF580" s="194"/>
      <c r="CG580" s="194"/>
      <c r="CH580" s="195"/>
      <c r="CI580" s="194"/>
      <c r="CJ580" s="194"/>
      <c r="CK580" s="194"/>
      <c r="CL580" s="196"/>
      <c r="CM580" s="196"/>
      <c r="CN580" s="194"/>
      <c r="CO580" s="197"/>
      <c r="CP580" s="196"/>
      <c r="CQ580" s="196"/>
      <c r="CR580" s="196"/>
      <c r="CS580" s="196"/>
      <c r="CT580" s="196"/>
      <c r="CU580" s="196"/>
      <c r="CV580" s="194"/>
      <c r="CW580" s="194"/>
      <c r="CX580" s="194"/>
      <c r="CY580" s="194"/>
      <c r="CZ580" s="194"/>
      <c r="DA580" s="194"/>
      <c r="DB580" s="194"/>
      <c r="DC580" s="194"/>
      <c r="DD580" s="194"/>
      <c r="DE580" s="194"/>
      <c r="DF580" s="196"/>
      <c r="DG580" s="198"/>
      <c r="DH580" s="194"/>
      <c r="DI580" s="282"/>
      <c r="DJ580" s="282"/>
      <c r="DK580" s="282"/>
      <c r="DL580" s="282"/>
    </row>
    <row r="581" spans="1:116" s="24" customFormat="1" x14ac:dyDescent="0.3">
      <c r="A581" s="172"/>
      <c r="B581" s="172"/>
      <c r="C581" s="172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2"/>
      <c r="AT581" s="172"/>
      <c r="AU581" s="172"/>
      <c r="AV581" s="172"/>
      <c r="AW581" s="172"/>
      <c r="AX581" s="172"/>
      <c r="AY581" s="172"/>
      <c r="AZ581" s="172"/>
      <c r="BA581" s="172"/>
      <c r="BB581" s="172"/>
      <c r="BC581" s="172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  <c r="BT581" s="172"/>
      <c r="BU581" s="172"/>
      <c r="BV581" s="172"/>
      <c r="BW581" s="172"/>
      <c r="BX581" s="172"/>
      <c r="BY581" s="174"/>
      <c r="BZ581" s="172"/>
      <c r="CA581" s="172"/>
      <c r="CD581" s="194"/>
      <c r="CE581" s="194"/>
      <c r="CF581" s="194"/>
      <c r="CG581" s="194"/>
      <c r="CH581" s="195"/>
      <c r="CI581" s="194"/>
      <c r="CJ581" s="194"/>
      <c r="CK581" s="194"/>
      <c r="CL581" s="196"/>
      <c r="CM581" s="196"/>
      <c r="CN581" s="194"/>
      <c r="CO581" s="197"/>
      <c r="CP581" s="196"/>
      <c r="CQ581" s="196"/>
      <c r="CR581" s="196"/>
      <c r="CS581" s="196"/>
      <c r="CT581" s="196"/>
      <c r="CU581" s="196"/>
      <c r="CV581" s="194"/>
      <c r="CW581" s="194"/>
      <c r="CX581" s="194"/>
      <c r="CY581" s="194"/>
      <c r="CZ581" s="194"/>
      <c r="DA581" s="194"/>
      <c r="DB581" s="194"/>
      <c r="DC581" s="194"/>
      <c r="DD581" s="194"/>
      <c r="DE581" s="194"/>
      <c r="DF581" s="196"/>
      <c r="DG581" s="198"/>
      <c r="DH581" s="194"/>
      <c r="DI581" s="282"/>
      <c r="DJ581" s="282"/>
      <c r="DK581" s="282"/>
      <c r="DL581" s="282"/>
    </row>
    <row r="582" spans="1:116" s="24" customFormat="1" x14ac:dyDescent="0.3">
      <c r="A582" s="172"/>
      <c r="B582" s="172"/>
      <c r="C582" s="172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  <c r="BT582" s="172"/>
      <c r="BU582" s="172"/>
      <c r="BV582" s="172"/>
      <c r="BW582" s="172"/>
      <c r="BX582" s="172"/>
      <c r="BY582" s="174"/>
      <c r="BZ582" s="172"/>
      <c r="CA582" s="172"/>
      <c r="CD582" s="194"/>
      <c r="CE582" s="194"/>
      <c r="CF582" s="194"/>
      <c r="CG582" s="194"/>
      <c r="CH582" s="195"/>
      <c r="CI582" s="194"/>
      <c r="CJ582" s="194"/>
      <c r="CK582" s="194"/>
      <c r="CL582" s="196"/>
      <c r="CM582" s="196"/>
      <c r="CN582" s="194"/>
      <c r="CO582" s="197"/>
      <c r="CP582" s="196"/>
      <c r="CQ582" s="196"/>
      <c r="CR582" s="196"/>
      <c r="CS582" s="196"/>
      <c r="CT582" s="196"/>
      <c r="CU582" s="196"/>
      <c r="CV582" s="194"/>
      <c r="CW582" s="194"/>
      <c r="CX582" s="194"/>
      <c r="CY582" s="194"/>
      <c r="CZ582" s="194"/>
      <c r="DA582" s="194"/>
      <c r="DB582" s="194"/>
      <c r="DC582" s="194"/>
      <c r="DD582" s="194"/>
      <c r="DE582" s="194"/>
      <c r="DF582" s="196"/>
      <c r="DG582" s="198"/>
      <c r="DH582" s="194"/>
      <c r="DI582" s="282"/>
      <c r="DJ582" s="282"/>
      <c r="DK582" s="282"/>
      <c r="DL582" s="282"/>
    </row>
    <row r="583" spans="1:116" s="24" customFormat="1" x14ac:dyDescent="0.3">
      <c r="A583" s="172"/>
      <c r="B583" s="172"/>
      <c r="C583" s="172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  <c r="BT583" s="172"/>
      <c r="BU583" s="172"/>
      <c r="BV583" s="172"/>
      <c r="BW583" s="172"/>
      <c r="BX583" s="172"/>
      <c r="BY583" s="174"/>
      <c r="BZ583" s="172"/>
      <c r="CA583" s="172"/>
      <c r="CD583" s="194"/>
      <c r="CE583" s="194"/>
      <c r="CF583" s="194"/>
      <c r="CG583" s="194"/>
      <c r="CH583" s="195"/>
      <c r="CI583" s="194"/>
      <c r="CJ583" s="194"/>
      <c r="CK583" s="194"/>
      <c r="CL583" s="196"/>
      <c r="CM583" s="196"/>
      <c r="CN583" s="194"/>
      <c r="CO583" s="197"/>
      <c r="CP583" s="196"/>
      <c r="CQ583" s="196"/>
      <c r="CR583" s="196"/>
      <c r="CS583" s="196"/>
      <c r="CT583" s="196"/>
      <c r="CU583" s="196"/>
      <c r="CV583" s="194"/>
      <c r="CW583" s="194"/>
      <c r="CX583" s="194"/>
      <c r="CY583" s="194"/>
      <c r="CZ583" s="194"/>
      <c r="DA583" s="194"/>
      <c r="DB583" s="194"/>
      <c r="DC583" s="194"/>
      <c r="DD583" s="194"/>
      <c r="DE583" s="194"/>
      <c r="DF583" s="196"/>
      <c r="DG583" s="198"/>
      <c r="DH583" s="194"/>
      <c r="DI583" s="282"/>
      <c r="DJ583" s="282"/>
      <c r="DK583" s="282"/>
      <c r="DL583" s="282"/>
    </row>
    <row r="584" spans="1:116" s="24" customFormat="1" x14ac:dyDescent="0.3">
      <c r="A584" s="172"/>
      <c r="B584" s="172"/>
      <c r="C584" s="172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  <c r="BT584" s="172"/>
      <c r="BU584" s="172"/>
      <c r="BV584" s="172"/>
      <c r="BW584" s="172"/>
      <c r="BX584" s="172"/>
      <c r="BY584" s="174"/>
      <c r="BZ584" s="172"/>
      <c r="CA584" s="172"/>
      <c r="CD584" s="194"/>
      <c r="CE584" s="194"/>
      <c r="CF584" s="194"/>
      <c r="CG584" s="194"/>
      <c r="CH584" s="195"/>
      <c r="CI584" s="194"/>
      <c r="CJ584" s="194"/>
      <c r="CK584" s="194"/>
      <c r="CL584" s="196"/>
      <c r="CM584" s="196"/>
      <c r="CN584" s="194"/>
      <c r="CO584" s="197"/>
      <c r="CP584" s="196"/>
      <c r="CQ584" s="196"/>
      <c r="CR584" s="196"/>
      <c r="CS584" s="196"/>
      <c r="CT584" s="196"/>
      <c r="CU584" s="196"/>
      <c r="CV584" s="194"/>
      <c r="CW584" s="194"/>
      <c r="CX584" s="194"/>
      <c r="CY584" s="194"/>
      <c r="CZ584" s="194"/>
      <c r="DA584" s="194"/>
      <c r="DB584" s="194"/>
      <c r="DC584" s="194"/>
      <c r="DD584" s="194"/>
      <c r="DE584" s="194"/>
      <c r="DF584" s="196"/>
      <c r="DG584" s="198"/>
      <c r="DH584" s="194"/>
      <c r="DI584" s="282"/>
      <c r="DJ584" s="282"/>
      <c r="DK584" s="282"/>
      <c r="DL584" s="282"/>
    </row>
    <row r="585" spans="1:116" s="24" customFormat="1" x14ac:dyDescent="0.3">
      <c r="A585" s="172"/>
      <c r="B585" s="172"/>
      <c r="C585" s="172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  <c r="BT585" s="172"/>
      <c r="BU585" s="172"/>
      <c r="BV585" s="172"/>
      <c r="BW585" s="172"/>
      <c r="BX585" s="172"/>
      <c r="BY585" s="174"/>
      <c r="BZ585" s="172"/>
      <c r="CA585" s="172"/>
      <c r="CD585" s="194"/>
      <c r="CE585" s="194"/>
      <c r="CF585" s="194"/>
      <c r="CG585" s="194"/>
      <c r="CH585" s="195"/>
      <c r="CI585" s="194"/>
      <c r="CJ585" s="194"/>
      <c r="CK585" s="194"/>
      <c r="CL585" s="196"/>
      <c r="CM585" s="196"/>
      <c r="CN585" s="194"/>
      <c r="CO585" s="197"/>
      <c r="CP585" s="196"/>
      <c r="CQ585" s="196"/>
      <c r="CR585" s="196"/>
      <c r="CS585" s="196"/>
      <c r="CT585" s="196"/>
      <c r="CU585" s="196"/>
      <c r="CV585" s="194"/>
      <c r="CW585" s="194"/>
      <c r="CX585" s="194"/>
      <c r="CY585" s="194"/>
      <c r="CZ585" s="194"/>
      <c r="DA585" s="194"/>
      <c r="DB585" s="194"/>
      <c r="DC585" s="194"/>
      <c r="DD585" s="194"/>
      <c r="DE585" s="194"/>
      <c r="DF585" s="196"/>
      <c r="DG585" s="198"/>
      <c r="DH585" s="194"/>
      <c r="DI585" s="282"/>
      <c r="DJ585" s="282"/>
      <c r="DK585" s="282"/>
      <c r="DL585" s="282"/>
    </row>
    <row r="586" spans="1:116" s="24" customFormat="1" x14ac:dyDescent="0.3">
      <c r="A586" s="172"/>
      <c r="B586" s="172"/>
      <c r="C586" s="172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172"/>
      <c r="BV586" s="172"/>
      <c r="BW586" s="172"/>
      <c r="BX586" s="172"/>
      <c r="BY586" s="174"/>
      <c r="BZ586" s="172"/>
      <c r="CA586" s="172"/>
      <c r="CD586" s="194"/>
      <c r="CE586" s="194"/>
      <c r="CF586" s="194"/>
      <c r="CG586" s="194"/>
      <c r="CH586" s="195"/>
      <c r="CI586" s="194"/>
      <c r="CJ586" s="194"/>
      <c r="CK586" s="194"/>
      <c r="CL586" s="196"/>
      <c r="CM586" s="196"/>
      <c r="CN586" s="194"/>
      <c r="CO586" s="197"/>
      <c r="CP586" s="196"/>
      <c r="CQ586" s="196"/>
      <c r="CR586" s="196"/>
      <c r="CS586" s="196"/>
      <c r="CT586" s="196"/>
      <c r="CU586" s="196"/>
      <c r="CV586" s="194"/>
      <c r="CW586" s="194"/>
      <c r="CX586" s="194"/>
      <c r="CY586" s="194"/>
      <c r="CZ586" s="194"/>
      <c r="DA586" s="194"/>
      <c r="DB586" s="194"/>
      <c r="DC586" s="194"/>
      <c r="DD586" s="194"/>
      <c r="DE586" s="194"/>
      <c r="DF586" s="196"/>
      <c r="DG586" s="198"/>
      <c r="DH586" s="194"/>
      <c r="DI586" s="282"/>
      <c r="DJ586" s="282"/>
      <c r="DK586" s="282"/>
      <c r="DL586" s="282"/>
    </row>
    <row r="587" spans="1:116" s="24" customFormat="1" x14ac:dyDescent="0.3">
      <c r="A587" s="172"/>
      <c r="B587" s="172"/>
      <c r="C587" s="172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  <c r="BT587" s="172"/>
      <c r="BU587" s="172"/>
      <c r="BV587" s="172"/>
      <c r="BW587" s="172"/>
      <c r="BX587" s="172"/>
      <c r="BY587" s="174"/>
      <c r="BZ587" s="172"/>
      <c r="CA587" s="172"/>
      <c r="CD587" s="194"/>
      <c r="CE587" s="194"/>
      <c r="CF587" s="194"/>
      <c r="CG587" s="194"/>
      <c r="CH587" s="195"/>
      <c r="CI587" s="194"/>
      <c r="CJ587" s="194"/>
      <c r="CK587" s="194"/>
      <c r="CL587" s="196"/>
      <c r="CM587" s="196"/>
      <c r="CN587" s="194"/>
      <c r="CO587" s="197"/>
      <c r="CP587" s="196"/>
      <c r="CQ587" s="196"/>
      <c r="CR587" s="196"/>
      <c r="CS587" s="196"/>
      <c r="CT587" s="196"/>
      <c r="CU587" s="196"/>
      <c r="CV587" s="194"/>
      <c r="CW587" s="194"/>
      <c r="CX587" s="194"/>
      <c r="CY587" s="194"/>
      <c r="CZ587" s="194"/>
      <c r="DA587" s="194"/>
      <c r="DB587" s="194"/>
      <c r="DC587" s="194"/>
      <c r="DD587" s="194"/>
      <c r="DE587" s="194"/>
      <c r="DF587" s="196"/>
      <c r="DG587" s="198"/>
      <c r="DH587" s="194"/>
      <c r="DI587" s="282"/>
      <c r="DJ587" s="282"/>
      <c r="DK587" s="282"/>
      <c r="DL587" s="282"/>
    </row>
    <row r="588" spans="1:116" s="24" customFormat="1" x14ac:dyDescent="0.3">
      <c r="A588" s="172"/>
      <c r="B588" s="172"/>
      <c r="C588" s="172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  <c r="BT588" s="172"/>
      <c r="BU588" s="172"/>
      <c r="BV588" s="172"/>
      <c r="BW588" s="172"/>
      <c r="BX588" s="172"/>
      <c r="BY588" s="174"/>
      <c r="BZ588" s="172"/>
      <c r="CA588" s="172"/>
      <c r="CD588" s="194"/>
      <c r="CE588" s="194"/>
      <c r="CF588" s="194"/>
      <c r="CG588" s="194"/>
      <c r="CH588" s="195"/>
      <c r="CI588" s="194"/>
      <c r="CJ588" s="194"/>
      <c r="CK588" s="194"/>
      <c r="CL588" s="196"/>
      <c r="CM588" s="196"/>
      <c r="CN588" s="194"/>
      <c r="CO588" s="197"/>
      <c r="CP588" s="196"/>
      <c r="CQ588" s="196"/>
      <c r="CR588" s="196"/>
      <c r="CS588" s="196"/>
      <c r="CT588" s="196"/>
      <c r="CU588" s="196"/>
      <c r="CV588" s="194"/>
      <c r="CW588" s="194"/>
      <c r="CX588" s="194"/>
      <c r="CY588" s="194"/>
      <c r="CZ588" s="194"/>
      <c r="DA588" s="194"/>
      <c r="DB588" s="194"/>
      <c r="DC588" s="194"/>
      <c r="DD588" s="194"/>
      <c r="DE588" s="194"/>
      <c r="DF588" s="196"/>
      <c r="DG588" s="198"/>
      <c r="DH588" s="194"/>
      <c r="DI588" s="282"/>
      <c r="DJ588" s="282"/>
      <c r="DK588" s="282"/>
      <c r="DL588" s="282"/>
    </row>
    <row r="589" spans="1:116" s="24" customFormat="1" x14ac:dyDescent="0.3">
      <c r="A589" s="172"/>
      <c r="B589" s="172"/>
      <c r="C589" s="172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  <c r="BT589" s="172"/>
      <c r="BU589" s="172"/>
      <c r="BV589" s="172"/>
      <c r="BW589" s="172"/>
      <c r="BX589" s="172"/>
      <c r="BY589" s="174"/>
      <c r="BZ589" s="172"/>
      <c r="CA589" s="172"/>
      <c r="CD589" s="194"/>
      <c r="CE589" s="194"/>
      <c r="CF589" s="194"/>
      <c r="CG589" s="194"/>
      <c r="CH589" s="195"/>
      <c r="CI589" s="194"/>
      <c r="CJ589" s="194"/>
      <c r="CK589" s="194"/>
      <c r="CL589" s="196"/>
      <c r="CM589" s="196"/>
      <c r="CN589" s="194"/>
      <c r="CO589" s="197"/>
      <c r="CP589" s="196"/>
      <c r="CQ589" s="196"/>
      <c r="CR589" s="196"/>
      <c r="CS589" s="196"/>
      <c r="CT589" s="196"/>
      <c r="CU589" s="196"/>
      <c r="CV589" s="194"/>
      <c r="CW589" s="194"/>
      <c r="CX589" s="194"/>
      <c r="CY589" s="194"/>
      <c r="CZ589" s="194"/>
      <c r="DA589" s="194"/>
      <c r="DB589" s="194"/>
      <c r="DC589" s="194"/>
      <c r="DD589" s="194"/>
      <c r="DE589" s="194"/>
      <c r="DF589" s="196"/>
      <c r="DG589" s="198"/>
      <c r="DH589" s="194"/>
      <c r="DI589" s="282"/>
      <c r="DJ589" s="282"/>
      <c r="DK589" s="282"/>
      <c r="DL589" s="282"/>
    </row>
    <row r="590" spans="1:116" s="24" customFormat="1" x14ac:dyDescent="0.3">
      <c r="A590" s="172"/>
      <c r="B590" s="172"/>
      <c r="C590" s="172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  <c r="BT590" s="172"/>
      <c r="BU590" s="172"/>
      <c r="BV590" s="172"/>
      <c r="BW590" s="172"/>
      <c r="BX590" s="172"/>
      <c r="BY590" s="174"/>
      <c r="BZ590" s="172"/>
      <c r="CA590" s="172"/>
      <c r="CD590" s="194"/>
      <c r="CE590" s="194"/>
      <c r="CF590" s="194"/>
      <c r="CG590" s="194"/>
      <c r="CH590" s="195"/>
      <c r="CI590" s="194"/>
      <c r="CJ590" s="194"/>
      <c r="CK590" s="194"/>
      <c r="CL590" s="196"/>
      <c r="CM590" s="196"/>
      <c r="CN590" s="194"/>
      <c r="CO590" s="197"/>
      <c r="CP590" s="196"/>
      <c r="CQ590" s="196"/>
      <c r="CR590" s="196"/>
      <c r="CS590" s="196"/>
      <c r="CT590" s="196"/>
      <c r="CU590" s="196"/>
      <c r="CV590" s="194"/>
      <c r="CW590" s="194"/>
      <c r="CX590" s="194"/>
      <c r="CY590" s="194"/>
      <c r="CZ590" s="194"/>
      <c r="DA590" s="194"/>
      <c r="DB590" s="194"/>
      <c r="DC590" s="194"/>
      <c r="DD590" s="194"/>
      <c r="DE590" s="194"/>
      <c r="DF590" s="196"/>
      <c r="DG590" s="198"/>
      <c r="DH590" s="194"/>
      <c r="DI590" s="282"/>
      <c r="DJ590" s="282"/>
      <c r="DK590" s="282"/>
      <c r="DL590" s="282"/>
    </row>
    <row r="591" spans="1:116" s="24" customFormat="1" x14ac:dyDescent="0.3">
      <c r="A591" s="172"/>
      <c r="B591" s="172"/>
      <c r="C591" s="172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  <c r="BT591" s="172"/>
      <c r="BU591" s="172"/>
      <c r="BV591" s="172"/>
      <c r="BW591" s="172"/>
      <c r="BX591" s="172"/>
      <c r="BY591" s="174"/>
      <c r="BZ591" s="172"/>
      <c r="CA591" s="172"/>
      <c r="CD591" s="194"/>
      <c r="CE591" s="194"/>
      <c r="CF591" s="194"/>
      <c r="CG591" s="194"/>
      <c r="CH591" s="195"/>
      <c r="CI591" s="194"/>
      <c r="CJ591" s="194"/>
      <c r="CK591" s="194"/>
      <c r="CL591" s="196"/>
      <c r="CM591" s="196"/>
      <c r="CN591" s="194"/>
      <c r="CO591" s="197"/>
      <c r="CP591" s="196"/>
      <c r="CQ591" s="196"/>
      <c r="CR591" s="196"/>
      <c r="CS591" s="196"/>
      <c r="CT591" s="196"/>
      <c r="CU591" s="196"/>
      <c r="CV591" s="194"/>
      <c r="CW591" s="194"/>
      <c r="CX591" s="194"/>
      <c r="CY591" s="194"/>
      <c r="CZ591" s="194"/>
      <c r="DA591" s="194"/>
      <c r="DB591" s="194"/>
      <c r="DC591" s="194"/>
      <c r="DD591" s="194"/>
      <c r="DE591" s="194"/>
      <c r="DF591" s="196"/>
      <c r="DG591" s="198"/>
      <c r="DH591" s="194"/>
      <c r="DI591" s="282"/>
      <c r="DJ591" s="282"/>
      <c r="DK591" s="282"/>
      <c r="DL591" s="282"/>
    </row>
    <row r="592" spans="1:116" s="24" customFormat="1" x14ac:dyDescent="0.3">
      <c r="A592" s="172"/>
      <c r="B592" s="172"/>
      <c r="C592" s="172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  <c r="BT592" s="172"/>
      <c r="BU592" s="172"/>
      <c r="BV592" s="172"/>
      <c r="BW592" s="172"/>
      <c r="BX592" s="172"/>
      <c r="BY592" s="174"/>
      <c r="BZ592" s="172"/>
      <c r="CA592" s="172"/>
      <c r="CD592" s="194"/>
      <c r="CE592" s="194"/>
      <c r="CF592" s="194"/>
      <c r="CG592" s="194"/>
      <c r="CH592" s="195"/>
      <c r="CI592" s="194"/>
      <c r="CJ592" s="194"/>
      <c r="CK592" s="194"/>
      <c r="CL592" s="196"/>
      <c r="CM592" s="196"/>
      <c r="CN592" s="194"/>
      <c r="CO592" s="197"/>
      <c r="CP592" s="196"/>
      <c r="CQ592" s="196"/>
      <c r="CR592" s="196"/>
      <c r="CS592" s="196"/>
      <c r="CT592" s="196"/>
      <c r="CU592" s="196"/>
      <c r="CV592" s="194"/>
      <c r="CW592" s="194"/>
      <c r="CX592" s="194"/>
      <c r="CY592" s="194"/>
      <c r="CZ592" s="194"/>
      <c r="DA592" s="194"/>
      <c r="DB592" s="194"/>
      <c r="DC592" s="194"/>
      <c r="DD592" s="194"/>
      <c r="DE592" s="194"/>
      <c r="DF592" s="196"/>
      <c r="DG592" s="198"/>
      <c r="DH592" s="194"/>
      <c r="DI592" s="282"/>
      <c r="DJ592" s="282"/>
      <c r="DK592" s="282"/>
      <c r="DL592" s="282"/>
    </row>
    <row r="593" spans="1:116" s="24" customFormat="1" x14ac:dyDescent="0.3">
      <c r="A593" s="172"/>
      <c r="B593" s="172"/>
      <c r="C593" s="172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  <c r="BT593" s="172"/>
      <c r="BU593" s="172"/>
      <c r="BV593" s="172"/>
      <c r="BW593" s="172"/>
      <c r="BX593" s="172"/>
      <c r="BY593" s="174"/>
      <c r="BZ593" s="172"/>
      <c r="CA593" s="172"/>
      <c r="CD593" s="194"/>
      <c r="CE593" s="194"/>
      <c r="CF593" s="194"/>
      <c r="CG593" s="194"/>
      <c r="CH593" s="195"/>
      <c r="CI593" s="194"/>
      <c r="CJ593" s="194"/>
      <c r="CK593" s="194"/>
      <c r="CL593" s="196"/>
      <c r="CM593" s="196"/>
      <c r="CN593" s="194"/>
      <c r="CO593" s="197"/>
      <c r="CP593" s="196"/>
      <c r="CQ593" s="196"/>
      <c r="CR593" s="196"/>
      <c r="CS593" s="196"/>
      <c r="CT593" s="196"/>
      <c r="CU593" s="196"/>
      <c r="CV593" s="194"/>
      <c r="CW593" s="194"/>
      <c r="CX593" s="194"/>
      <c r="CY593" s="194"/>
      <c r="CZ593" s="194"/>
      <c r="DA593" s="194"/>
      <c r="DB593" s="194"/>
      <c r="DC593" s="194"/>
      <c r="DD593" s="194"/>
      <c r="DE593" s="194"/>
      <c r="DF593" s="196"/>
      <c r="DG593" s="198"/>
      <c r="DH593" s="194"/>
      <c r="DI593" s="282"/>
      <c r="DJ593" s="282"/>
      <c r="DK593" s="282"/>
      <c r="DL593" s="282"/>
    </row>
    <row r="594" spans="1:116" s="24" customFormat="1" x14ac:dyDescent="0.3">
      <c r="A594" s="172"/>
      <c r="B594" s="172"/>
      <c r="C594" s="172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  <c r="BT594" s="172"/>
      <c r="BU594" s="172"/>
      <c r="BV594" s="172"/>
      <c r="BW594" s="172"/>
      <c r="BX594" s="172"/>
      <c r="BY594" s="174"/>
      <c r="BZ594" s="172"/>
      <c r="CA594" s="172"/>
      <c r="CD594" s="194"/>
      <c r="CE594" s="194"/>
      <c r="CF594" s="194"/>
      <c r="CG594" s="194"/>
      <c r="CH594" s="195"/>
      <c r="CI594" s="194"/>
      <c r="CJ594" s="194"/>
      <c r="CK594" s="194"/>
      <c r="CL594" s="196"/>
      <c r="CM594" s="196"/>
      <c r="CN594" s="194"/>
      <c r="CO594" s="197"/>
      <c r="CP594" s="196"/>
      <c r="CQ594" s="196"/>
      <c r="CR594" s="196"/>
      <c r="CS594" s="196"/>
      <c r="CT594" s="196"/>
      <c r="CU594" s="196"/>
      <c r="CV594" s="194"/>
      <c r="CW594" s="194"/>
      <c r="CX594" s="194"/>
      <c r="CY594" s="194"/>
      <c r="CZ594" s="194"/>
      <c r="DA594" s="194"/>
      <c r="DB594" s="194"/>
      <c r="DC594" s="194"/>
      <c r="DD594" s="194"/>
      <c r="DE594" s="194"/>
      <c r="DF594" s="196"/>
      <c r="DG594" s="198"/>
      <c r="DH594" s="194"/>
      <c r="DI594" s="282"/>
      <c r="DJ594" s="282"/>
      <c r="DK594" s="282"/>
      <c r="DL594" s="282"/>
    </row>
    <row r="595" spans="1:116" s="24" customFormat="1" x14ac:dyDescent="0.3">
      <c r="A595" s="172"/>
      <c r="B595" s="172"/>
      <c r="C595" s="172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  <c r="BT595" s="172"/>
      <c r="BU595" s="172"/>
      <c r="BV595" s="172"/>
      <c r="BW595" s="172"/>
      <c r="BX595" s="172"/>
      <c r="BY595" s="174"/>
      <c r="BZ595" s="172"/>
      <c r="CA595" s="172"/>
      <c r="CD595" s="194"/>
      <c r="CE595" s="194"/>
      <c r="CF595" s="194"/>
      <c r="CG595" s="194"/>
      <c r="CH595" s="195"/>
      <c r="CI595" s="194"/>
      <c r="CJ595" s="194"/>
      <c r="CK595" s="194"/>
      <c r="CL595" s="196"/>
      <c r="CM595" s="196"/>
      <c r="CN595" s="194"/>
      <c r="CO595" s="197"/>
      <c r="CP595" s="196"/>
      <c r="CQ595" s="196"/>
      <c r="CR595" s="196"/>
      <c r="CS595" s="196"/>
      <c r="CT595" s="196"/>
      <c r="CU595" s="196"/>
      <c r="CV595" s="194"/>
      <c r="CW595" s="194"/>
      <c r="CX595" s="194"/>
      <c r="CY595" s="194"/>
      <c r="CZ595" s="194"/>
      <c r="DA595" s="194"/>
      <c r="DB595" s="194"/>
      <c r="DC595" s="194"/>
      <c r="DD595" s="194"/>
      <c r="DE595" s="194"/>
      <c r="DF595" s="196"/>
      <c r="DG595" s="198"/>
      <c r="DH595" s="194"/>
      <c r="DI595" s="282"/>
      <c r="DJ595" s="282"/>
      <c r="DK595" s="282"/>
      <c r="DL595" s="282"/>
    </row>
    <row r="596" spans="1:116" s="24" customFormat="1" x14ac:dyDescent="0.3">
      <c r="A596" s="172"/>
      <c r="B596" s="172"/>
      <c r="C596" s="172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  <c r="BT596" s="172"/>
      <c r="BU596" s="172"/>
      <c r="BV596" s="172"/>
      <c r="BW596" s="172"/>
      <c r="BX596" s="172"/>
      <c r="BY596" s="174"/>
      <c r="BZ596" s="172"/>
      <c r="CA596" s="172"/>
      <c r="CD596" s="194"/>
      <c r="CE596" s="194"/>
      <c r="CF596" s="194"/>
      <c r="CG596" s="194"/>
      <c r="CH596" s="195"/>
      <c r="CI596" s="194"/>
      <c r="CJ596" s="194"/>
      <c r="CK596" s="194"/>
      <c r="CL596" s="196"/>
      <c r="CM596" s="196"/>
      <c r="CN596" s="194"/>
      <c r="CO596" s="197"/>
      <c r="CP596" s="196"/>
      <c r="CQ596" s="196"/>
      <c r="CR596" s="196"/>
      <c r="CS596" s="196"/>
      <c r="CT596" s="196"/>
      <c r="CU596" s="196"/>
      <c r="CV596" s="194"/>
      <c r="CW596" s="194"/>
      <c r="CX596" s="194"/>
      <c r="CY596" s="194"/>
      <c r="CZ596" s="194"/>
      <c r="DA596" s="194"/>
      <c r="DB596" s="194"/>
      <c r="DC596" s="194"/>
      <c r="DD596" s="194"/>
      <c r="DE596" s="194"/>
      <c r="DF596" s="196"/>
      <c r="DG596" s="198"/>
      <c r="DH596" s="194"/>
      <c r="DI596" s="282"/>
      <c r="DJ596" s="282"/>
      <c r="DK596" s="282"/>
      <c r="DL596" s="282"/>
    </row>
    <row r="597" spans="1:116" s="24" customFormat="1" x14ac:dyDescent="0.3">
      <c r="A597" s="172"/>
      <c r="B597" s="172"/>
      <c r="C597" s="172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  <c r="BT597" s="172"/>
      <c r="BU597" s="172"/>
      <c r="BV597" s="172"/>
      <c r="BW597" s="172"/>
      <c r="BX597" s="172"/>
      <c r="BY597" s="174"/>
      <c r="BZ597" s="172"/>
      <c r="CA597" s="172"/>
      <c r="CD597" s="194"/>
      <c r="CE597" s="194"/>
      <c r="CF597" s="194"/>
      <c r="CG597" s="194"/>
      <c r="CH597" s="195"/>
      <c r="CI597" s="194"/>
      <c r="CJ597" s="194"/>
      <c r="CK597" s="194"/>
      <c r="CL597" s="196"/>
      <c r="CM597" s="196"/>
      <c r="CN597" s="194"/>
      <c r="CO597" s="197"/>
      <c r="CP597" s="196"/>
      <c r="CQ597" s="196"/>
      <c r="CR597" s="196"/>
      <c r="CS597" s="196"/>
      <c r="CT597" s="196"/>
      <c r="CU597" s="196"/>
      <c r="CV597" s="194"/>
      <c r="CW597" s="194"/>
      <c r="CX597" s="194"/>
      <c r="CY597" s="194"/>
      <c r="CZ597" s="194"/>
      <c r="DA597" s="194"/>
      <c r="DB597" s="194"/>
      <c r="DC597" s="194"/>
      <c r="DD597" s="194"/>
      <c r="DE597" s="194"/>
      <c r="DF597" s="196"/>
      <c r="DG597" s="198"/>
      <c r="DH597" s="194"/>
      <c r="DI597" s="282"/>
      <c r="DJ597" s="282"/>
      <c r="DK597" s="282"/>
      <c r="DL597" s="282"/>
    </row>
    <row r="598" spans="1:116" s="24" customFormat="1" x14ac:dyDescent="0.3">
      <c r="A598" s="172"/>
      <c r="B598" s="172"/>
      <c r="C598" s="172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  <c r="BT598" s="172"/>
      <c r="BU598" s="172"/>
      <c r="BV598" s="172"/>
      <c r="BW598" s="172"/>
      <c r="BX598" s="172"/>
      <c r="BY598" s="174"/>
      <c r="BZ598" s="172"/>
      <c r="CA598" s="172"/>
      <c r="CD598" s="194"/>
      <c r="CE598" s="194"/>
      <c r="CF598" s="194"/>
      <c r="CG598" s="194"/>
      <c r="CH598" s="195"/>
      <c r="CI598" s="194"/>
      <c r="CJ598" s="194"/>
      <c r="CK598" s="194"/>
      <c r="CL598" s="196"/>
      <c r="CM598" s="196"/>
      <c r="CN598" s="194"/>
      <c r="CO598" s="197"/>
      <c r="CP598" s="196"/>
      <c r="CQ598" s="196"/>
      <c r="CR598" s="196"/>
      <c r="CS598" s="196"/>
      <c r="CT598" s="196"/>
      <c r="CU598" s="196"/>
      <c r="CV598" s="194"/>
      <c r="CW598" s="194"/>
      <c r="CX598" s="194"/>
      <c r="CY598" s="194"/>
      <c r="CZ598" s="194"/>
      <c r="DA598" s="194"/>
      <c r="DB598" s="194"/>
      <c r="DC598" s="194"/>
      <c r="DD598" s="194"/>
      <c r="DE598" s="194"/>
      <c r="DF598" s="196"/>
      <c r="DG598" s="198"/>
      <c r="DH598" s="194"/>
      <c r="DI598" s="282"/>
      <c r="DJ598" s="282"/>
      <c r="DK598" s="282"/>
      <c r="DL598" s="282"/>
    </row>
    <row r="599" spans="1:116" s="24" customFormat="1" x14ac:dyDescent="0.3">
      <c r="A599" s="172"/>
      <c r="B599" s="172"/>
      <c r="C599" s="172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  <c r="BT599" s="172"/>
      <c r="BU599" s="172"/>
      <c r="BV599" s="172"/>
      <c r="BW599" s="172"/>
      <c r="BX599" s="172"/>
      <c r="BY599" s="174"/>
      <c r="BZ599" s="172"/>
      <c r="CA599" s="172"/>
      <c r="CD599" s="194"/>
      <c r="CE599" s="194"/>
      <c r="CF599" s="194"/>
      <c r="CG599" s="194"/>
      <c r="CH599" s="195"/>
      <c r="CI599" s="194"/>
      <c r="CJ599" s="194"/>
      <c r="CK599" s="194"/>
      <c r="CL599" s="196"/>
      <c r="CM599" s="196"/>
      <c r="CN599" s="194"/>
      <c r="CO599" s="197"/>
      <c r="CP599" s="196"/>
      <c r="CQ599" s="196"/>
      <c r="CR599" s="196"/>
      <c r="CS599" s="196"/>
      <c r="CT599" s="196"/>
      <c r="CU599" s="196"/>
      <c r="CV599" s="194"/>
      <c r="CW599" s="194"/>
      <c r="CX599" s="194"/>
      <c r="CY599" s="194"/>
      <c r="CZ599" s="194"/>
      <c r="DA599" s="194"/>
      <c r="DB599" s="194"/>
      <c r="DC599" s="194"/>
      <c r="DD599" s="194"/>
      <c r="DE599" s="194"/>
      <c r="DF599" s="196"/>
      <c r="DG599" s="198"/>
      <c r="DH599" s="194"/>
      <c r="DI599" s="282"/>
      <c r="DJ599" s="282"/>
      <c r="DK599" s="282"/>
      <c r="DL599" s="282"/>
    </row>
    <row r="600" spans="1:116" s="24" customFormat="1" x14ac:dyDescent="0.3">
      <c r="A600" s="172"/>
      <c r="B600" s="172"/>
      <c r="C600" s="172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  <c r="BT600" s="172"/>
      <c r="BU600" s="172"/>
      <c r="BV600" s="172"/>
      <c r="BW600" s="172"/>
      <c r="BX600" s="172"/>
      <c r="BY600" s="174"/>
      <c r="BZ600" s="172"/>
      <c r="CA600" s="172"/>
      <c r="CD600" s="194"/>
      <c r="CE600" s="194"/>
      <c r="CF600" s="194"/>
      <c r="CG600" s="194"/>
      <c r="CH600" s="195"/>
      <c r="CI600" s="194"/>
      <c r="CJ600" s="194"/>
      <c r="CK600" s="194"/>
      <c r="CL600" s="196"/>
      <c r="CM600" s="196"/>
      <c r="CN600" s="194"/>
      <c r="CO600" s="197"/>
      <c r="CP600" s="196"/>
      <c r="CQ600" s="196"/>
      <c r="CR600" s="196"/>
      <c r="CS600" s="196"/>
      <c r="CT600" s="196"/>
      <c r="CU600" s="196"/>
      <c r="CV600" s="194"/>
      <c r="CW600" s="194"/>
      <c r="CX600" s="194"/>
      <c r="CY600" s="194"/>
      <c r="CZ600" s="194"/>
      <c r="DA600" s="194"/>
      <c r="DB600" s="194"/>
      <c r="DC600" s="194"/>
      <c r="DD600" s="194"/>
      <c r="DE600" s="194"/>
      <c r="DF600" s="196"/>
      <c r="DG600" s="198"/>
      <c r="DH600" s="194"/>
      <c r="DI600" s="282"/>
      <c r="DJ600" s="282"/>
      <c r="DK600" s="282"/>
      <c r="DL600" s="282"/>
    </row>
    <row r="601" spans="1:116" s="24" customFormat="1" x14ac:dyDescent="0.3">
      <c r="A601" s="172"/>
      <c r="B601" s="172"/>
      <c r="C601" s="172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  <c r="BT601" s="172"/>
      <c r="BU601" s="172"/>
      <c r="BV601" s="172"/>
      <c r="BW601" s="172"/>
      <c r="BX601" s="172"/>
      <c r="BY601" s="174"/>
      <c r="BZ601" s="172"/>
      <c r="CA601" s="172"/>
      <c r="CD601" s="194"/>
      <c r="CE601" s="194"/>
      <c r="CF601" s="194"/>
      <c r="CG601" s="194"/>
      <c r="CH601" s="195"/>
      <c r="CI601" s="194"/>
      <c r="CJ601" s="194"/>
      <c r="CK601" s="194"/>
      <c r="CL601" s="196"/>
      <c r="CM601" s="196"/>
      <c r="CN601" s="194"/>
      <c r="CO601" s="197"/>
      <c r="CP601" s="196"/>
      <c r="CQ601" s="196"/>
      <c r="CR601" s="196"/>
      <c r="CS601" s="196"/>
      <c r="CT601" s="196"/>
      <c r="CU601" s="196"/>
      <c r="CV601" s="194"/>
      <c r="CW601" s="194"/>
      <c r="CX601" s="194"/>
      <c r="CY601" s="194"/>
      <c r="CZ601" s="194"/>
      <c r="DA601" s="194"/>
      <c r="DB601" s="194"/>
      <c r="DC601" s="194"/>
      <c r="DD601" s="194"/>
      <c r="DE601" s="194"/>
      <c r="DF601" s="196"/>
      <c r="DG601" s="198"/>
      <c r="DH601" s="194"/>
      <c r="DI601" s="282"/>
      <c r="DJ601" s="282"/>
      <c r="DK601" s="282"/>
      <c r="DL601" s="282"/>
    </row>
    <row r="602" spans="1:116" s="24" customFormat="1" x14ac:dyDescent="0.3">
      <c r="A602" s="172"/>
      <c r="B602" s="172"/>
      <c r="C602" s="172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  <c r="BT602" s="172"/>
      <c r="BU602" s="172"/>
      <c r="BV602" s="172"/>
      <c r="BW602" s="172"/>
      <c r="BX602" s="172"/>
      <c r="BY602" s="174"/>
      <c r="BZ602" s="172"/>
      <c r="CA602" s="172"/>
      <c r="CD602" s="194"/>
      <c r="CE602" s="194"/>
      <c r="CF602" s="194"/>
      <c r="CG602" s="194"/>
      <c r="CH602" s="195"/>
      <c r="CI602" s="194"/>
      <c r="CJ602" s="194"/>
      <c r="CK602" s="194"/>
      <c r="CL602" s="196"/>
      <c r="CM602" s="196"/>
      <c r="CN602" s="194"/>
      <c r="CO602" s="197"/>
      <c r="CP602" s="196"/>
      <c r="CQ602" s="196"/>
      <c r="CR602" s="196"/>
      <c r="CS602" s="196"/>
      <c r="CT602" s="196"/>
      <c r="CU602" s="196"/>
      <c r="CV602" s="194"/>
      <c r="CW602" s="194"/>
      <c r="CX602" s="194"/>
      <c r="CY602" s="194"/>
      <c r="CZ602" s="194"/>
      <c r="DA602" s="194"/>
      <c r="DB602" s="194"/>
      <c r="DC602" s="194"/>
      <c r="DD602" s="194"/>
      <c r="DE602" s="194"/>
      <c r="DF602" s="196"/>
      <c r="DG602" s="198"/>
      <c r="DH602" s="194"/>
      <c r="DI602" s="282"/>
      <c r="DJ602" s="282"/>
      <c r="DK602" s="282"/>
      <c r="DL602" s="282"/>
    </row>
    <row r="603" spans="1:116" s="24" customFormat="1" x14ac:dyDescent="0.3">
      <c r="A603" s="172"/>
      <c r="B603" s="172"/>
      <c r="C603" s="172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  <c r="BT603" s="172"/>
      <c r="BU603" s="172"/>
      <c r="BV603" s="172"/>
      <c r="BW603" s="172"/>
      <c r="BX603" s="172"/>
      <c r="BY603" s="174"/>
      <c r="BZ603" s="172"/>
      <c r="CA603" s="172"/>
      <c r="CD603" s="194"/>
      <c r="CE603" s="194"/>
      <c r="CF603" s="194"/>
      <c r="CG603" s="194"/>
      <c r="CH603" s="195"/>
      <c r="CI603" s="194"/>
      <c r="CJ603" s="194"/>
      <c r="CK603" s="194"/>
      <c r="CL603" s="196"/>
      <c r="CM603" s="196"/>
      <c r="CN603" s="194"/>
      <c r="CO603" s="197"/>
      <c r="CP603" s="196"/>
      <c r="CQ603" s="196"/>
      <c r="CR603" s="196"/>
      <c r="CS603" s="196"/>
      <c r="CT603" s="196"/>
      <c r="CU603" s="196"/>
      <c r="CV603" s="194"/>
      <c r="CW603" s="194"/>
      <c r="CX603" s="194"/>
      <c r="CY603" s="194"/>
      <c r="CZ603" s="194"/>
      <c r="DA603" s="194"/>
      <c r="DB603" s="194"/>
      <c r="DC603" s="194"/>
      <c r="DD603" s="194"/>
      <c r="DE603" s="194"/>
      <c r="DF603" s="196"/>
      <c r="DG603" s="198"/>
      <c r="DH603" s="194"/>
      <c r="DI603" s="282"/>
      <c r="DJ603" s="282"/>
      <c r="DK603" s="282"/>
      <c r="DL603" s="282"/>
    </row>
    <row r="604" spans="1:116" s="24" customFormat="1" x14ac:dyDescent="0.3">
      <c r="A604" s="172"/>
      <c r="B604" s="172"/>
      <c r="C604" s="172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  <c r="BT604" s="172"/>
      <c r="BU604" s="172"/>
      <c r="BV604" s="172"/>
      <c r="BW604" s="172"/>
      <c r="BX604" s="172"/>
      <c r="BY604" s="174"/>
      <c r="BZ604" s="172"/>
      <c r="CA604" s="172"/>
      <c r="CD604" s="194"/>
      <c r="CE604" s="194"/>
      <c r="CF604" s="194"/>
      <c r="CG604" s="194"/>
      <c r="CH604" s="195"/>
      <c r="CI604" s="194"/>
      <c r="CJ604" s="194"/>
      <c r="CK604" s="194"/>
      <c r="CL604" s="196"/>
      <c r="CM604" s="196"/>
      <c r="CN604" s="194"/>
      <c r="CO604" s="197"/>
      <c r="CP604" s="196"/>
      <c r="CQ604" s="196"/>
      <c r="CR604" s="196"/>
      <c r="CS604" s="196"/>
      <c r="CT604" s="196"/>
      <c r="CU604" s="196"/>
      <c r="CV604" s="194"/>
      <c r="CW604" s="194"/>
      <c r="CX604" s="194"/>
      <c r="CY604" s="194"/>
      <c r="CZ604" s="194"/>
      <c r="DA604" s="194"/>
      <c r="DB604" s="194"/>
      <c r="DC604" s="194"/>
      <c r="DD604" s="194"/>
      <c r="DE604" s="194"/>
      <c r="DF604" s="196"/>
      <c r="DG604" s="198"/>
      <c r="DH604" s="194"/>
      <c r="DI604" s="282"/>
      <c r="DJ604" s="282"/>
      <c r="DK604" s="282"/>
      <c r="DL604" s="282"/>
    </row>
    <row r="605" spans="1:116" s="24" customFormat="1" x14ac:dyDescent="0.3">
      <c r="A605" s="172"/>
      <c r="B605" s="172"/>
      <c r="C605" s="172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  <c r="BT605" s="172"/>
      <c r="BU605" s="172"/>
      <c r="BV605" s="172"/>
      <c r="BW605" s="172"/>
      <c r="BX605" s="172"/>
      <c r="BY605" s="174"/>
      <c r="BZ605" s="172"/>
      <c r="CA605" s="172"/>
      <c r="CD605" s="194"/>
      <c r="CE605" s="194"/>
      <c r="CF605" s="194"/>
      <c r="CG605" s="194"/>
      <c r="CH605" s="195"/>
      <c r="CI605" s="194"/>
      <c r="CJ605" s="194"/>
      <c r="CK605" s="194"/>
      <c r="CL605" s="196"/>
      <c r="CM605" s="196"/>
      <c r="CN605" s="194"/>
      <c r="CO605" s="197"/>
      <c r="CP605" s="196"/>
      <c r="CQ605" s="196"/>
      <c r="CR605" s="196"/>
      <c r="CS605" s="196"/>
      <c r="CT605" s="196"/>
      <c r="CU605" s="196"/>
      <c r="CV605" s="194"/>
      <c r="CW605" s="194"/>
      <c r="CX605" s="194"/>
      <c r="CY605" s="194"/>
      <c r="CZ605" s="194"/>
      <c r="DA605" s="194"/>
      <c r="DB605" s="194"/>
      <c r="DC605" s="194"/>
      <c r="DD605" s="194"/>
      <c r="DE605" s="194"/>
      <c r="DF605" s="196"/>
      <c r="DG605" s="198"/>
      <c r="DH605" s="194"/>
      <c r="DI605" s="282"/>
      <c r="DJ605" s="282"/>
      <c r="DK605" s="282"/>
      <c r="DL605" s="282"/>
    </row>
    <row r="606" spans="1:116" s="24" customFormat="1" x14ac:dyDescent="0.3">
      <c r="A606" s="172"/>
      <c r="B606" s="172"/>
      <c r="C606" s="172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  <c r="BT606" s="172"/>
      <c r="BU606" s="172"/>
      <c r="BV606" s="172"/>
      <c r="BW606" s="172"/>
      <c r="BX606" s="172"/>
      <c r="BY606" s="174"/>
      <c r="BZ606" s="172"/>
      <c r="CA606" s="172"/>
      <c r="CD606" s="194"/>
      <c r="CE606" s="194"/>
      <c r="CF606" s="194"/>
      <c r="CG606" s="194"/>
      <c r="CH606" s="195"/>
      <c r="CI606" s="194"/>
      <c r="CJ606" s="194"/>
      <c r="CK606" s="194"/>
      <c r="CL606" s="196"/>
      <c r="CM606" s="196"/>
      <c r="CN606" s="194"/>
      <c r="CO606" s="197"/>
      <c r="CP606" s="196"/>
      <c r="CQ606" s="196"/>
      <c r="CR606" s="196"/>
      <c r="CS606" s="196"/>
      <c r="CT606" s="196"/>
      <c r="CU606" s="196"/>
      <c r="CV606" s="194"/>
      <c r="CW606" s="194"/>
      <c r="CX606" s="194"/>
      <c r="CY606" s="194"/>
      <c r="CZ606" s="194"/>
      <c r="DA606" s="194"/>
      <c r="DB606" s="194"/>
      <c r="DC606" s="194"/>
      <c r="DD606" s="194"/>
      <c r="DE606" s="194"/>
      <c r="DF606" s="196"/>
      <c r="DG606" s="198"/>
      <c r="DH606" s="194"/>
      <c r="DI606" s="282"/>
      <c r="DJ606" s="282"/>
      <c r="DK606" s="282"/>
      <c r="DL606" s="282"/>
    </row>
    <row r="607" spans="1:116" s="24" customFormat="1" x14ac:dyDescent="0.3">
      <c r="A607" s="172"/>
      <c r="B607" s="172"/>
      <c r="C607" s="172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172"/>
      <c r="BV607" s="172"/>
      <c r="BW607" s="172"/>
      <c r="BX607" s="172"/>
      <c r="BY607" s="174"/>
      <c r="BZ607" s="172"/>
      <c r="CA607" s="172"/>
      <c r="CD607" s="194"/>
      <c r="CE607" s="194"/>
      <c r="CF607" s="194"/>
      <c r="CG607" s="194"/>
      <c r="CH607" s="195"/>
      <c r="CI607" s="194"/>
      <c r="CJ607" s="194"/>
      <c r="CK607" s="194"/>
      <c r="CL607" s="196"/>
      <c r="CM607" s="196"/>
      <c r="CN607" s="194"/>
      <c r="CO607" s="197"/>
      <c r="CP607" s="196"/>
      <c r="CQ607" s="196"/>
      <c r="CR607" s="196"/>
      <c r="CS607" s="196"/>
      <c r="CT607" s="196"/>
      <c r="CU607" s="196"/>
      <c r="CV607" s="194"/>
      <c r="CW607" s="194"/>
      <c r="CX607" s="194"/>
      <c r="CY607" s="194"/>
      <c r="CZ607" s="194"/>
      <c r="DA607" s="194"/>
      <c r="DB607" s="194"/>
      <c r="DC607" s="194"/>
      <c r="DD607" s="194"/>
      <c r="DE607" s="194"/>
      <c r="DF607" s="196"/>
      <c r="DG607" s="198"/>
      <c r="DH607" s="194"/>
      <c r="DI607" s="282"/>
      <c r="DJ607" s="282"/>
      <c r="DK607" s="282"/>
      <c r="DL607" s="282"/>
    </row>
    <row r="608" spans="1:116" s="24" customFormat="1" x14ac:dyDescent="0.3">
      <c r="A608" s="172"/>
      <c r="B608" s="172"/>
      <c r="C608" s="172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  <c r="BT608" s="172"/>
      <c r="BU608" s="172"/>
      <c r="BV608" s="172"/>
      <c r="BW608" s="172"/>
      <c r="BX608" s="172"/>
      <c r="BY608" s="174"/>
      <c r="BZ608" s="172"/>
      <c r="CA608" s="172"/>
      <c r="CD608" s="194"/>
      <c r="CE608" s="194"/>
      <c r="CF608" s="194"/>
      <c r="CG608" s="194"/>
      <c r="CH608" s="195"/>
      <c r="CI608" s="194"/>
      <c r="CJ608" s="194"/>
      <c r="CK608" s="194"/>
      <c r="CL608" s="196"/>
      <c r="CM608" s="196"/>
      <c r="CN608" s="194"/>
      <c r="CO608" s="197"/>
      <c r="CP608" s="196"/>
      <c r="CQ608" s="196"/>
      <c r="CR608" s="196"/>
      <c r="CS608" s="196"/>
      <c r="CT608" s="196"/>
      <c r="CU608" s="196"/>
      <c r="CV608" s="194"/>
      <c r="CW608" s="194"/>
      <c r="CX608" s="194"/>
      <c r="CY608" s="194"/>
      <c r="CZ608" s="194"/>
      <c r="DA608" s="194"/>
      <c r="DB608" s="194"/>
      <c r="DC608" s="194"/>
      <c r="DD608" s="194"/>
      <c r="DE608" s="194"/>
      <c r="DF608" s="196"/>
      <c r="DG608" s="198"/>
      <c r="DH608" s="194"/>
      <c r="DI608" s="282"/>
      <c r="DJ608" s="282"/>
      <c r="DK608" s="282"/>
      <c r="DL608" s="282"/>
    </row>
    <row r="609" spans="1:116" s="24" customFormat="1" x14ac:dyDescent="0.3">
      <c r="A609" s="172"/>
      <c r="B609" s="172"/>
      <c r="C609" s="172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  <c r="BT609" s="172"/>
      <c r="BU609" s="172"/>
      <c r="BV609" s="172"/>
      <c r="BW609" s="172"/>
      <c r="BX609" s="172"/>
      <c r="BY609" s="174"/>
      <c r="BZ609" s="172"/>
      <c r="CA609" s="172"/>
      <c r="CD609" s="194"/>
      <c r="CE609" s="194"/>
      <c r="CF609" s="194"/>
      <c r="CG609" s="194"/>
      <c r="CH609" s="195"/>
      <c r="CI609" s="194"/>
      <c r="CJ609" s="194"/>
      <c r="CK609" s="194"/>
      <c r="CL609" s="196"/>
      <c r="CM609" s="196"/>
      <c r="CN609" s="194"/>
      <c r="CO609" s="197"/>
      <c r="CP609" s="196"/>
      <c r="CQ609" s="196"/>
      <c r="CR609" s="196"/>
      <c r="CS609" s="196"/>
      <c r="CT609" s="196"/>
      <c r="CU609" s="196"/>
      <c r="CV609" s="194"/>
      <c r="CW609" s="194"/>
      <c r="CX609" s="194"/>
      <c r="CY609" s="194"/>
      <c r="CZ609" s="194"/>
      <c r="DA609" s="194"/>
      <c r="DB609" s="194"/>
      <c r="DC609" s="194"/>
      <c r="DD609" s="194"/>
      <c r="DE609" s="194"/>
      <c r="DF609" s="196"/>
      <c r="DG609" s="198"/>
      <c r="DH609" s="194"/>
      <c r="DI609" s="282"/>
      <c r="DJ609" s="282"/>
      <c r="DK609" s="282"/>
      <c r="DL609" s="282"/>
    </row>
    <row r="610" spans="1:116" s="24" customFormat="1" x14ac:dyDescent="0.3">
      <c r="A610" s="172"/>
      <c r="B610" s="172"/>
      <c r="C610" s="172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  <c r="BT610" s="172"/>
      <c r="BU610" s="172"/>
      <c r="BV610" s="172"/>
      <c r="BW610" s="172"/>
      <c r="BX610" s="172"/>
      <c r="BY610" s="174"/>
      <c r="BZ610" s="172"/>
      <c r="CA610" s="172"/>
      <c r="CD610" s="194"/>
      <c r="CE610" s="194"/>
      <c r="CF610" s="194"/>
      <c r="CG610" s="194"/>
      <c r="CH610" s="195"/>
      <c r="CI610" s="194"/>
      <c r="CJ610" s="194"/>
      <c r="CK610" s="194"/>
      <c r="CL610" s="196"/>
      <c r="CM610" s="196"/>
      <c r="CN610" s="194"/>
      <c r="CO610" s="197"/>
      <c r="CP610" s="196"/>
      <c r="CQ610" s="196"/>
      <c r="CR610" s="196"/>
      <c r="CS610" s="196"/>
      <c r="CT610" s="196"/>
      <c r="CU610" s="196"/>
      <c r="CV610" s="194"/>
      <c r="CW610" s="194"/>
      <c r="CX610" s="194"/>
      <c r="CY610" s="194"/>
      <c r="CZ610" s="194"/>
      <c r="DA610" s="194"/>
      <c r="DB610" s="194"/>
      <c r="DC610" s="194"/>
      <c r="DD610" s="194"/>
      <c r="DE610" s="194"/>
      <c r="DF610" s="196"/>
      <c r="DG610" s="198"/>
      <c r="DH610" s="194"/>
      <c r="DI610" s="282"/>
      <c r="DJ610" s="282"/>
      <c r="DK610" s="282"/>
      <c r="DL610" s="282"/>
    </row>
    <row r="611" spans="1:116" s="24" customFormat="1" x14ac:dyDescent="0.3">
      <c r="A611" s="172"/>
      <c r="B611" s="172"/>
      <c r="C611" s="172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  <c r="BT611" s="172"/>
      <c r="BU611" s="172"/>
      <c r="BV611" s="172"/>
      <c r="BW611" s="172"/>
      <c r="BX611" s="172"/>
      <c r="BY611" s="174"/>
      <c r="BZ611" s="172"/>
      <c r="CA611" s="172"/>
      <c r="CD611" s="194"/>
      <c r="CE611" s="194"/>
      <c r="CF611" s="194"/>
      <c r="CG611" s="194"/>
      <c r="CH611" s="195"/>
      <c r="CI611" s="194"/>
      <c r="CJ611" s="194"/>
      <c r="CK611" s="194"/>
      <c r="CL611" s="196"/>
      <c r="CM611" s="196"/>
      <c r="CN611" s="194"/>
      <c r="CO611" s="197"/>
      <c r="CP611" s="196"/>
      <c r="CQ611" s="196"/>
      <c r="CR611" s="196"/>
      <c r="CS611" s="196"/>
      <c r="CT611" s="196"/>
      <c r="CU611" s="196"/>
      <c r="CV611" s="194"/>
      <c r="CW611" s="194"/>
      <c r="CX611" s="194"/>
      <c r="CY611" s="194"/>
      <c r="CZ611" s="194"/>
      <c r="DA611" s="194"/>
      <c r="DB611" s="194"/>
      <c r="DC611" s="194"/>
      <c r="DD611" s="194"/>
      <c r="DE611" s="194"/>
      <c r="DF611" s="196"/>
      <c r="DG611" s="198"/>
      <c r="DH611" s="194"/>
      <c r="DI611" s="282"/>
      <c r="DJ611" s="282"/>
      <c r="DK611" s="282"/>
      <c r="DL611" s="282"/>
    </row>
    <row r="612" spans="1:116" s="24" customFormat="1" x14ac:dyDescent="0.3">
      <c r="A612" s="172"/>
      <c r="B612" s="172"/>
      <c r="C612" s="172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2"/>
      <c r="AT612" s="172"/>
      <c r="AU612" s="172"/>
      <c r="AV612" s="172"/>
      <c r="AW612" s="172"/>
      <c r="AX612" s="172"/>
      <c r="AY612" s="172"/>
      <c r="AZ612" s="172"/>
      <c r="BA612" s="172"/>
      <c r="BB612" s="172"/>
      <c r="BC612" s="172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  <c r="BT612" s="172"/>
      <c r="BU612" s="172"/>
      <c r="BV612" s="172"/>
      <c r="BW612" s="172"/>
      <c r="BX612" s="172"/>
      <c r="BY612" s="174"/>
      <c r="BZ612" s="172"/>
      <c r="CA612" s="172"/>
      <c r="CD612" s="194"/>
      <c r="CE612" s="194"/>
      <c r="CF612" s="194"/>
      <c r="CG612" s="194"/>
      <c r="CH612" s="195"/>
      <c r="CI612" s="194"/>
      <c r="CJ612" s="194"/>
      <c r="CK612" s="194"/>
      <c r="CL612" s="196"/>
      <c r="CM612" s="196"/>
      <c r="CN612" s="194"/>
      <c r="CO612" s="197"/>
      <c r="CP612" s="196"/>
      <c r="CQ612" s="196"/>
      <c r="CR612" s="196"/>
      <c r="CS612" s="196"/>
      <c r="CT612" s="196"/>
      <c r="CU612" s="196"/>
      <c r="CV612" s="194"/>
      <c r="CW612" s="194"/>
      <c r="CX612" s="194"/>
      <c r="CY612" s="194"/>
      <c r="CZ612" s="194"/>
      <c r="DA612" s="194"/>
      <c r="DB612" s="194"/>
      <c r="DC612" s="194"/>
      <c r="DD612" s="194"/>
      <c r="DE612" s="194"/>
      <c r="DF612" s="196"/>
      <c r="DG612" s="198"/>
      <c r="DH612" s="194"/>
      <c r="DI612" s="282"/>
      <c r="DJ612" s="282"/>
      <c r="DK612" s="282"/>
      <c r="DL612" s="282"/>
    </row>
    <row r="613" spans="1:116" s="24" customFormat="1" x14ac:dyDescent="0.3">
      <c r="A613" s="172"/>
      <c r="B613" s="172"/>
      <c r="C613" s="172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2"/>
      <c r="AT613" s="172"/>
      <c r="AU613" s="172"/>
      <c r="AV613" s="172"/>
      <c r="AW613" s="172"/>
      <c r="AX613" s="172"/>
      <c r="AY613" s="172"/>
      <c r="AZ613" s="172"/>
      <c r="BA613" s="172"/>
      <c r="BB613" s="172"/>
      <c r="BC613" s="172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  <c r="BT613" s="172"/>
      <c r="BU613" s="172"/>
      <c r="BV613" s="172"/>
      <c r="BW613" s="172"/>
      <c r="BX613" s="172"/>
      <c r="BY613" s="174"/>
      <c r="BZ613" s="172"/>
      <c r="CA613" s="172"/>
      <c r="CD613" s="194"/>
      <c r="CE613" s="194"/>
      <c r="CF613" s="194"/>
      <c r="CG613" s="194"/>
      <c r="CH613" s="195"/>
      <c r="CI613" s="194"/>
      <c r="CJ613" s="194"/>
      <c r="CK613" s="194"/>
      <c r="CL613" s="196"/>
      <c r="CM613" s="196"/>
      <c r="CN613" s="194"/>
      <c r="CO613" s="197"/>
      <c r="CP613" s="196"/>
      <c r="CQ613" s="196"/>
      <c r="CR613" s="196"/>
      <c r="CS613" s="196"/>
      <c r="CT613" s="196"/>
      <c r="CU613" s="196"/>
      <c r="CV613" s="194"/>
      <c r="CW613" s="194"/>
      <c r="CX613" s="194"/>
      <c r="CY613" s="194"/>
      <c r="CZ613" s="194"/>
      <c r="DA613" s="194"/>
      <c r="DB613" s="194"/>
      <c r="DC613" s="194"/>
      <c r="DD613" s="194"/>
      <c r="DE613" s="194"/>
      <c r="DF613" s="196"/>
      <c r="DG613" s="198"/>
      <c r="DH613" s="194"/>
      <c r="DI613" s="282"/>
      <c r="DJ613" s="282"/>
      <c r="DK613" s="282"/>
      <c r="DL613" s="282"/>
    </row>
    <row r="614" spans="1:116" s="24" customFormat="1" x14ac:dyDescent="0.3">
      <c r="A614" s="172"/>
      <c r="B614" s="172"/>
      <c r="C614" s="172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2"/>
      <c r="AT614" s="172"/>
      <c r="AU614" s="172"/>
      <c r="AV614" s="172"/>
      <c r="AW614" s="172"/>
      <c r="AX614" s="172"/>
      <c r="AY614" s="172"/>
      <c r="AZ614" s="172"/>
      <c r="BA614" s="172"/>
      <c r="BB614" s="172"/>
      <c r="BC614" s="172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  <c r="BT614" s="172"/>
      <c r="BU614" s="172"/>
      <c r="BV614" s="172"/>
      <c r="BW614" s="172"/>
      <c r="BX614" s="172"/>
      <c r="BY614" s="174"/>
      <c r="BZ614" s="172"/>
      <c r="CA614" s="172"/>
      <c r="CD614" s="194"/>
      <c r="CE614" s="194"/>
      <c r="CF614" s="194"/>
      <c r="CG614" s="194"/>
      <c r="CH614" s="195"/>
      <c r="CI614" s="194"/>
      <c r="CJ614" s="194"/>
      <c r="CK614" s="194"/>
      <c r="CL614" s="196"/>
      <c r="CM614" s="196"/>
      <c r="CN614" s="194"/>
      <c r="CO614" s="197"/>
      <c r="CP614" s="196"/>
      <c r="CQ614" s="196"/>
      <c r="CR614" s="196"/>
      <c r="CS614" s="196"/>
      <c r="CT614" s="196"/>
      <c r="CU614" s="196"/>
      <c r="CV614" s="194"/>
      <c r="CW614" s="194"/>
      <c r="CX614" s="194"/>
      <c r="CY614" s="194"/>
      <c r="CZ614" s="194"/>
      <c r="DA614" s="194"/>
      <c r="DB614" s="194"/>
      <c r="DC614" s="194"/>
      <c r="DD614" s="194"/>
      <c r="DE614" s="194"/>
      <c r="DF614" s="196"/>
      <c r="DG614" s="198"/>
      <c r="DH614" s="194"/>
      <c r="DI614" s="282"/>
      <c r="DJ614" s="282"/>
      <c r="DK614" s="282"/>
      <c r="DL614" s="282"/>
    </row>
    <row r="615" spans="1:116" s="24" customFormat="1" x14ac:dyDescent="0.3">
      <c r="A615" s="172"/>
      <c r="B615" s="172"/>
      <c r="C615" s="172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2"/>
      <c r="AT615" s="172"/>
      <c r="AU615" s="172"/>
      <c r="AV615" s="172"/>
      <c r="AW615" s="172"/>
      <c r="AX615" s="172"/>
      <c r="AY615" s="172"/>
      <c r="AZ615" s="172"/>
      <c r="BA615" s="172"/>
      <c r="BB615" s="172"/>
      <c r="BC615" s="172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  <c r="BT615" s="172"/>
      <c r="BU615" s="172"/>
      <c r="BV615" s="172"/>
      <c r="BW615" s="172"/>
      <c r="BX615" s="172"/>
      <c r="BY615" s="174"/>
      <c r="BZ615" s="172"/>
      <c r="CA615" s="172"/>
      <c r="CD615" s="194"/>
      <c r="CE615" s="194"/>
      <c r="CF615" s="194"/>
      <c r="CG615" s="194"/>
      <c r="CH615" s="195"/>
      <c r="CI615" s="194"/>
      <c r="CJ615" s="194"/>
      <c r="CK615" s="194"/>
      <c r="CL615" s="196"/>
      <c r="CM615" s="196"/>
      <c r="CN615" s="194"/>
      <c r="CO615" s="197"/>
      <c r="CP615" s="196"/>
      <c r="CQ615" s="196"/>
      <c r="CR615" s="196"/>
      <c r="CS615" s="196"/>
      <c r="CT615" s="196"/>
      <c r="CU615" s="196"/>
      <c r="CV615" s="194"/>
      <c r="CW615" s="194"/>
      <c r="CX615" s="194"/>
      <c r="CY615" s="194"/>
      <c r="CZ615" s="194"/>
      <c r="DA615" s="194"/>
      <c r="DB615" s="194"/>
      <c r="DC615" s="194"/>
      <c r="DD615" s="194"/>
      <c r="DE615" s="194"/>
      <c r="DF615" s="196"/>
      <c r="DG615" s="198"/>
      <c r="DH615" s="194"/>
      <c r="DI615" s="282"/>
      <c r="DJ615" s="282"/>
      <c r="DK615" s="282"/>
      <c r="DL615" s="282"/>
    </row>
    <row r="616" spans="1:116" s="24" customFormat="1" x14ac:dyDescent="0.3">
      <c r="A616" s="172"/>
      <c r="B616" s="172"/>
      <c r="C616" s="172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2"/>
      <c r="AT616" s="172"/>
      <c r="AU616" s="172"/>
      <c r="AV616" s="172"/>
      <c r="AW616" s="172"/>
      <c r="AX616" s="172"/>
      <c r="AY616" s="172"/>
      <c r="AZ616" s="172"/>
      <c r="BA616" s="172"/>
      <c r="BB616" s="172"/>
      <c r="BC616" s="172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  <c r="BT616" s="172"/>
      <c r="BU616" s="172"/>
      <c r="BV616" s="172"/>
      <c r="BW616" s="172"/>
      <c r="BX616" s="172"/>
      <c r="BY616" s="174"/>
      <c r="BZ616" s="172"/>
      <c r="CA616" s="172"/>
      <c r="CD616" s="194"/>
      <c r="CE616" s="194"/>
      <c r="CF616" s="194"/>
      <c r="CG616" s="194"/>
      <c r="CH616" s="195"/>
      <c r="CI616" s="194"/>
      <c r="CJ616" s="194"/>
      <c r="CK616" s="194"/>
      <c r="CL616" s="196"/>
      <c r="CM616" s="196"/>
      <c r="CN616" s="194"/>
      <c r="CO616" s="197"/>
      <c r="CP616" s="196"/>
      <c r="CQ616" s="196"/>
      <c r="CR616" s="196"/>
      <c r="CS616" s="196"/>
      <c r="CT616" s="196"/>
      <c r="CU616" s="196"/>
      <c r="CV616" s="194"/>
      <c r="CW616" s="194"/>
      <c r="CX616" s="194"/>
      <c r="CY616" s="194"/>
      <c r="CZ616" s="194"/>
      <c r="DA616" s="194"/>
      <c r="DB616" s="194"/>
      <c r="DC616" s="194"/>
      <c r="DD616" s="194"/>
      <c r="DE616" s="194"/>
      <c r="DF616" s="196"/>
      <c r="DG616" s="198"/>
      <c r="DH616" s="194"/>
      <c r="DI616" s="282"/>
      <c r="DJ616" s="282"/>
      <c r="DK616" s="282"/>
      <c r="DL616" s="282"/>
    </row>
    <row r="617" spans="1:116" s="24" customFormat="1" x14ac:dyDescent="0.3">
      <c r="A617" s="172"/>
      <c r="B617" s="172"/>
      <c r="C617" s="172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2"/>
      <c r="AT617" s="172"/>
      <c r="AU617" s="172"/>
      <c r="AV617" s="172"/>
      <c r="AW617" s="172"/>
      <c r="AX617" s="172"/>
      <c r="AY617" s="172"/>
      <c r="AZ617" s="172"/>
      <c r="BA617" s="172"/>
      <c r="BB617" s="172"/>
      <c r="BC617" s="172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  <c r="BT617" s="172"/>
      <c r="BU617" s="172"/>
      <c r="BV617" s="172"/>
      <c r="BW617" s="172"/>
      <c r="BX617" s="172"/>
      <c r="BY617" s="174"/>
      <c r="BZ617" s="172"/>
      <c r="CA617" s="172"/>
      <c r="CD617" s="194"/>
      <c r="CE617" s="194"/>
      <c r="CF617" s="194"/>
      <c r="CG617" s="194"/>
      <c r="CH617" s="195"/>
      <c r="CI617" s="194"/>
      <c r="CJ617" s="194"/>
      <c r="CK617" s="194"/>
      <c r="CL617" s="196"/>
      <c r="CM617" s="196"/>
      <c r="CN617" s="194"/>
      <c r="CO617" s="197"/>
      <c r="CP617" s="196"/>
      <c r="CQ617" s="196"/>
      <c r="CR617" s="196"/>
      <c r="CS617" s="196"/>
      <c r="CT617" s="196"/>
      <c r="CU617" s="196"/>
      <c r="CV617" s="194"/>
      <c r="CW617" s="194"/>
      <c r="CX617" s="194"/>
      <c r="CY617" s="194"/>
      <c r="CZ617" s="194"/>
      <c r="DA617" s="194"/>
      <c r="DB617" s="194"/>
      <c r="DC617" s="194"/>
      <c r="DD617" s="194"/>
      <c r="DE617" s="194"/>
      <c r="DF617" s="196"/>
      <c r="DG617" s="198"/>
      <c r="DH617" s="194"/>
      <c r="DI617" s="282"/>
      <c r="DJ617" s="282"/>
      <c r="DK617" s="282"/>
      <c r="DL617" s="282"/>
    </row>
    <row r="618" spans="1:116" s="24" customFormat="1" x14ac:dyDescent="0.3">
      <c r="A618" s="172"/>
      <c r="B618" s="172"/>
      <c r="C618" s="172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2"/>
      <c r="AT618" s="172"/>
      <c r="AU618" s="172"/>
      <c r="AV618" s="172"/>
      <c r="AW618" s="172"/>
      <c r="AX618" s="172"/>
      <c r="AY618" s="172"/>
      <c r="AZ618" s="172"/>
      <c r="BA618" s="172"/>
      <c r="BB618" s="172"/>
      <c r="BC618" s="172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  <c r="BT618" s="172"/>
      <c r="BU618" s="172"/>
      <c r="BV618" s="172"/>
      <c r="BW618" s="172"/>
      <c r="BX618" s="172"/>
      <c r="BY618" s="174"/>
      <c r="BZ618" s="172"/>
      <c r="CA618" s="172"/>
      <c r="CD618" s="194"/>
      <c r="CE618" s="194"/>
      <c r="CF618" s="194"/>
      <c r="CG618" s="194"/>
      <c r="CH618" s="195"/>
      <c r="CI618" s="194"/>
      <c r="CJ618" s="194"/>
      <c r="CK618" s="194"/>
      <c r="CL618" s="196"/>
      <c r="CM618" s="196"/>
      <c r="CN618" s="194"/>
      <c r="CO618" s="197"/>
      <c r="CP618" s="196"/>
      <c r="CQ618" s="196"/>
      <c r="CR618" s="196"/>
      <c r="CS618" s="196"/>
      <c r="CT618" s="196"/>
      <c r="CU618" s="196"/>
      <c r="CV618" s="194"/>
      <c r="CW618" s="194"/>
      <c r="CX618" s="194"/>
      <c r="CY618" s="194"/>
      <c r="CZ618" s="194"/>
      <c r="DA618" s="194"/>
      <c r="DB618" s="194"/>
      <c r="DC618" s="194"/>
      <c r="DD618" s="194"/>
      <c r="DE618" s="194"/>
      <c r="DF618" s="196"/>
      <c r="DG618" s="198"/>
      <c r="DH618" s="194"/>
      <c r="DI618" s="282"/>
      <c r="DJ618" s="282"/>
      <c r="DK618" s="282"/>
      <c r="DL618" s="282"/>
    </row>
    <row r="619" spans="1:116" s="24" customFormat="1" x14ac:dyDescent="0.3">
      <c r="A619" s="172"/>
      <c r="B619" s="172"/>
      <c r="C619" s="172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2"/>
      <c r="AT619" s="172"/>
      <c r="AU619" s="172"/>
      <c r="AV619" s="172"/>
      <c r="AW619" s="172"/>
      <c r="AX619" s="172"/>
      <c r="AY619" s="172"/>
      <c r="AZ619" s="172"/>
      <c r="BA619" s="172"/>
      <c r="BB619" s="172"/>
      <c r="BC619" s="172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  <c r="BT619" s="172"/>
      <c r="BU619" s="172"/>
      <c r="BV619" s="172"/>
      <c r="BW619" s="172"/>
      <c r="BX619" s="172"/>
      <c r="BY619" s="174"/>
      <c r="BZ619" s="172"/>
      <c r="CA619" s="172"/>
      <c r="CD619" s="194"/>
      <c r="CE619" s="194"/>
      <c r="CF619" s="194"/>
      <c r="CG619" s="194"/>
      <c r="CH619" s="195"/>
      <c r="CI619" s="194"/>
      <c r="CJ619" s="194"/>
      <c r="CK619" s="194"/>
      <c r="CL619" s="196"/>
      <c r="CM619" s="196"/>
      <c r="CN619" s="194"/>
      <c r="CO619" s="197"/>
      <c r="CP619" s="196"/>
      <c r="CQ619" s="196"/>
      <c r="CR619" s="196"/>
      <c r="CS619" s="196"/>
      <c r="CT619" s="196"/>
      <c r="CU619" s="196"/>
      <c r="CV619" s="194"/>
      <c r="CW619" s="194"/>
      <c r="CX619" s="194"/>
      <c r="CY619" s="194"/>
      <c r="CZ619" s="194"/>
      <c r="DA619" s="194"/>
      <c r="DB619" s="194"/>
      <c r="DC619" s="194"/>
      <c r="DD619" s="194"/>
      <c r="DE619" s="194"/>
      <c r="DF619" s="196"/>
      <c r="DG619" s="198"/>
      <c r="DH619" s="194"/>
      <c r="DI619" s="282"/>
      <c r="DJ619" s="282"/>
      <c r="DK619" s="282"/>
      <c r="DL619" s="282"/>
    </row>
    <row r="620" spans="1:116" s="24" customFormat="1" x14ac:dyDescent="0.3">
      <c r="A620" s="172"/>
      <c r="B620" s="172"/>
      <c r="C620" s="172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2"/>
      <c r="AT620" s="172"/>
      <c r="AU620" s="172"/>
      <c r="AV620" s="172"/>
      <c r="AW620" s="172"/>
      <c r="AX620" s="172"/>
      <c r="AY620" s="172"/>
      <c r="AZ620" s="172"/>
      <c r="BA620" s="172"/>
      <c r="BB620" s="172"/>
      <c r="BC620" s="172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  <c r="BT620" s="172"/>
      <c r="BU620" s="172"/>
      <c r="BV620" s="172"/>
      <c r="BW620" s="172"/>
      <c r="BX620" s="172"/>
      <c r="BY620" s="174"/>
      <c r="BZ620" s="172"/>
      <c r="CA620" s="172"/>
      <c r="CD620" s="194"/>
      <c r="CE620" s="194"/>
      <c r="CF620" s="194"/>
      <c r="CG620" s="194"/>
      <c r="CH620" s="195"/>
      <c r="CI620" s="194"/>
      <c r="CJ620" s="194"/>
      <c r="CK620" s="194"/>
      <c r="CL620" s="196"/>
      <c r="CM620" s="196"/>
      <c r="CN620" s="194"/>
      <c r="CO620" s="197"/>
      <c r="CP620" s="196"/>
      <c r="CQ620" s="196"/>
      <c r="CR620" s="196"/>
      <c r="CS620" s="196"/>
      <c r="CT620" s="196"/>
      <c r="CU620" s="196"/>
      <c r="CV620" s="194"/>
      <c r="CW620" s="194"/>
      <c r="CX620" s="194"/>
      <c r="CY620" s="194"/>
      <c r="CZ620" s="194"/>
      <c r="DA620" s="194"/>
      <c r="DB620" s="194"/>
      <c r="DC620" s="194"/>
      <c r="DD620" s="194"/>
      <c r="DE620" s="194"/>
      <c r="DF620" s="196"/>
      <c r="DG620" s="198"/>
      <c r="DH620" s="194"/>
      <c r="DI620" s="282"/>
      <c r="DJ620" s="282"/>
      <c r="DK620" s="282"/>
      <c r="DL620" s="282"/>
    </row>
    <row r="621" spans="1:116" s="24" customFormat="1" x14ac:dyDescent="0.3">
      <c r="A621" s="172"/>
      <c r="B621" s="172"/>
      <c r="C621" s="172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2"/>
      <c r="AT621" s="172"/>
      <c r="AU621" s="172"/>
      <c r="AV621" s="172"/>
      <c r="AW621" s="172"/>
      <c r="AX621" s="172"/>
      <c r="AY621" s="172"/>
      <c r="AZ621" s="172"/>
      <c r="BA621" s="172"/>
      <c r="BB621" s="172"/>
      <c r="BC621" s="172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  <c r="BT621" s="172"/>
      <c r="BU621" s="172"/>
      <c r="BV621" s="172"/>
      <c r="BW621" s="172"/>
      <c r="BX621" s="172"/>
      <c r="BY621" s="174"/>
      <c r="BZ621" s="172"/>
      <c r="CA621" s="172"/>
      <c r="CD621" s="194"/>
      <c r="CE621" s="194"/>
      <c r="CF621" s="194"/>
      <c r="CG621" s="194"/>
      <c r="CH621" s="195"/>
      <c r="CI621" s="194"/>
      <c r="CJ621" s="194"/>
      <c r="CK621" s="194"/>
      <c r="CL621" s="196"/>
      <c r="CM621" s="196"/>
      <c r="CN621" s="194"/>
      <c r="CO621" s="197"/>
      <c r="CP621" s="196"/>
      <c r="CQ621" s="196"/>
      <c r="CR621" s="196"/>
      <c r="CS621" s="196"/>
      <c r="CT621" s="196"/>
      <c r="CU621" s="196"/>
      <c r="CV621" s="194"/>
      <c r="CW621" s="194"/>
      <c r="CX621" s="194"/>
      <c r="CY621" s="194"/>
      <c r="CZ621" s="194"/>
      <c r="DA621" s="194"/>
      <c r="DB621" s="194"/>
      <c r="DC621" s="194"/>
      <c r="DD621" s="194"/>
      <c r="DE621" s="194"/>
      <c r="DF621" s="196"/>
      <c r="DG621" s="198"/>
      <c r="DH621" s="194"/>
      <c r="DI621" s="282"/>
      <c r="DJ621" s="282"/>
      <c r="DK621" s="282"/>
      <c r="DL621" s="282"/>
    </row>
    <row r="622" spans="1:116" s="24" customFormat="1" x14ac:dyDescent="0.3">
      <c r="A622" s="172"/>
      <c r="B622" s="172"/>
      <c r="C622" s="172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2"/>
      <c r="AT622" s="172"/>
      <c r="AU622" s="172"/>
      <c r="AV622" s="172"/>
      <c r="AW622" s="172"/>
      <c r="AX622" s="172"/>
      <c r="AY622" s="172"/>
      <c r="AZ622" s="172"/>
      <c r="BA622" s="172"/>
      <c r="BB622" s="172"/>
      <c r="BC622" s="172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  <c r="BT622" s="172"/>
      <c r="BU622" s="172"/>
      <c r="BV622" s="172"/>
      <c r="BW622" s="172"/>
      <c r="BX622" s="172"/>
      <c r="BY622" s="174"/>
      <c r="BZ622" s="172"/>
      <c r="CA622" s="172"/>
      <c r="CD622" s="194"/>
      <c r="CE622" s="194"/>
      <c r="CF622" s="194"/>
      <c r="CG622" s="194"/>
      <c r="CH622" s="195"/>
      <c r="CI622" s="194"/>
      <c r="CJ622" s="194"/>
      <c r="CK622" s="194"/>
      <c r="CL622" s="196"/>
      <c r="CM622" s="196"/>
      <c r="CN622" s="194"/>
      <c r="CO622" s="197"/>
      <c r="CP622" s="196"/>
      <c r="CQ622" s="196"/>
      <c r="CR622" s="196"/>
      <c r="CS622" s="196"/>
      <c r="CT622" s="196"/>
      <c r="CU622" s="196"/>
      <c r="CV622" s="194"/>
      <c r="CW622" s="194"/>
      <c r="CX622" s="194"/>
      <c r="CY622" s="194"/>
      <c r="CZ622" s="194"/>
      <c r="DA622" s="194"/>
      <c r="DB622" s="194"/>
      <c r="DC622" s="194"/>
      <c r="DD622" s="194"/>
      <c r="DE622" s="194"/>
      <c r="DF622" s="196"/>
      <c r="DG622" s="198"/>
      <c r="DH622" s="194"/>
      <c r="DI622" s="282"/>
      <c r="DJ622" s="282"/>
      <c r="DK622" s="282"/>
      <c r="DL622" s="282"/>
    </row>
    <row r="623" spans="1:116" s="24" customFormat="1" x14ac:dyDescent="0.3">
      <c r="A623" s="172"/>
      <c r="B623" s="172"/>
      <c r="C623" s="172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2"/>
      <c r="AT623" s="172"/>
      <c r="AU623" s="172"/>
      <c r="AV623" s="172"/>
      <c r="AW623" s="172"/>
      <c r="AX623" s="172"/>
      <c r="AY623" s="172"/>
      <c r="AZ623" s="172"/>
      <c r="BA623" s="172"/>
      <c r="BB623" s="172"/>
      <c r="BC623" s="172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  <c r="BT623" s="172"/>
      <c r="BU623" s="172"/>
      <c r="BV623" s="172"/>
      <c r="BW623" s="172"/>
      <c r="BX623" s="172"/>
      <c r="BY623" s="174"/>
      <c r="BZ623" s="172"/>
      <c r="CA623" s="172"/>
      <c r="CD623" s="194"/>
      <c r="CE623" s="194"/>
      <c r="CF623" s="194"/>
      <c r="CG623" s="194"/>
      <c r="CH623" s="195"/>
      <c r="CI623" s="194"/>
      <c r="CJ623" s="194"/>
      <c r="CK623" s="194"/>
      <c r="CL623" s="196"/>
      <c r="CM623" s="196"/>
      <c r="CN623" s="194"/>
      <c r="CO623" s="197"/>
      <c r="CP623" s="196"/>
      <c r="CQ623" s="196"/>
      <c r="CR623" s="196"/>
      <c r="CS623" s="196"/>
      <c r="CT623" s="196"/>
      <c r="CU623" s="196"/>
      <c r="CV623" s="194"/>
      <c r="CW623" s="194"/>
      <c r="CX623" s="194"/>
      <c r="CY623" s="194"/>
      <c r="CZ623" s="194"/>
      <c r="DA623" s="194"/>
      <c r="DB623" s="194"/>
      <c r="DC623" s="194"/>
      <c r="DD623" s="194"/>
      <c r="DE623" s="194"/>
      <c r="DF623" s="196"/>
      <c r="DG623" s="198"/>
      <c r="DH623" s="194"/>
      <c r="DI623" s="282"/>
      <c r="DJ623" s="282"/>
      <c r="DK623" s="282"/>
      <c r="DL623" s="282"/>
    </row>
    <row r="624" spans="1:116" s="24" customFormat="1" x14ac:dyDescent="0.3">
      <c r="A624" s="172"/>
      <c r="B624" s="172"/>
      <c r="C624" s="172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2"/>
      <c r="AT624" s="172"/>
      <c r="AU624" s="172"/>
      <c r="AV624" s="172"/>
      <c r="AW624" s="172"/>
      <c r="AX624" s="172"/>
      <c r="AY624" s="172"/>
      <c r="AZ624" s="172"/>
      <c r="BA624" s="172"/>
      <c r="BB624" s="172"/>
      <c r="BC624" s="172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  <c r="BT624" s="172"/>
      <c r="BU624" s="172"/>
      <c r="BV624" s="172"/>
      <c r="BW624" s="172"/>
      <c r="BX624" s="172"/>
      <c r="BY624" s="174"/>
      <c r="BZ624" s="172"/>
      <c r="CA624" s="172"/>
      <c r="CD624" s="194"/>
      <c r="CE624" s="194"/>
      <c r="CF624" s="194"/>
      <c r="CG624" s="194"/>
      <c r="CH624" s="195"/>
      <c r="CI624" s="194"/>
      <c r="CJ624" s="194"/>
      <c r="CK624" s="194"/>
      <c r="CL624" s="196"/>
      <c r="CM624" s="196"/>
      <c r="CN624" s="194"/>
      <c r="CO624" s="197"/>
      <c r="CP624" s="196"/>
      <c r="CQ624" s="196"/>
      <c r="CR624" s="196"/>
      <c r="CS624" s="196"/>
      <c r="CT624" s="196"/>
      <c r="CU624" s="196"/>
      <c r="CV624" s="194"/>
      <c r="CW624" s="194"/>
      <c r="CX624" s="194"/>
      <c r="CY624" s="194"/>
      <c r="CZ624" s="194"/>
      <c r="DA624" s="194"/>
      <c r="DB624" s="194"/>
      <c r="DC624" s="194"/>
      <c r="DD624" s="194"/>
      <c r="DE624" s="194"/>
      <c r="DF624" s="196"/>
      <c r="DG624" s="198"/>
      <c r="DH624" s="194"/>
      <c r="DI624" s="282"/>
      <c r="DJ624" s="282"/>
      <c r="DK624" s="282"/>
      <c r="DL624" s="282"/>
    </row>
    <row r="625" spans="1:116" s="24" customFormat="1" x14ac:dyDescent="0.3">
      <c r="A625" s="172"/>
      <c r="B625" s="172"/>
      <c r="C625" s="172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2"/>
      <c r="AT625" s="172"/>
      <c r="AU625" s="172"/>
      <c r="AV625" s="172"/>
      <c r="AW625" s="172"/>
      <c r="AX625" s="172"/>
      <c r="AY625" s="172"/>
      <c r="AZ625" s="172"/>
      <c r="BA625" s="172"/>
      <c r="BB625" s="172"/>
      <c r="BC625" s="172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  <c r="BT625" s="172"/>
      <c r="BU625" s="172"/>
      <c r="BV625" s="172"/>
      <c r="BW625" s="172"/>
      <c r="BX625" s="172"/>
      <c r="BY625" s="174"/>
      <c r="BZ625" s="172"/>
      <c r="CA625" s="172"/>
      <c r="CD625" s="194"/>
      <c r="CE625" s="194"/>
      <c r="CF625" s="194"/>
      <c r="CG625" s="194"/>
      <c r="CH625" s="195"/>
      <c r="CI625" s="194"/>
      <c r="CJ625" s="194"/>
      <c r="CK625" s="194"/>
      <c r="CL625" s="196"/>
      <c r="CM625" s="196"/>
      <c r="CN625" s="194"/>
      <c r="CO625" s="197"/>
      <c r="CP625" s="196"/>
      <c r="CQ625" s="196"/>
      <c r="CR625" s="196"/>
      <c r="CS625" s="196"/>
      <c r="CT625" s="196"/>
      <c r="CU625" s="196"/>
      <c r="CV625" s="194"/>
      <c r="CW625" s="194"/>
      <c r="CX625" s="194"/>
      <c r="CY625" s="194"/>
      <c r="CZ625" s="194"/>
      <c r="DA625" s="194"/>
      <c r="DB625" s="194"/>
      <c r="DC625" s="194"/>
      <c r="DD625" s="194"/>
      <c r="DE625" s="194"/>
      <c r="DF625" s="196"/>
      <c r="DG625" s="198"/>
      <c r="DH625" s="194"/>
      <c r="DI625" s="282"/>
      <c r="DJ625" s="282"/>
      <c r="DK625" s="282"/>
      <c r="DL625" s="282"/>
    </row>
    <row r="626" spans="1:116" s="24" customFormat="1" x14ac:dyDescent="0.3">
      <c r="A626" s="172"/>
      <c r="B626" s="172"/>
      <c r="C626" s="172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2"/>
      <c r="AT626" s="172"/>
      <c r="AU626" s="172"/>
      <c r="AV626" s="172"/>
      <c r="AW626" s="172"/>
      <c r="AX626" s="172"/>
      <c r="AY626" s="172"/>
      <c r="AZ626" s="172"/>
      <c r="BA626" s="172"/>
      <c r="BB626" s="172"/>
      <c r="BC626" s="172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  <c r="BT626" s="172"/>
      <c r="BU626" s="172"/>
      <c r="BV626" s="172"/>
      <c r="BW626" s="172"/>
      <c r="BX626" s="172"/>
      <c r="BY626" s="174"/>
      <c r="BZ626" s="172"/>
      <c r="CA626" s="172"/>
      <c r="CD626" s="194"/>
      <c r="CE626" s="194"/>
      <c r="CF626" s="194"/>
      <c r="CG626" s="194"/>
      <c r="CH626" s="195"/>
      <c r="CI626" s="194"/>
      <c r="CJ626" s="194"/>
      <c r="CK626" s="194"/>
      <c r="CL626" s="196"/>
      <c r="CM626" s="196"/>
      <c r="CN626" s="194"/>
      <c r="CO626" s="197"/>
      <c r="CP626" s="196"/>
      <c r="CQ626" s="196"/>
      <c r="CR626" s="196"/>
      <c r="CS626" s="196"/>
      <c r="CT626" s="196"/>
      <c r="CU626" s="196"/>
      <c r="CV626" s="194"/>
      <c r="CW626" s="194"/>
      <c r="CX626" s="194"/>
      <c r="CY626" s="194"/>
      <c r="CZ626" s="194"/>
      <c r="DA626" s="194"/>
      <c r="DB626" s="194"/>
      <c r="DC626" s="194"/>
      <c r="DD626" s="194"/>
      <c r="DE626" s="194"/>
      <c r="DF626" s="196"/>
      <c r="DG626" s="198"/>
      <c r="DH626" s="194"/>
      <c r="DI626" s="282"/>
      <c r="DJ626" s="282"/>
      <c r="DK626" s="282"/>
      <c r="DL626" s="282"/>
    </row>
    <row r="627" spans="1:116" s="24" customFormat="1" x14ac:dyDescent="0.3">
      <c r="A627" s="172"/>
      <c r="B627" s="172"/>
      <c r="C627" s="172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2"/>
      <c r="AT627" s="172"/>
      <c r="AU627" s="172"/>
      <c r="AV627" s="172"/>
      <c r="AW627" s="172"/>
      <c r="AX627" s="172"/>
      <c r="AY627" s="172"/>
      <c r="AZ627" s="172"/>
      <c r="BA627" s="172"/>
      <c r="BB627" s="172"/>
      <c r="BC627" s="172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  <c r="BT627" s="172"/>
      <c r="BU627" s="172"/>
      <c r="BV627" s="172"/>
      <c r="BW627" s="172"/>
      <c r="BX627" s="172"/>
      <c r="BY627" s="174"/>
      <c r="BZ627" s="172"/>
      <c r="CA627" s="172"/>
      <c r="CD627" s="194"/>
      <c r="CE627" s="194"/>
      <c r="CF627" s="194"/>
      <c r="CG627" s="194"/>
      <c r="CH627" s="195"/>
      <c r="CI627" s="194"/>
      <c r="CJ627" s="194"/>
      <c r="CK627" s="194"/>
      <c r="CL627" s="196"/>
      <c r="CM627" s="196"/>
      <c r="CN627" s="194"/>
      <c r="CO627" s="197"/>
      <c r="CP627" s="196"/>
      <c r="CQ627" s="196"/>
      <c r="CR627" s="196"/>
      <c r="CS627" s="196"/>
      <c r="CT627" s="196"/>
      <c r="CU627" s="196"/>
      <c r="CV627" s="194"/>
      <c r="CW627" s="194"/>
      <c r="CX627" s="194"/>
      <c r="CY627" s="194"/>
      <c r="CZ627" s="194"/>
      <c r="DA627" s="194"/>
      <c r="DB627" s="194"/>
      <c r="DC627" s="194"/>
      <c r="DD627" s="194"/>
      <c r="DE627" s="194"/>
      <c r="DF627" s="196"/>
      <c r="DG627" s="198"/>
      <c r="DH627" s="194"/>
      <c r="DI627" s="282"/>
      <c r="DJ627" s="282"/>
      <c r="DK627" s="282"/>
      <c r="DL627" s="282"/>
    </row>
    <row r="628" spans="1:116" s="24" customFormat="1" x14ac:dyDescent="0.3">
      <c r="A628" s="172"/>
      <c r="B628" s="172"/>
      <c r="C628" s="172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2"/>
      <c r="AT628" s="172"/>
      <c r="AU628" s="172"/>
      <c r="AV628" s="172"/>
      <c r="AW628" s="172"/>
      <c r="AX628" s="172"/>
      <c r="AY628" s="172"/>
      <c r="AZ628" s="172"/>
      <c r="BA628" s="172"/>
      <c r="BB628" s="172"/>
      <c r="BC628" s="172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  <c r="BT628" s="172"/>
      <c r="BU628" s="172"/>
      <c r="BV628" s="172"/>
      <c r="BW628" s="172"/>
      <c r="BX628" s="172"/>
      <c r="BY628" s="174"/>
      <c r="BZ628" s="172"/>
      <c r="CA628" s="172"/>
      <c r="CD628" s="194"/>
      <c r="CE628" s="194"/>
      <c r="CF628" s="194"/>
      <c r="CG628" s="194"/>
      <c r="CH628" s="195"/>
      <c r="CI628" s="194"/>
      <c r="CJ628" s="194"/>
      <c r="CK628" s="194"/>
      <c r="CL628" s="196"/>
      <c r="CM628" s="196"/>
      <c r="CN628" s="194"/>
      <c r="CO628" s="197"/>
      <c r="CP628" s="196"/>
      <c r="CQ628" s="196"/>
      <c r="CR628" s="196"/>
      <c r="CS628" s="196"/>
      <c r="CT628" s="196"/>
      <c r="CU628" s="196"/>
      <c r="CV628" s="194"/>
      <c r="CW628" s="194"/>
      <c r="CX628" s="194"/>
      <c r="CY628" s="194"/>
      <c r="CZ628" s="194"/>
      <c r="DA628" s="194"/>
      <c r="DB628" s="194"/>
      <c r="DC628" s="194"/>
      <c r="DD628" s="194"/>
      <c r="DE628" s="194"/>
      <c r="DF628" s="196"/>
      <c r="DG628" s="198"/>
      <c r="DH628" s="194"/>
      <c r="DI628" s="282"/>
      <c r="DJ628" s="282"/>
      <c r="DK628" s="282"/>
      <c r="DL628" s="282"/>
    </row>
    <row r="629" spans="1:116" s="24" customFormat="1" x14ac:dyDescent="0.3">
      <c r="A629" s="172"/>
      <c r="B629" s="172"/>
      <c r="C629" s="172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2"/>
      <c r="AT629" s="172"/>
      <c r="AU629" s="172"/>
      <c r="AV629" s="172"/>
      <c r="AW629" s="172"/>
      <c r="AX629" s="172"/>
      <c r="AY629" s="172"/>
      <c r="AZ629" s="172"/>
      <c r="BA629" s="172"/>
      <c r="BB629" s="172"/>
      <c r="BC629" s="172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  <c r="BT629" s="172"/>
      <c r="BU629" s="172"/>
      <c r="BV629" s="172"/>
      <c r="BW629" s="172"/>
      <c r="BX629" s="172"/>
      <c r="BY629" s="174"/>
      <c r="BZ629" s="172"/>
      <c r="CA629" s="172"/>
      <c r="CD629" s="194"/>
      <c r="CE629" s="194"/>
      <c r="CF629" s="194"/>
      <c r="CG629" s="194"/>
      <c r="CH629" s="195"/>
      <c r="CI629" s="194"/>
      <c r="CJ629" s="194"/>
      <c r="CK629" s="194"/>
      <c r="CL629" s="196"/>
      <c r="CM629" s="196"/>
      <c r="CN629" s="194"/>
      <c r="CO629" s="197"/>
      <c r="CP629" s="196"/>
      <c r="CQ629" s="196"/>
      <c r="CR629" s="196"/>
      <c r="CS629" s="196"/>
      <c r="CT629" s="196"/>
      <c r="CU629" s="196"/>
      <c r="CV629" s="194"/>
      <c r="CW629" s="194"/>
      <c r="CX629" s="194"/>
      <c r="CY629" s="194"/>
      <c r="CZ629" s="194"/>
      <c r="DA629" s="194"/>
      <c r="DB629" s="194"/>
      <c r="DC629" s="194"/>
      <c r="DD629" s="194"/>
      <c r="DE629" s="194"/>
      <c r="DF629" s="196"/>
      <c r="DG629" s="198"/>
      <c r="DH629" s="194"/>
      <c r="DI629" s="282"/>
      <c r="DJ629" s="282"/>
      <c r="DK629" s="282"/>
      <c r="DL629" s="282"/>
    </row>
    <row r="630" spans="1:116" s="24" customFormat="1" x14ac:dyDescent="0.3">
      <c r="A630" s="172"/>
      <c r="B630" s="172"/>
      <c r="C630" s="172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2"/>
      <c r="AT630" s="172"/>
      <c r="AU630" s="172"/>
      <c r="AV630" s="172"/>
      <c r="AW630" s="172"/>
      <c r="AX630" s="172"/>
      <c r="AY630" s="172"/>
      <c r="AZ630" s="172"/>
      <c r="BA630" s="172"/>
      <c r="BB630" s="172"/>
      <c r="BC630" s="172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  <c r="BT630" s="172"/>
      <c r="BU630" s="172"/>
      <c r="BV630" s="172"/>
      <c r="BW630" s="172"/>
      <c r="BX630" s="172"/>
      <c r="BY630" s="174"/>
      <c r="BZ630" s="172"/>
      <c r="CA630" s="172"/>
      <c r="CD630" s="194"/>
      <c r="CE630" s="194"/>
      <c r="CF630" s="194"/>
      <c r="CG630" s="194"/>
      <c r="CH630" s="195"/>
      <c r="CI630" s="194"/>
      <c r="CJ630" s="194"/>
      <c r="CK630" s="194"/>
      <c r="CL630" s="196"/>
      <c r="CM630" s="196"/>
      <c r="CN630" s="194"/>
      <c r="CO630" s="197"/>
      <c r="CP630" s="196"/>
      <c r="CQ630" s="196"/>
      <c r="CR630" s="196"/>
      <c r="CS630" s="196"/>
      <c r="CT630" s="196"/>
      <c r="CU630" s="196"/>
      <c r="CV630" s="194"/>
      <c r="CW630" s="194"/>
      <c r="CX630" s="194"/>
      <c r="CY630" s="194"/>
      <c r="CZ630" s="194"/>
      <c r="DA630" s="194"/>
      <c r="DB630" s="194"/>
      <c r="DC630" s="194"/>
      <c r="DD630" s="194"/>
      <c r="DE630" s="194"/>
      <c r="DF630" s="196"/>
      <c r="DG630" s="198"/>
      <c r="DH630" s="194"/>
      <c r="DI630" s="282"/>
      <c r="DJ630" s="282"/>
      <c r="DK630" s="282"/>
      <c r="DL630" s="282"/>
    </row>
    <row r="631" spans="1:116" s="24" customFormat="1" x14ac:dyDescent="0.3">
      <c r="A631" s="172"/>
      <c r="B631" s="172"/>
      <c r="C631" s="172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2"/>
      <c r="AT631" s="172"/>
      <c r="AU631" s="172"/>
      <c r="AV631" s="172"/>
      <c r="AW631" s="172"/>
      <c r="AX631" s="172"/>
      <c r="AY631" s="172"/>
      <c r="AZ631" s="172"/>
      <c r="BA631" s="172"/>
      <c r="BB631" s="172"/>
      <c r="BC631" s="172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  <c r="BT631" s="172"/>
      <c r="BU631" s="172"/>
      <c r="BV631" s="172"/>
      <c r="BW631" s="172"/>
      <c r="BX631" s="172"/>
      <c r="BY631" s="174"/>
      <c r="BZ631" s="172"/>
      <c r="CA631" s="172"/>
      <c r="CD631" s="194"/>
      <c r="CE631" s="194"/>
      <c r="CF631" s="194"/>
      <c r="CG631" s="194"/>
      <c r="CH631" s="195"/>
      <c r="CI631" s="194"/>
      <c r="CJ631" s="194"/>
      <c r="CK631" s="194"/>
      <c r="CL631" s="196"/>
      <c r="CM631" s="196"/>
      <c r="CN631" s="194"/>
      <c r="CO631" s="197"/>
      <c r="CP631" s="196"/>
      <c r="CQ631" s="196"/>
      <c r="CR631" s="196"/>
      <c r="CS631" s="196"/>
      <c r="CT631" s="196"/>
      <c r="CU631" s="196"/>
      <c r="CV631" s="194"/>
      <c r="CW631" s="194"/>
      <c r="CX631" s="194"/>
      <c r="CY631" s="194"/>
      <c r="CZ631" s="194"/>
      <c r="DA631" s="194"/>
      <c r="DB631" s="194"/>
      <c r="DC631" s="194"/>
      <c r="DD631" s="194"/>
      <c r="DE631" s="194"/>
      <c r="DF631" s="196"/>
      <c r="DG631" s="198"/>
      <c r="DH631" s="194"/>
      <c r="DI631" s="282"/>
      <c r="DJ631" s="282"/>
      <c r="DK631" s="282"/>
      <c r="DL631" s="282"/>
    </row>
    <row r="632" spans="1:116" s="24" customFormat="1" x14ac:dyDescent="0.3">
      <c r="A632" s="172"/>
      <c r="B632" s="172"/>
      <c r="C632" s="172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2"/>
      <c r="AT632" s="172"/>
      <c r="AU632" s="172"/>
      <c r="AV632" s="172"/>
      <c r="AW632" s="172"/>
      <c r="AX632" s="172"/>
      <c r="AY632" s="172"/>
      <c r="AZ632" s="172"/>
      <c r="BA632" s="172"/>
      <c r="BB632" s="172"/>
      <c r="BC632" s="172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  <c r="BT632" s="172"/>
      <c r="BU632" s="172"/>
      <c r="BV632" s="172"/>
      <c r="BW632" s="172"/>
      <c r="BX632" s="172"/>
      <c r="BY632" s="174"/>
      <c r="BZ632" s="172"/>
      <c r="CA632" s="172"/>
      <c r="CD632" s="194"/>
      <c r="CE632" s="194"/>
      <c r="CF632" s="194"/>
      <c r="CG632" s="194"/>
      <c r="CH632" s="195"/>
      <c r="CI632" s="194"/>
      <c r="CJ632" s="194"/>
      <c r="CK632" s="194"/>
      <c r="CL632" s="196"/>
      <c r="CM632" s="196"/>
      <c r="CN632" s="194"/>
      <c r="CO632" s="197"/>
      <c r="CP632" s="196"/>
      <c r="CQ632" s="196"/>
      <c r="CR632" s="196"/>
      <c r="CS632" s="196"/>
      <c r="CT632" s="196"/>
      <c r="CU632" s="196"/>
      <c r="CV632" s="194"/>
      <c r="CW632" s="194"/>
      <c r="CX632" s="194"/>
      <c r="CY632" s="194"/>
      <c r="CZ632" s="194"/>
      <c r="DA632" s="194"/>
      <c r="DB632" s="194"/>
      <c r="DC632" s="194"/>
      <c r="DD632" s="194"/>
      <c r="DE632" s="194"/>
      <c r="DF632" s="196"/>
      <c r="DG632" s="198"/>
      <c r="DH632" s="194"/>
      <c r="DI632" s="282"/>
      <c r="DJ632" s="282"/>
      <c r="DK632" s="282"/>
      <c r="DL632" s="282"/>
    </row>
    <row r="633" spans="1:116" s="24" customFormat="1" x14ac:dyDescent="0.3">
      <c r="A633" s="172"/>
      <c r="B633" s="172"/>
      <c r="C633" s="172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2"/>
      <c r="AT633" s="172"/>
      <c r="AU633" s="172"/>
      <c r="AV633" s="172"/>
      <c r="AW633" s="172"/>
      <c r="AX633" s="172"/>
      <c r="AY633" s="172"/>
      <c r="AZ633" s="172"/>
      <c r="BA633" s="172"/>
      <c r="BB633" s="172"/>
      <c r="BC633" s="172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  <c r="BT633" s="172"/>
      <c r="BU633" s="172"/>
      <c r="BV633" s="172"/>
      <c r="BW633" s="172"/>
      <c r="BX633" s="172"/>
      <c r="BY633" s="174"/>
      <c r="BZ633" s="172"/>
      <c r="CA633" s="172"/>
      <c r="CD633" s="194"/>
      <c r="CE633" s="194"/>
      <c r="CF633" s="194"/>
      <c r="CG633" s="194"/>
      <c r="CH633" s="195"/>
      <c r="CI633" s="194"/>
      <c r="CJ633" s="194"/>
      <c r="CK633" s="194"/>
      <c r="CL633" s="196"/>
      <c r="CM633" s="196"/>
      <c r="CN633" s="194"/>
      <c r="CO633" s="197"/>
      <c r="CP633" s="196"/>
      <c r="CQ633" s="196"/>
      <c r="CR633" s="196"/>
      <c r="CS633" s="196"/>
      <c r="CT633" s="196"/>
      <c r="CU633" s="196"/>
      <c r="CV633" s="194"/>
      <c r="CW633" s="194"/>
      <c r="CX633" s="194"/>
      <c r="CY633" s="194"/>
      <c r="CZ633" s="194"/>
      <c r="DA633" s="194"/>
      <c r="DB633" s="194"/>
      <c r="DC633" s="194"/>
      <c r="DD633" s="194"/>
      <c r="DE633" s="194"/>
      <c r="DF633" s="196"/>
      <c r="DG633" s="198"/>
      <c r="DH633" s="194"/>
      <c r="DI633" s="282"/>
      <c r="DJ633" s="282"/>
      <c r="DK633" s="282"/>
      <c r="DL633" s="282"/>
    </row>
    <row r="634" spans="1:116" s="24" customFormat="1" x14ac:dyDescent="0.3">
      <c r="A634" s="172"/>
      <c r="B634" s="172"/>
      <c r="C634" s="172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2"/>
      <c r="AT634" s="172"/>
      <c r="AU634" s="172"/>
      <c r="AV634" s="172"/>
      <c r="AW634" s="172"/>
      <c r="AX634" s="172"/>
      <c r="AY634" s="172"/>
      <c r="AZ634" s="172"/>
      <c r="BA634" s="172"/>
      <c r="BB634" s="172"/>
      <c r="BC634" s="172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  <c r="BT634" s="172"/>
      <c r="BU634" s="172"/>
      <c r="BV634" s="172"/>
      <c r="BW634" s="172"/>
      <c r="BX634" s="172"/>
      <c r="BY634" s="174"/>
      <c r="BZ634" s="172"/>
      <c r="CA634" s="172"/>
      <c r="CD634" s="194"/>
      <c r="CE634" s="194"/>
      <c r="CF634" s="194"/>
      <c r="CG634" s="194"/>
      <c r="CH634" s="195"/>
      <c r="CI634" s="194"/>
      <c r="CJ634" s="194"/>
      <c r="CK634" s="194"/>
      <c r="CL634" s="196"/>
      <c r="CM634" s="196"/>
      <c r="CN634" s="194"/>
      <c r="CO634" s="197"/>
      <c r="CP634" s="196"/>
      <c r="CQ634" s="196"/>
      <c r="CR634" s="196"/>
      <c r="CS634" s="196"/>
      <c r="CT634" s="196"/>
      <c r="CU634" s="196"/>
      <c r="CV634" s="194"/>
      <c r="CW634" s="194"/>
      <c r="CX634" s="194"/>
      <c r="CY634" s="194"/>
      <c r="CZ634" s="194"/>
      <c r="DA634" s="194"/>
      <c r="DB634" s="194"/>
      <c r="DC634" s="194"/>
      <c r="DD634" s="194"/>
      <c r="DE634" s="194"/>
      <c r="DF634" s="196"/>
      <c r="DG634" s="198"/>
      <c r="DH634" s="194"/>
      <c r="DI634" s="282"/>
      <c r="DJ634" s="282"/>
      <c r="DK634" s="282"/>
      <c r="DL634" s="282"/>
    </row>
    <row r="635" spans="1:116" s="24" customFormat="1" x14ac:dyDescent="0.3">
      <c r="A635" s="172"/>
      <c r="B635" s="172"/>
      <c r="C635" s="172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2"/>
      <c r="AT635" s="172"/>
      <c r="AU635" s="172"/>
      <c r="AV635" s="172"/>
      <c r="AW635" s="172"/>
      <c r="AX635" s="172"/>
      <c r="AY635" s="172"/>
      <c r="AZ635" s="172"/>
      <c r="BA635" s="172"/>
      <c r="BB635" s="172"/>
      <c r="BC635" s="172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  <c r="BT635" s="172"/>
      <c r="BU635" s="172"/>
      <c r="BV635" s="172"/>
      <c r="BW635" s="172"/>
      <c r="BX635" s="172"/>
      <c r="BY635" s="174"/>
      <c r="BZ635" s="172"/>
      <c r="CA635" s="172"/>
      <c r="CD635" s="194"/>
      <c r="CE635" s="194"/>
      <c r="CF635" s="194"/>
      <c r="CG635" s="194"/>
      <c r="CH635" s="195"/>
      <c r="CI635" s="194"/>
      <c r="CJ635" s="194"/>
      <c r="CK635" s="194"/>
      <c r="CL635" s="196"/>
      <c r="CM635" s="196"/>
      <c r="CN635" s="194"/>
      <c r="CO635" s="197"/>
      <c r="CP635" s="196"/>
      <c r="CQ635" s="196"/>
      <c r="CR635" s="196"/>
      <c r="CS635" s="196"/>
      <c r="CT635" s="196"/>
      <c r="CU635" s="196"/>
      <c r="CV635" s="194"/>
      <c r="CW635" s="194"/>
      <c r="CX635" s="194"/>
      <c r="CY635" s="194"/>
      <c r="CZ635" s="194"/>
      <c r="DA635" s="194"/>
      <c r="DB635" s="194"/>
      <c r="DC635" s="194"/>
      <c r="DD635" s="194"/>
      <c r="DE635" s="194"/>
      <c r="DF635" s="196"/>
      <c r="DG635" s="198"/>
      <c r="DH635" s="194"/>
      <c r="DI635" s="282"/>
      <c r="DJ635" s="282"/>
      <c r="DK635" s="282"/>
      <c r="DL635" s="282"/>
    </row>
    <row r="636" spans="1:116" s="24" customFormat="1" x14ac:dyDescent="0.3">
      <c r="A636" s="172"/>
      <c r="B636" s="172"/>
      <c r="C636" s="172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2"/>
      <c r="AT636" s="172"/>
      <c r="AU636" s="172"/>
      <c r="AV636" s="172"/>
      <c r="AW636" s="172"/>
      <c r="AX636" s="172"/>
      <c r="AY636" s="172"/>
      <c r="AZ636" s="172"/>
      <c r="BA636" s="172"/>
      <c r="BB636" s="172"/>
      <c r="BC636" s="172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  <c r="BT636" s="172"/>
      <c r="BU636" s="172"/>
      <c r="BV636" s="172"/>
      <c r="BW636" s="172"/>
      <c r="BX636" s="172"/>
      <c r="BY636" s="174"/>
      <c r="BZ636" s="172"/>
      <c r="CA636" s="172"/>
      <c r="CD636" s="194"/>
      <c r="CE636" s="194"/>
      <c r="CF636" s="194"/>
      <c r="CG636" s="194"/>
      <c r="CH636" s="195"/>
      <c r="CI636" s="194"/>
      <c r="CJ636" s="194"/>
      <c r="CK636" s="194"/>
      <c r="CL636" s="196"/>
      <c r="CM636" s="196"/>
      <c r="CN636" s="194"/>
      <c r="CO636" s="197"/>
      <c r="CP636" s="196"/>
      <c r="CQ636" s="196"/>
      <c r="CR636" s="196"/>
      <c r="CS636" s="196"/>
      <c r="CT636" s="196"/>
      <c r="CU636" s="196"/>
      <c r="CV636" s="194"/>
      <c r="CW636" s="194"/>
      <c r="CX636" s="194"/>
      <c r="CY636" s="194"/>
      <c r="CZ636" s="194"/>
      <c r="DA636" s="194"/>
      <c r="DB636" s="194"/>
      <c r="DC636" s="194"/>
      <c r="DD636" s="194"/>
      <c r="DE636" s="194"/>
      <c r="DF636" s="196"/>
      <c r="DG636" s="198"/>
      <c r="DH636" s="194"/>
      <c r="DI636" s="282"/>
      <c r="DJ636" s="282"/>
      <c r="DK636" s="282"/>
      <c r="DL636" s="282"/>
    </row>
    <row r="637" spans="1:116" s="24" customFormat="1" x14ac:dyDescent="0.3">
      <c r="A637" s="172"/>
      <c r="B637" s="172"/>
      <c r="C637" s="172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2"/>
      <c r="AT637" s="172"/>
      <c r="AU637" s="172"/>
      <c r="AV637" s="172"/>
      <c r="AW637" s="172"/>
      <c r="AX637" s="172"/>
      <c r="AY637" s="172"/>
      <c r="AZ637" s="172"/>
      <c r="BA637" s="172"/>
      <c r="BB637" s="172"/>
      <c r="BC637" s="172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  <c r="BT637" s="172"/>
      <c r="BU637" s="172"/>
      <c r="BV637" s="172"/>
      <c r="BW637" s="172"/>
      <c r="BX637" s="172"/>
      <c r="BY637" s="174"/>
      <c r="BZ637" s="172"/>
      <c r="CA637" s="172"/>
      <c r="CD637" s="194"/>
      <c r="CE637" s="194"/>
      <c r="CF637" s="194"/>
      <c r="CG637" s="194"/>
      <c r="CH637" s="195"/>
      <c r="CI637" s="194"/>
      <c r="CJ637" s="194"/>
      <c r="CK637" s="194"/>
      <c r="CL637" s="196"/>
      <c r="CM637" s="196"/>
      <c r="CN637" s="194"/>
      <c r="CO637" s="197"/>
      <c r="CP637" s="196"/>
      <c r="CQ637" s="196"/>
      <c r="CR637" s="196"/>
      <c r="CS637" s="196"/>
      <c r="CT637" s="196"/>
      <c r="CU637" s="196"/>
      <c r="CV637" s="194"/>
      <c r="CW637" s="194"/>
      <c r="CX637" s="194"/>
      <c r="CY637" s="194"/>
      <c r="CZ637" s="194"/>
      <c r="DA637" s="194"/>
      <c r="DB637" s="194"/>
      <c r="DC637" s="194"/>
      <c r="DD637" s="194"/>
      <c r="DE637" s="194"/>
      <c r="DF637" s="196"/>
      <c r="DG637" s="198"/>
      <c r="DH637" s="194"/>
      <c r="DI637" s="282"/>
      <c r="DJ637" s="282"/>
      <c r="DK637" s="282"/>
      <c r="DL637" s="282"/>
    </row>
    <row r="638" spans="1:116" s="24" customFormat="1" x14ac:dyDescent="0.3">
      <c r="A638" s="172"/>
      <c r="B638" s="172"/>
      <c r="C638" s="172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2"/>
      <c r="AT638" s="172"/>
      <c r="AU638" s="172"/>
      <c r="AV638" s="172"/>
      <c r="AW638" s="172"/>
      <c r="AX638" s="172"/>
      <c r="AY638" s="172"/>
      <c r="AZ638" s="172"/>
      <c r="BA638" s="172"/>
      <c r="BB638" s="172"/>
      <c r="BC638" s="172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  <c r="BT638" s="172"/>
      <c r="BU638" s="172"/>
      <c r="BV638" s="172"/>
      <c r="BW638" s="172"/>
      <c r="BX638" s="172"/>
      <c r="BY638" s="174"/>
      <c r="BZ638" s="172"/>
      <c r="CA638" s="172"/>
      <c r="CD638" s="194"/>
      <c r="CE638" s="194"/>
      <c r="CF638" s="194"/>
      <c r="CG638" s="194"/>
      <c r="CH638" s="195"/>
      <c r="CI638" s="194"/>
      <c r="CJ638" s="194"/>
      <c r="CK638" s="194"/>
      <c r="CL638" s="196"/>
      <c r="CM638" s="196"/>
      <c r="CN638" s="194"/>
      <c r="CO638" s="197"/>
      <c r="CP638" s="196"/>
      <c r="CQ638" s="196"/>
      <c r="CR638" s="196"/>
      <c r="CS638" s="196"/>
      <c r="CT638" s="196"/>
      <c r="CU638" s="196"/>
      <c r="CV638" s="194"/>
      <c r="CW638" s="194"/>
      <c r="CX638" s="194"/>
      <c r="CY638" s="194"/>
      <c r="CZ638" s="194"/>
      <c r="DA638" s="194"/>
      <c r="DB638" s="194"/>
      <c r="DC638" s="194"/>
      <c r="DD638" s="194"/>
      <c r="DE638" s="194"/>
      <c r="DF638" s="196"/>
      <c r="DG638" s="198"/>
      <c r="DH638" s="194"/>
      <c r="DI638" s="282"/>
      <c r="DJ638" s="282"/>
      <c r="DK638" s="282"/>
      <c r="DL638" s="282"/>
    </row>
    <row r="639" spans="1:116" s="24" customFormat="1" x14ac:dyDescent="0.3">
      <c r="A639" s="172"/>
      <c r="B639" s="172"/>
      <c r="C639" s="172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2"/>
      <c r="AT639" s="172"/>
      <c r="AU639" s="172"/>
      <c r="AV639" s="172"/>
      <c r="AW639" s="172"/>
      <c r="AX639" s="172"/>
      <c r="AY639" s="172"/>
      <c r="AZ639" s="172"/>
      <c r="BA639" s="172"/>
      <c r="BB639" s="172"/>
      <c r="BC639" s="172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  <c r="BT639" s="172"/>
      <c r="BU639" s="172"/>
      <c r="BV639" s="172"/>
      <c r="BW639" s="172"/>
      <c r="BX639" s="172"/>
      <c r="BY639" s="174"/>
      <c r="BZ639" s="172"/>
      <c r="CA639" s="172"/>
      <c r="CD639" s="194"/>
      <c r="CE639" s="194"/>
      <c r="CF639" s="194"/>
      <c r="CG639" s="194"/>
      <c r="CH639" s="195"/>
      <c r="CI639" s="194"/>
      <c r="CJ639" s="194"/>
      <c r="CK639" s="194"/>
      <c r="CL639" s="196"/>
      <c r="CM639" s="196"/>
      <c r="CN639" s="194"/>
      <c r="CO639" s="197"/>
      <c r="CP639" s="196"/>
      <c r="CQ639" s="196"/>
      <c r="CR639" s="196"/>
      <c r="CS639" s="196"/>
      <c r="CT639" s="196"/>
      <c r="CU639" s="196"/>
      <c r="CV639" s="194"/>
      <c r="CW639" s="194"/>
      <c r="CX639" s="194"/>
      <c r="CY639" s="194"/>
      <c r="CZ639" s="194"/>
      <c r="DA639" s="194"/>
      <c r="DB639" s="194"/>
      <c r="DC639" s="194"/>
      <c r="DD639" s="194"/>
      <c r="DE639" s="194"/>
      <c r="DF639" s="196"/>
      <c r="DG639" s="198"/>
      <c r="DH639" s="194"/>
      <c r="DI639" s="282"/>
      <c r="DJ639" s="282"/>
      <c r="DK639" s="282"/>
      <c r="DL639" s="282"/>
    </row>
    <row r="640" spans="1:116" s="24" customFormat="1" x14ac:dyDescent="0.3">
      <c r="A640" s="172"/>
      <c r="B640" s="172"/>
      <c r="C640" s="172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2"/>
      <c r="AT640" s="172"/>
      <c r="AU640" s="172"/>
      <c r="AV640" s="172"/>
      <c r="AW640" s="172"/>
      <c r="AX640" s="172"/>
      <c r="AY640" s="172"/>
      <c r="AZ640" s="172"/>
      <c r="BA640" s="172"/>
      <c r="BB640" s="172"/>
      <c r="BC640" s="172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  <c r="BT640" s="172"/>
      <c r="BU640" s="172"/>
      <c r="BV640" s="172"/>
      <c r="BW640" s="172"/>
      <c r="BX640" s="172"/>
      <c r="BY640" s="174"/>
      <c r="BZ640" s="172"/>
      <c r="CA640" s="172"/>
      <c r="CD640" s="194"/>
      <c r="CE640" s="194"/>
      <c r="CF640" s="194"/>
      <c r="CG640" s="194"/>
      <c r="CH640" s="195"/>
      <c r="CI640" s="194"/>
      <c r="CJ640" s="194"/>
      <c r="CK640" s="194"/>
      <c r="CL640" s="196"/>
      <c r="CM640" s="196"/>
      <c r="CN640" s="194"/>
      <c r="CO640" s="197"/>
      <c r="CP640" s="196"/>
      <c r="CQ640" s="196"/>
      <c r="CR640" s="196"/>
      <c r="CS640" s="196"/>
      <c r="CT640" s="196"/>
      <c r="CU640" s="196"/>
      <c r="CV640" s="194"/>
      <c r="CW640" s="194"/>
      <c r="CX640" s="194"/>
      <c r="CY640" s="194"/>
      <c r="CZ640" s="194"/>
      <c r="DA640" s="194"/>
      <c r="DB640" s="194"/>
      <c r="DC640" s="194"/>
      <c r="DD640" s="194"/>
      <c r="DE640" s="194"/>
      <c r="DF640" s="196"/>
      <c r="DG640" s="198"/>
      <c r="DH640" s="194"/>
      <c r="DI640" s="282"/>
      <c r="DJ640" s="282"/>
      <c r="DK640" s="282"/>
      <c r="DL640" s="282"/>
    </row>
    <row r="641" spans="1:116" s="24" customFormat="1" x14ac:dyDescent="0.3">
      <c r="A641" s="172"/>
      <c r="B641" s="172"/>
      <c r="C641" s="172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2"/>
      <c r="AT641" s="172"/>
      <c r="AU641" s="172"/>
      <c r="AV641" s="172"/>
      <c r="AW641" s="172"/>
      <c r="AX641" s="172"/>
      <c r="AY641" s="172"/>
      <c r="AZ641" s="172"/>
      <c r="BA641" s="172"/>
      <c r="BB641" s="172"/>
      <c r="BC641" s="172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  <c r="BT641" s="172"/>
      <c r="BU641" s="172"/>
      <c r="BV641" s="172"/>
      <c r="BW641" s="172"/>
      <c r="BX641" s="172"/>
      <c r="BY641" s="174"/>
      <c r="BZ641" s="172"/>
      <c r="CA641" s="172"/>
      <c r="CD641" s="194"/>
      <c r="CE641" s="194"/>
      <c r="CF641" s="194"/>
      <c r="CG641" s="194"/>
      <c r="CH641" s="195"/>
      <c r="CI641" s="194"/>
      <c r="CJ641" s="194"/>
      <c r="CK641" s="194"/>
      <c r="CL641" s="196"/>
      <c r="CM641" s="196"/>
      <c r="CN641" s="194"/>
      <c r="CO641" s="197"/>
      <c r="CP641" s="196"/>
      <c r="CQ641" s="196"/>
      <c r="CR641" s="196"/>
      <c r="CS641" s="196"/>
      <c r="CT641" s="196"/>
      <c r="CU641" s="196"/>
      <c r="CV641" s="194"/>
      <c r="CW641" s="194"/>
      <c r="CX641" s="194"/>
      <c r="CY641" s="194"/>
      <c r="CZ641" s="194"/>
      <c r="DA641" s="194"/>
      <c r="DB641" s="194"/>
      <c r="DC641" s="194"/>
      <c r="DD641" s="194"/>
      <c r="DE641" s="194"/>
      <c r="DF641" s="196"/>
      <c r="DG641" s="198"/>
      <c r="DH641" s="194"/>
      <c r="DI641" s="282"/>
      <c r="DJ641" s="282"/>
      <c r="DK641" s="282"/>
      <c r="DL641" s="282"/>
    </row>
    <row r="642" spans="1:116" s="24" customFormat="1" x14ac:dyDescent="0.3">
      <c r="A642" s="172"/>
      <c r="B642" s="172"/>
      <c r="C642" s="172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2"/>
      <c r="AT642" s="172"/>
      <c r="AU642" s="172"/>
      <c r="AV642" s="172"/>
      <c r="AW642" s="172"/>
      <c r="AX642" s="172"/>
      <c r="AY642" s="172"/>
      <c r="AZ642" s="172"/>
      <c r="BA642" s="172"/>
      <c r="BB642" s="172"/>
      <c r="BC642" s="172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  <c r="BT642" s="172"/>
      <c r="BU642" s="172"/>
      <c r="BV642" s="172"/>
      <c r="BW642" s="172"/>
      <c r="BX642" s="172"/>
      <c r="BY642" s="174"/>
      <c r="BZ642" s="172"/>
      <c r="CA642" s="172"/>
      <c r="CD642" s="194"/>
      <c r="CE642" s="194"/>
      <c r="CF642" s="194"/>
      <c r="CG642" s="194"/>
      <c r="CH642" s="195"/>
      <c r="CI642" s="194"/>
      <c r="CJ642" s="194"/>
      <c r="CK642" s="194"/>
      <c r="CL642" s="196"/>
      <c r="CM642" s="196"/>
      <c r="CN642" s="194"/>
      <c r="CO642" s="197"/>
      <c r="CP642" s="196"/>
      <c r="CQ642" s="196"/>
      <c r="CR642" s="196"/>
      <c r="CS642" s="196"/>
      <c r="CT642" s="196"/>
      <c r="CU642" s="196"/>
      <c r="CV642" s="194"/>
      <c r="CW642" s="194"/>
      <c r="CX642" s="194"/>
      <c r="CY642" s="194"/>
      <c r="CZ642" s="194"/>
      <c r="DA642" s="194"/>
      <c r="DB642" s="194"/>
      <c r="DC642" s="194"/>
      <c r="DD642" s="194"/>
      <c r="DE642" s="194"/>
      <c r="DF642" s="196"/>
      <c r="DG642" s="198"/>
      <c r="DH642" s="194"/>
      <c r="DI642" s="282"/>
      <c r="DJ642" s="282"/>
      <c r="DK642" s="282"/>
      <c r="DL642" s="282"/>
    </row>
    <row r="643" spans="1:116" s="24" customFormat="1" x14ac:dyDescent="0.3">
      <c r="A643" s="172"/>
      <c r="B643" s="172"/>
      <c r="C643" s="172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2"/>
      <c r="AT643" s="172"/>
      <c r="AU643" s="172"/>
      <c r="AV643" s="172"/>
      <c r="AW643" s="172"/>
      <c r="AX643" s="172"/>
      <c r="AY643" s="172"/>
      <c r="AZ643" s="172"/>
      <c r="BA643" s="172"/>
      <c r="BB643" s="172"/>
      <c r="BC643" s="172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  <c r="BT643" s="172"/>
      <c r="BU643" s="172"/>
      <c r="BV643" s="172"/>
      <c r="BW643" s="172"/>
      <c r="BX643" s="172"/>
      <c r="BY643" s="174"/>
      <c r="BZ643" s="172"/>
      <c r="CA643" s="172"/>
      <c r="CD643" s="194"/>
      <c r="CE643" s="194"/>
      <c r="CF643" s="194"/>
      <c r="CG643" s="194"/>
      <c r="CH643" s="195"/>
      <c r="CI643" s="194"/>
      <c r="CJ643" s="194"/>
      <c r="CK643" s="194"/>
      <c r="CL643" s="196"/>
      <c r="CM643" s="196"/>
      <c r="CN643" s="194"/>
      <c r="CO643" s="197"/>
      <c r="CP643" s="196"/>
      <c r="CQ643" s="196"/>
      <c r="CR643" s="196"/>
      <c r="CS643" s="196"/>
      <c r="CT643" s="196"/>
      <c r="CU643" s="196"/>
      <c r="CV643" s="194"/>
      <c r="CW643" s="194"/>
      <c r="CX643" s="194"/>
      <c r="CY643" s="194"/>
      <c r="CZ643" s="194"/>
      <c r="DA643" s="194"/>
      <c r="DB643" s="194"/>
      <c r="DC643" s="194"/>
      <c r="DD643" s="194"/>
      <c r="DE643" s="194"/>
      <c r="DF643" s="196"/>
      <c r="DG643" s="198"/>
      <c r="DH643" s="194"/>
      <c r="DI643" s="282"/>
      <c r="DJ643" s="282"/>
      <c r="DK643" s="282"/>
      <c r="DL643" s="282"/>
    </row>
    <row r="644" spans="1:116" s="24" customFormat="1" x14ac:dyDescent="0.3">
      <c r="A644" s="172"/>
      <c r="B644" s="172"/>
      <c r="C644" s="172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2"/>
      <c r="AT644" s="172"/>
      <c r="AU644" s="172"/>
      <c r="AV644" s="172"/>
      <c r="AW644" s="172"/>
      <c r="AX644" s="172"/>
      <c r="AY644" s="172"/>
      <c r="AZ644" s="172"/>
      <c r="BA644" s="172"/>
      <c r="BB644" s="172"/>
      <c r="BC644" s="172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  <c r="BT644" s="172"/>
      <c r="BU644" s="172"/>
      <c r="BV644" s="172"/>
      <c r="BW644" s="172"/>
      <c r="BX644" s="172"/>
      <c r="BY644" s="174"/>
      <c r="BZ644" s="172"/>
      <c r="CA644" s="172"/>
      <c r="CD644" s="194"/>
      <c r="CE644" s="194"/>
      <c r="CF644" s="194"/>
      <c r="CG644" s="194"/>
      <c r="CH644" s="195"/>
      <c r="CI644" s="194"/>
      <c r="CJ644" s="194"/>
      <c r="CK644" s="194"/>
      <c r="CL644" s="196"/>
      <c r="CM644" s="196"/>
      <c r="CN644" s="194"/>
      <c r="CO644" s="197"/>
      <c r="CP644" s="196"/>
      <c r="CQ644" s="196"/>
      <c r="CR644" s="196"/>
      <c r="CS644" s="196"/>
      <c r="CT644" s="196"/>
      <c r="CU644" s="196"/>
      <c r="CV644" s="194"/>
      <c r="CW644" s="194"/>
      <c r="CX644" s="194"/>
      <c r="CY644" s="194"/>
      <c r="CZ644" s="194"/>
      <c r="DA644" s="194"/>
      <c r="DB644" s="194"/>
      <c r="DC644" s="194"/>
      <c r="DD644" s="194"/>
      <c r="DE644" s="194"/>
      <c r="DF644" s="196"/>
      <c r="DG644" s="198"/>
      <c r="DH644" s="194"/>
      <c r="DI644" s="282"/>
      <c r="DJ644" s="282"/>
      <c r="DK644" s="282"/>
      <c r="DL644" s="282"/>
    </row>
    <row r="645" spans="1:116" s="24" customFormat="1" x14ac:dyDescent="0.3">
      <c r="A645" s="172"/>
      <c r="B645" s="172"/>
      <c r="C645" s="172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2"/>
      <c r="AT645" s="172"/>
      <c r="AU645" s="172"/>
      <c r="AV645" s="172"/>
      <c r="AW645" s="172"/>
      <c r="AX645" s="172"/>
      <c r="AY645" s="172"/>
      <c r="AZ645" s="172"/>
      <c r="BA645" s="172"/>
      <c r="BB645" s="172"/>
      <c r="BC645" s="172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  <c r="BT645" s="172"/>
      <c r="BU645" s="172"/>
      <c r="BV645" s="172"/>
      <c r="BW645" s="172"/>
      <c r="BX645" s="172"/>
      <c r="BY645" s="174"/>
      <c r="BZ645" s="172"/>
      <c r="CA645" s="172"/>
      <c r="CD645" s="194"/>
      <c r="CE645" s="194"/>
      <c r="CF645" s="194"/>
      <c r="CG645" s="194"/>
      <c r="CH645" s="195"/>
      <c r="CI645" s="194"/>
      <c r="CJ645" s="194"/>
      <c r="CK645" s="194"/>
      <c r="CL645" s="196"/>
      <c r="CM645" s="196"/>
      <c r="CN645" s="194"/>
      <c r="CO645" s="197"/>
      <c r="CP645" s="196"/>
      <c r="CQ645" s="196"/>
      <c r="CR645" s="196"/>
      <c r="CS645" s="196"/>
      <c r="CT645" s="196"/>
      <c r="CU645" s="196"/>
      <c r="CV645" s="194"/>
      <c r="CW645" s="194"/>
      <c r="CX645" s="194"/>
      <c r="CY645" s="194"/>
      <c r="CZ645" s="194"/>
      <c r="DA645" s="194"/>
      <c r="DB645" s="194"/>
      <c r="DC645" s="194"/>
      <c r="DD645" s="194"/>
      <c r="DE645" s="194"/>
      <c r="DF645" s="196"/>
      <c r="DG645" s="198"/>
      <c r="DH645" s="194"/>
      <c r="DI645" s="282"/>
      <c r="DJ645" s="282"/>
      <c r="DK645" s="282"/>
      <c r="DL645" s="282"/>
    </row>
    <row r="646" spans="1:116" s="24" customFormat="1" x14ac:dyDescent="0.3">
      <c r="A646" s="172"/>
      <c r="B646" s="172"/>
      <c r="C646" s="172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2"/>
      <c r="AT646" s="172"/>
      <c r="AU646" s="172"/>
      <c r="AV646" s="172"/>
      <c r="AW646" s="172"/>
      <c r="AX646" s="172"/>
      <c r="AY646" s="172"/>
      <c r="AZ646" s="172"/>
      <c r="BA646" s="172"/>
      <c r="BB646" s="172"/>
      <c r="BC646" s="172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  <c r="BT646" s="172"/>
      <c r="BU646" s="172"/>
      <c r="BV646" s="172"/>
      <c r="BW646" s="172"/>
      <c r="BX646" s="172"/>
      <c r="BY646" s="174"/>
      <c r="BZ646" s="172"/>
      <c r="CA646" s="172"/>
      <c r="CD646" s="194"/>
      <c r="CE646" s="194"/>
      <c r="CF646" s="194"/>
      <c r="CG646" s="194"/>
      <c r="CH646" s="195"/>
      <c r="CI646" s="194"/>
      <c r="CJ646" s="194"/>
      <c r="CK646" s="194"/>
      <c r="CL646" s="196"/>
      <c r="CM646" s="196"/>
      <c r="CN646" s="194"/>
      <c r="CO646" s="197"/>
      <c r="CP646" s="196"/>
      <c r="CQ646" s="196"/>
      <c r="CR646" s="196"/>
      <c r="CS646" s="196"/>
      <c r="CT646" s="196"/>
      <c r="CU646" s="196"/>
      <c r="CV646" s="194"/>
      <c r="CW646" s="194"/>
      <c r="CX646" s="194"/>
      <c r="CY646" s="194"/>
      <c r="CZ646" s="194"/>
      <c r="DA646" s="194"/>
      <c r="DB646" s="194"/>
      <c r="DC646" s="194"/>
      <c r="DD646" s="194"/>
      <c r="DE646" s="194"/>
      <c r="DF646" s="196"/>
      <c r="DG646" s="198"/>
      <c r="DH646" s="194"/>
      <c r="DI646" s="282"/>
      <c r="DJ646" s="282"/>
      <c r="DK646" s="282"/>
      <c r="DL646" s="282"/>
    </row>
    <row r="647" spans="1:116" s="24" customFormat="1" x14ac:dyDescent="0.3">
      <c r="A647" s="172"/>
      <c r="B647" s="172"/>
      <c r="C647" s="172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2"/>
      <c r="AT647" s="172"/>
      <c r="AU647" s="172"/>
      <c r="AV647" s="172"/>
      <c r="AW647" s="172"/>
      <c r="AX647" s="172"/>
      <c r="AY647" s="172"/>
      <c r="AZ647" s="172"/>
      <c r="BA647" s="172"/>
      <c r="BB647" s="172"/>
      <c r="BC647" s="172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  <c r="BT647" s="172"/>
      <c r="BU647" s="172"/>
      <c r="BV647" s="172"/>
      <c r="BW647" s="172"/>
      <c r="BX647" s="172"/>
      <c r="BY647" s="174"/>
      <c r="BZ647" s="172"/>
      <c r="CA647" s="172"/>
      <c r="CD647" s="194"/>
      <c r="CE647" s="194"/>
      <c r="CF647" s="194"/>
      <c r="CG647" s="194"/>
      <c r="CH647" s="195"/>
      <c r="CI647" s="194"/>
      <c r="CJ647" s="194"/>
      <c r="CK647" s="194"/>
      <c r="CL647" s="196"/>
      <c r="CM647" s="196"/>
      <c r="CN647" s="194"/>
      <c r="CO647" s="197"/>
      <c r="CP647" s="196"/>
      <c r="CQ647" s="196"/>
      <c r="CR647" s="196"/>
      <c r="CS647" s="196"/>
      <c r="CT647" s="196"/>
      <c r="CU647" s="196"/>
      <c r="CV647" s="194"/>
      <c r="CW647" s="194"/>
      <c r="CX647" s="194"/>
      <c r="CY647" s="194"/>
      <c r="CZ647" s="194"/>
      <c r="DA647" s="194"/>
      <c r="DB647" s="194"/>
      <c r="DC647" s="194"/>
      <c r="DD647" s="194"/>
      <c r="DE647" s="194"/>
      <c r="DF647" s="196"/>
      <c r="DG647" s="198"/>
      <c r="DH647" s="194"/>
      <c r="DI647" s="282"/>
      <c r="DJ647" s="282"/>
      <c r="DK647" s="282"/>
      <c r="DL647" s="282"/>
    </row>
    <row r="648" spans="1:116" s="24" customFormat="1" x14ac:dyDescent="0.3">
      <c r="A648" s="172"/>
      <c r="B648" s="172"/>
      <c r="C648" s="172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2"/>
      <c r="AT648" s="172"/>
      <c r="AU648" s="172"/>
      <c r="AV648" s="172"/>
      <c r="AW648" s="172"/>
      <c r="AX648" s="172"/>
      <c r="AY648" s="172"/>
      <c r="AZ648" s="172"/>
      <c r="BA648" s="172"/>
      <c r="BB648" s="172"/>
      <c r="BC648" s="172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  <c r="BT648" s="172"/>
      <c r="BU648" s="172"/>
      <c r="BV648" s="172"/>
      <c r="BW648" s="172"/>
      <c r="BX648" s="172"/>
      <c r="BY648" s="174"/>
      <c r="BZ648" s="172"/>
      <c r="CA648" s="172"/>
      <c r="CD648" s="194"/>
      <c r="CE648" s="194"/>
      <c r="CF648" s="194"/>
      <c r="CG648" s="194"/>
      <c r="CH648" s="195"/>
      <c r="CI648" s="194"/>
      <c r="CJ648" s="194"/>
      <c r="CK648" s="194"/>
      <c r="CL648" s="196"/>
      <c r="CM648" s="196"/>
      <c r="CN648" s="194"/>
      <c r="CO648" s="197"/>
      <c r="CP648" s="196"/>
      <c r="CQ648" s="196"/>
      <c r="CR648" s="196"/>
      <c r="CS648" s="196"/>
      <c r="CT648" s="196"/>
      <c r="CU648" s="196"/>
      <c r="CV648" s="194"/>
      <c r="CW648" s="194"/>
      <c r="CX648" s="194"/>
      <c r="CY648" s="194"/>
      <c r="CZ648" s="194"/>
      <c r="DA648" s="194"/>
      <c r="DB648" s="194"/>
      <c r="DC648" s="194"/>
      <c r="DD648" s="194"/>
      <c r="DE648" s="194"/>
      <c r="DF648" s="196"/>
      <c r="DG648" s="198"/>
      <c r="DH648" s="194"/>
      <c r="DI648" s="282"/>
      <c r="DJ648" s="282"/>
      <c r="DK648" s="282"/>
      <c r="DL648" s="282"/>
    </row>
    <row r="649" spans="1:116" s="24" customFormat="1" x14ac:dyDescent="0.3">
      <c r="A649" s="172"/>
      <c r="B649" s="172"/>
      <c r="C649" s="172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2"/>
      <c r="AT649" s="172"/>
      <c r="AU649" s="172"/>
      <c r="AV649" s="172"/>
      <c r="AW649" s="172"/>
      <c r="AX649" s="172"/>
      <c r="AY649" s="172"/>
      <c r="AZ649" s="172"/>
      <c r="BA649" s="172"/>
      <c r="BB649" s="172"/>
      <c r="BC649" s="172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  <c r="BT649" s="172"/>
      <c r="BU649" s="172"/>
      <c r="BV649" s="172"/>
      <c r="BW649" s="172"/>
      <c r="BX649" s="172"/>
      <c r="BY649" s="174"/>
      <c r="BZ649" s="172"/>
      <c r="CA649" s="172"/>
      <c r="CD649" s="194"/>
      <c r="CE649" s="194"/>
      <c r="CF649" s="194"/>
      <c r="CG649" s="194"/>
      <c r="CH649" s="195"/>
      <c r="CI649" s="194"/>
      <c r="CJ649" s="194"/>
      <c r="CK649" s="194"/>
      <c r="CL649" s="196"/>
      <c r="CM649" s="196"/>
      <c r="CN649" s="194"/>
      <c r="CO649" s="197"/>
      <c r="CP649" s="196"/>
      <c r="CQ649" s="196"/>
      <c r="CR649" s="196"/>
      <c r="CS649" s="196"/>
      <c r="CT649" s="196"/>
      <c r="CU649" s="196"/>
      <c r="CV649" s="194"/>
      <c r="CW649" s="194"/>
      <c r="CX649" s="194"/>
      <c r="CY649" s="194"/>
      <c r="CZ649" s="194"/>
      <c r="DA649" s="194"/>
      <c r="DB649" s="194"/>
      <c r="DC649" s="194"/>
      <c r="DD649" s="194"/>
      <c r="DE649" s="194"/>
      <c r="DF649" s="196"/>
      <c r="DG649" s="198"/>
      <c r="DH649" s="194"/>
      <c r="DI649" s="282"/>
      <c r="DJ649" s="282"/>
      <c r="DK649" s="282"/>
      <c r="DL649" s="282"/>
    </row>
    <row r="650" spans="1:116" s="24" customFormat="1" x14ac:dyDescent="0.3">
      <c r="A650" s="172"/>
      <c r="B650" s="172"/>
      <c r="C650" s="172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2"/>
      <c r="AT650" s="172"/>
      <c r="AU650" s="172"/>
      <c r="AV650" s="172"/>
      <c r="AW650" s="172"/>
      <c r="AX650" s="172"/>
      <c r="AY650" s="172"/>
      <c r="AZ650" s="172"/>
      <c r="BA650" s="172"/>
      <c r="BB650" s="172"/>
      <c r="BC650" s="172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  <c r="BT650" s="172"/>
      <c r="BU650" s="172"/>
      <c r="BV650" s="172"/>
      <c r="BW650" s="172"/>
      <c r="BX650" s="172"/>
      <c r="BY650" s="174"/>
      <c r="BZ650" s="172"/>
      <c r="CA650" s="172"/>
      <c r="CD650" s="194"/>
      <c r="CE650" s="194"/>
      <c r="CF650" s="194"/>
      <c r="CG650" s="194"/>
      <c r="CH650" s="195"/>
      <c r="CI650" s="194"/>
      <c r="CJ650" s="194"/>
      <c r="CK650" s="194"/>
      <c r="CL650" s="196"/>
      <c r="CM650" s="196"/>
      <c r="CN650" s="194"/>
      <c r="CO650" s="197"/>
      <c r="CP650" s="196"/>
      <c r="CQ650" s="196"/>
      <c r="CR650" s="196"/>
      <c r="CS650" s="196"/>
      <c r="CT650" s="196"/>
      <c r="CU650" s="196"/>
      <c r="CV650" s="194"/>
      <c r="CW650" s="194"/>
      <c r="CX650" s="194"/>
      <c r="CY650" s="194"/>
      <c r="CZ650" s="194"/>
      <c r="DA650" s="194"/>
      <c r="DB650" s="194"/>
      <c r="DC650" s="194"/>
      <c r="DD650" s="194"/>
      <c r="DE650" s="194"/>
      <c r="DF650" s="196"/>
      <c r="DG650" s="198"/>
      <c r="DH650" s="194"/>
      <c r="DI650" s="282"/>
      <c r="DJ650" s="282"/>
      <c r="DK650" s="282"/>
      <c r="DL650" s="282"/>
    </row>
    <row r="651" spans="1:116" s="24" customFormat="1" x14ac:dyDescent="0.3">
      <c r="A651" s="172"/>
      <c r="B651" s="172"/>
      <c r="C651" s="172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2"/>
      <c r="AT651" s="172"/>
      <c r="AU651" s="172"/>
      <c r="AV651" s="172"/>
      <c r="AW651" s="172"/>
      <c r="AX651" s="172"/>
      <c r="AY651" s="172"/>
      <c r="AZ651" s="172"/>
      <c r="BA651" s="172"/>
      <c r="BB651" s="172"/>
      <c r="BC651" s="172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  <c r="BT651" s="172"/>
      <c r="BU651" s="172"/>
      <c r="BV651" s="172"/>
      <c r="BW651" s="172"/>
      <c r="BX651" s="172"/>
      <c r="BY651" s="174"/>
      <c r="BZ651" s="172"/>
      <c r="CA651" s="172"/>
      <c r="CD651" s="194"/>
      <c r="CE651" s="194"/>
      <c r="CF651" s="194"/>
      <c r="CG651" s="194"/>
      <c r="CH651" s="195"/>
      <c r="CI651" s="194"/>
      <c r="CJ651" s="194"/>
      <c r="CK651" s="194"/>
      <c r="CL651" s="196"/>
      <c r="CM651" s="196"/>
      <c r="CN651" s="194"/>
      <c r="CO651" s="197"/>
      <c r="CP651" s="196"/>
      <c r="CQ651" s="196"/>
      <c r="CR651" s="196"/>
      <c r="CS651" s="196"/>
      <c r="CT651" s="196"/>
      <c r="CU651" s="196"/>
      <c r="CV651" s="194"/>
      <c r="CW651" s="194"/>
      <c r="CX651" s="194"/>
      <c r="CY651" s="194"/>
      <c r="CZ651" s="194"/>
      <c r="DA651" s="194"/>
      <c r="DB651" s="194"/>
      <c r="DC651" s="194"/>
      <c r="DD651" s="194"/>
      <c r="DE651" s="194"/>
      <c r="DF651" s="196"/>
      <c r="DG651" s="198"/>
      <c r="DH651" s="194"/>
      <c r="DI651" s="282"/>
      <c r="DJ651" s="282"/>
      <c r="DK651" s="282"/>
      <c r="DL651" s="282"/>
    </row>
    <row r="652" spans="1:116" s="24" customFormat="1" x14ac:dyDescent="0.3">
      <c r="A652" s="172"/>
      <c r="B652" s="172"/>
      <c r="C652" s="172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2"/>
      <c r="AT652" s="172"/>
      <c r="AU652" s="172"/>
      <c r="AV652" s="172"/>
      <c r="AW652" s="172"/>
      <c r="AX652" s="172"/>
      <c r="AY652" s="172"/>
      <c r="AZ652" s="172"/>
      <c r="BA652" s="172"/>
      <c r="BB652" s="172"/>
      <c r="BC652" s="172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  <c r="BT652" s="172"/>
      <c r="BU652" s="172"/>
      <c r="BV652" s="172"/>
      <c r="BW652" s="172"/>
      <c r="BX652" s="172"/>
      <c r="BY652" s="174"/>
      <c r="BZ652" s="172"/>
      <c r="CA652" s="172"/>
      <c r="CD652" s="194"/>
      <c r="CE652" s="194"/>
      <c r="CF652" s="194"/>
      <c r="CG652" s="194"/>
      <c r="CH652" s="195"/>
      <c r="CI652" s="194"/>
      <c r="CJ652" s="194"/>
      <c r="CK652" s="194"/>
      <c r="CL652" s="196"/>
      <c r="CM652" s="196"/>
      <c r="CN652" s="194"/>
      <c r="CO652" s="197"/>
      <c r="CP652" s="196"/>
      <c r="CQ652" s="196"/>
      <c r="CR652" s="196"/>
      <c r="CS652" s="196"/>
      <c r="CT652" s="196"/>
      <c r="CU652" s="196"/>
      <c r="CV652" s="194"/>
      <c r="CW652" s="194"/>
      <c r="CX652" s="194"/>
      <c r="CY652" s="194"/>
      <c r="CZ652" s="194"/>
      <c r="DA652" s="194"/>
      <c r="DB652" s="194"/>
      <c r="DC652" s="194"/>
      <c r="DD652" s="194"/>
      <c r="DE652" s="194"/>
      <c r="DF652" s="196"/>
      <c r="DG652" s="198"/>
      <c r="DH652" s="194"/>
      <c r="DI652" s="282"/>
      <c r="DJ652" s="282"/>
      <c r="DK652" s="282"/>
      <c r="DL652" s="282"/>
    </row>
    <row r="653" spans="1:116" s="24" customFormat="1" x14ac:dyDescent="0.3">
      <c r="A653" s="172"/>
      <c r="B653" s="172"/>
      <c r="C653" s="172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2"/>
      <c r="AT653" s="172"/>
      <c r="AU653" s="172"/>
      <c r="AV653" s="172"/>
      <c r="AW653" s="172"/>
      <c r="AX653" s="172"/>
      <c r="AY653" s="172"/>
      <c r="AZ653" s="172"/>
      <c r="BA653" s="172"/>
      <c r="BB653" s="172"/>
      <c r="BC653" s="172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  <c r="BT653" s="172"/>
      <c r="BU653" s="172"/>
      <c r="BV653" s="172"/>
      <c r="BW653" s="172"/>
      <c r="BX653" s="172"/>
      <c r="BY653" s="174"/>
      <c r="BZ653" s="172"/>
      <c r="CA653" s="172"/>
      <c r="CD653" s="194"/>
      <c r="CE653" s="194"/>
      <c r="CF653" s="194"/>
      <c r="CG653" s="194"/>
      <c r="CH653" s="195"/>
      <c r="CI653" s="194"/>
      <c r="CJ653" s="194"/>
      <c r="CK653" s="194"/>
      <c r="CL653" s="196"/>
      <c r="CM653" s="196"/>
      <c r="CN653" s="194"/>
      <c r="CO653" s="197"/>
      <c r="CP653" s="196"/>
      <c r="CQ653" s="196"/>
      <c r="CR653" s="196"/>
      <c r="CS653" s="196"/>
      <c r="CT653" s="196"/>
      <c r="CU653" s="196"/>
      <c r="CV653" s="194"/>
      <c r="CW653" s="194"/>
      <c r="CX653" s="194"/>
      <c r="CY653" s="194"/>
      <c r="CZ653" s="194"/>
      <c r="DA653" s="194"/>
      <c r="DB653" s="194"/>
      <c r="DC653" s="194"/>
      <c r="DD653" s="194"/>
      <c r="DE653" s="194"/>
      <c r="DF653" s="196"/>
      <c r="DG653" s="198"/>
      <c r="DH653" s="194"/>
      <c r="DI653" s="282"/>
      <c r="DJ653" s="282"/>
      <c r="DK653" s="282"/>
      <c r="DL653" s="282"/>
    </row>
    <row r="654" spans="1:116" s="24" customFormat="1" x14ac:dyDescent="0.3">
      <c r="A654" s="172"/>
      <c r="B654" s="172"/>
      <c r="C654" s="172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2"/>
      <c r="AT654" s="172"/>
      <c r="AU654" s="172"/>
      <c r="AV654" s="172"/>
      <c r="AW654" s="172"/>
      <c r="AX654" s="172"/>
      <c r="AY654" s="172"/>
      <c r="AZ654" s="172"/>
      <c r="BA654" s="172"/>
      <c r="BB654" s="172"/>
      <c r="BC654" s="172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  <c r="BT654" s="172"/>
      <c r="BU654" s="172"/>
      <c r="BV654" s="172"/>
      <c r="BW654" s="172"/>
      <c r="BX654" s="172"/>
      <c r="BY654" s="174"/>
      <c r="BZ654" s="172"/>
      <c r="CA654" s="172"/>
      <c r="CD654" s="194"/>
      <c r="CE654" s="194"/>
      <c r="CF654" s="194"/>
      <c r="CG654" s="194"/>
      <c r="CH654" s="195"/>
      <c r="CI654" s="194"/>
      <c r="CJ654" s="194"/>
      <c r="CK654" s="194"/>
      <c r="CL654" s="196"/>
      <c r="CM654" s="196"/>
      <c r="CN654" s="194"/>
      <c r="CO654" s="197"/>
      <c r="CP654" s="196"/>
      <c r="CQ654" s="196"/>
      <c r="CR654" s="196"/>
      <c r="CS654" s="196"/>
      <c r="CT654" s="196"/>
      <c r="CU654" s="196"/>
      <c r="CV654" s="194"/>
      <c r="CW654" s="194"/>
      <c r="CX654" s="194"/>
      <c r="CY654" s="194"/>
      <c r="CZ654" s="194"/>
      <c r="DA654" s="194"/>
      <c r="DB654" s="194"/>
      <c r="DC654" s="194"/>
      <c r="DD654" s="194"/>
      <c r="DE654" s="194"/>
      <c r="DF654" s="196"/>
      <c r="DG654" s="198"/>
      <c r="DH654" s="194"/>
      <c r="DI654" s="282"/>
      <c r="DJ654" s="282"/>
      <c r="DK654" s="282"/>
      <c r="DL654" s="282"/>
    </row>
    <row r="655" spans="1:116" s="24" customFormat="1" x14ac:dyDescent="0.3">
      <c r="A655" s="172"/>
      <c r="B655" s="172"/>
      <c r="C655" s="172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2"/>
      <c r="AT655" s="172"/>
      <c r="AU655" s="172"/>
      <c r="AV655" s="172"/>
      <c r="AW655" s="172"/>
      <c r="AX655" s="172"/>
      <c r="AY655" s="172"/>
      <c r="AZ655" s="172"/>
      <c r="BA655" s="172"/>
      <c r="BB655" s="172"/>
      <c r="BC655" s="172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  <c r="BT655" s="172"/>
      <c r="BU655" s="172"/>
      <c r="BV655" s="172"/>
      <c r="BW655" s="172"/>
      <c r="BX655" s="172"/>
      <c r="BY655" s="174"/>
      <c r="BZ655" s="172"/>
      <c r="CA655" s="172"/>
      <c r="CD655" s="194"/>
      <c r="CE655" s="194"/>
      <c r="CF655" s="194"/>
      <c r="CG655" s="194"/>
      <c r="CH655" s="195"/>
      <c r="CI655" s="194"/>
      <c r="CJ655" s="194"/>
      <c r="CK655" s="194"/>
      <c r="CL655" s="196"/>
      <c r="CM655" s="196"/>
      <c r="CN655" s="194"/>
      <c r="CO655" s="197"/>
      <c r="CP655" s="196"/>
      <c r="CQ655" s="196"/>
      <c r="CR655" s="196"/>
      <c r="CS655" s="196"/>
      <c r="CT655" s="196"/>
      <c r="CU655" s="196"/>
      <c r="CV655" s="194"/>
      <c r="CW655" s="194"/>
      <c r="CX655" s="194"/>
      <c r="CY655" s="194"/>
      <c r="CZ655" s="194"/>
      <c r="DA655" s="194"/>
      <c r="DB655" s="194"/>
      <c r="DC655" s="194"/>
      <c r="DD655" s="194"/>
      <c r="DE655" s="194"/>
      <c r="DF655" s="196"/>
      <c r="DG655" s="198"/>
      <c r="DH655" s="194"/>
      <c r="DI655" s="282"/>
      <c r="DJ655" s="282"/>
      <c r="DK655" s="282"/>
      <c r="DL655" s="282"/>
    </row>
    <row r="656" spans="1:116" s="24" customFormat="1" x14ac:dyDescent="0.3">
      <c r="A656" s="172"/>
      <c r="B656" s="172"/>
      <c r="C656" s="172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2"/>
      <c r="AT656" s="172"/>
      <c r="AU656" s="172"/>
      <c r="AV656" s="172"/>
      <c r="AW656" s="172"/>
      <c r="AX656" s="172"/>
      <c r="AY656" s="172"/>
      <c r="AZ656" s="172"/>
      <c r="BA656" s="172"/>
      <c r="BB656" s="172"/>
      <c r="BC656" s="172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  <c r="BT656" s="172"/>
      <c r="BU656" s="172"/>
      <c r="BV656" s="172"/>
      <c r="BW656" s="172"/>
      <c r="BX656" s="172"/>
      <c r="BY656" s="174"/>
      <c r="BZ656" s="172"/>
      <c r="CA656" s="172"/>
      <c r="CD656" s="194"/>
      <c r="CE656" s="194"/>
      <c r="CF656" s="194"/>
      <c r="CG656" s="194"/>
      <c r="CH656" s="195"/>
      <c r="CI656" s="194"/>
      <c r="CJ656" s="194"/>
      <c r="CK656" s="194"/>
      <c r="CL656" s="196"/>
      <c r="CM656" s="196"/>
      <c r="CN656" s="194"/>
      <c r="CO656" s="197"/>
      <c r="CP656" s="196"/>
      <c r="CQ656" s="196"/>
      <c r="CR656" s="196"/>
      <c r="CS656" s="196"/>
      <c r="CT656" s="196"/>
      <c r="CU656" s="196"/>
      <c r="CV656" s="194"/>
      <c r="CW656" s="194"/>
      <c r="CX656" s="194"/>
      <c r="CY656" s="194"/>
      <c r="CZ656" s="194"/>
      <c r="DA656" s="194"/>
      <c r="DB656" s="194"/>
      <c r="DC656" s="194"/>
      <c r="DD656" s="194"/>
      <c r="DE656" s="194"/>
      <c r="DF656" s="196"/>
      <c r="DG656" s="198"/>
      <c r="DH656" s="194"/>
      <c r="DI656" s="282"/>
      <c r="DJ656" s="282"/>
      <c r="DK656" s="282"/>
      <c r="DL656" s="282"/>
    </row>
    <row r="657" spans="1:116" s="24" customFormat="1" x14ac:dyDescent="0.3">
      <c r="A657" s="172"/>
      <c r="B657" s="172"/>
      <c r="C657" s="172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2"/>
      <c r="AT657" s="172"/>
      <c r="AU657" s="172"/>
      <c r="AV657" s="172"/>
      <c r="AW657" s="172"/>
      <c r="AX657" s="172"/>
      <c r="AY657" s="172"/>
      <c r="AZ657" s="172"/>
      <c r="BA657" s="172"/>
      <c r="BB657" s="172"/>
      <c r="BC657" s="172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  <c r="BT657" s="172"/>
      <c r="BU657" s="172"/>
      <c r="BV657" s="172"/>
      <c r="BW657" s="172"/>
      <c r="BX657" s="172"/>
      <c r="BY657" s="174"/>
      <c r="BZ657" s="172"/>
      <c r="CA657" s="172"/>
      <c r="CD657" s="194"/>
      <c r="CE657" s="194"/>
      <c r="CF657" s="194"/>
      <c r="CG657" s="194"/>
      <c r="CH657" s="195"/>
      <c r="CI657" s="194"/>
      <c r="CJ657" s="194"/>
      <c r="CK657" s="194"/>
      <c r="CL657" s="196"/>
      <c r="CM657" s="196"/>
      <c r="CN657" s="194"/>
      <c r="CO657" s="197"/>
      <c r="CP657" s="196"/>
      <c r="CQ657" s="196"/>
      <c r="CR657" s="196"/>
      <c r="CS657" s="196"/>
      <c r="CT657" s="196"/>
      <c r="CU657" s="196"/>
      <c r="CV657" s="194"/>
      <c r="CW657" s="194"/>
      <c r="CX657" s="194"/>
      <c r="CY657" s="194"/>
      <c r="CZ657" s="194"/>
      <c r="DA657" s="194"/>
      <c r="DB657" s="194"/>
      <c r="DC657" s="194"/>
      <c r="DD657" s="194"/>
      <c r="DE657" s="194"/>
      <c r="DF657" s="196"/>
      <c r="DG657" s="198"/>
      <c r="DH657" s="194"/>
      <c r="DI657" s="282"/>
      <c r="DJ657" s="282"/>
      <c r="DK657" s="282"/>
      <c r="DL657" s="282"/>
    </row>
    <row r="658" spans="1:116" s="24" customFormat="1" x14ac:dyDescent="0.3">
      <c r="A658" s="172"/>
      <c r="B658" s="172"/>
      <c r="C658" s="172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2"/>
      <c r="AT658" s="172"/>
      <c r="AU658" s="172"/>
      <c r="AV658" s="172"/>
      <c r="AW658" s="172"/>
      <c r="AX658" s="172"/>
      <c r="AY658" s="172"/>
      <c r="AZ658" s="172"/>
      <c r="BA658" s="172"/>
      <c r="BB658" s="172"/>
      <c r="BC658" s="172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  <c r="BT658" s="172"/>
      <c r="BU658" s="172"/>
      <c r="BV658" s="172"/>
      <c r="BW658" s="172"/>
      <c r="BX658" s="172"/>
      <c r="BY658" s="174"/>
      <c r="BZ658" s="172"/>
      <c r="CA658" s="172"/>
      <c r="CD658" s="194"/>
      <c r="CE658" s="194"/>
      <c r="CF658" s="194"/>
      <c r="CG658" s="194"/>
      <c r="CH658" s="195"/>
      <c r="CI658" s="194"/>
      <c r="CJ658" s="194"/>
      <c r="CK658" s="194"/>
      <c r="CL658" s="196"/>
      <c r="CM658" s="196"/>
      <c r="CN658" s="194"/>
      <c r="CO658" s="197"/>
      <c r="CP658" s="196"/>
      <c r="CQ658" s="196"/>
      <c r="CR658" s="196"/>
      <c r="CS658" s="196"/>
      <c r="CT658" s="196"/>
      <c r="CU658" s="196"/>
      <c r="CV658" s="194"/>
      <c r="CW658" s="194"/>
      <c r="CX658" s="194"/>
      <c r="CY658" s="194"/>
      <c r="CZ658" s="194"/>
      <c r="DA658" s="194"/>
      <c r="DB658" s="194"/>
      <c r="DC658" s="194"/>
      <c r="DD658" s="194"/>
      <c r="DE658" s="194"/>
      <c r="DF658" s="196"/>
      <c r="DG658" s="198"/>
      <c r="DH658" s="194"/>
      <c r="DI658" s="282"/>
      <c r="DJ658" s="282"/>
      <c r="DK658" s="282"/>
      <c r="DL658" s="282"/>
    </row>
    <row r="659" spans="1:116" s="24" customFormat="1" x14ac:dyDescent="0.3">
      <c r="A659" s="172"/>
      <c r="B659" s="172"/>
      <c r="C659" s="172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2"/>
      <c r="AT659" s="172"/>
      <c r="AU659" s="172"/>
      <c r="AV659" s="172"/>
      <c r="AW659" s="172"/>
      <c r="AX659" s="172"/>
      <c r="AY659" s="172"/>
      <c r="AZ659" s="172"/>
      <c r="BA659" s="172"/>
      <c r="BB659" s="172"/>
      <c r="BC659" s="172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  <c r="BT659" s="172"/>
      <c r="BU659" s="172"/>
      <c r="BV659" s="172"/>
      <c r="BW659" s="172"/>
      <c r="BX659" s="172"/>
      <c r="BY659" s="174"/>
      <c r="BZ659" s="172"/>
      <c r="CA659" s="172"/>
      <c r="CD659" s="194"/>
      <c r="CE659" s="194"/>
      <c r="CF659" s="194"/>
      <c r="CG659" s="194"/>
      <c r="CH659" s="195"/>
      <c r="CI659" s="194"/>
      <c r="CJ659" s="194"/>
      <c r="CK659" s="194"/>
      <c r="CL659" s="196"/>
      <c r="CM659" s="196"/>
      <c r="CN659" s="194"/>
      <c r="CO659" s="197"/>
      <c r="CP659" s="196"/>
      <c r="CQ659" s="196"/>
      <c r="CR659" s="196"/>
      <c r="CS659" s="196"/>
      <c r="CT659" s="196"/>
      <c r="CU659" s="196"/>
      <c r="CV659" s="194"/>
      <c r="CW659" s="194"/>
      <c r="CX659" s="194"/>
      <c r="CY659" s="194"/>
      <c r="CZ659" s="194"/>
      <c r="DA659" s="194"/>
      <c r="DB659" s="194"/>
      <c r="DC659" s="194"/>
      <c r="DD659" s="194"/>
      <c r="DE659" s="194"/>
      <c r="DF659" s="196"/>
      <c r="DG659" s="198"/>
      <c r="DH659" s="194"/>
      <c r="DI659" s="282"/>
      <c r="DJ659" s="282"/>
      <c r="DK659" s="282"/>
      <c r="DL659" s="282"/>
    </row>
    <row r="660" spans="1:116" s="24" customFormat="1" x14ac:dyDescent="0.3">
      <c r="A660" s="172"/>
      <c r="B660" s="172"/>
      <c r="C660" s="172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2"/>
      <c r="AT660" s="172"/>
      <c r="AU660" s="172"/>
      <c r="AV660" s="172"/>
      <c r="AW660" s="172"/>
      <c r="AX660" s="172"/>
      <c r="AY660" s="172"/>
      <c r="AZ660" s="172"/>
      <c r="BA660" s="172"/>
      <c r="BB660" s="172"/>
      <c r="BC660" s="172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  <c r="BT660" s="172"/>
      <c r="BU660" s="172"/>
      <c r="BV660" s="172"/>
      <c r="BW660" s="172"/>
      <c r="BX660" s="172"/>
      <c r="BY660" s="174"/>
      <c r="BZ660" s="172"/>
      <c r="CA660" s="172"/>
      <c r="CD660" s="194"/>
      <c r="CE660" s="194"/>
      <c r="CF660" s="194"/>
      <c r="CG660" s="194"/>
      <c r="CH660" s="195"/>
      <c r="CI660" s="194"/>
      <c r="CJ660" s="194"/>
      <c r="CK660" s="194"/>
      <c r="CL660" s="196"/>
      <c r="CM660" s="196"/>
      <c r="CN660" s="194"/>
      <c r="CO660" s="197"/>
      <c r="CP660" s="196"/>
      <c r="CQ660" s="196"/>
      <c r="CR660" s="196"/>
      <c r="CS660" s="196"/>
      <c r="CT660" s="196"/>
      <c r="CU660" s="196"/>
      <c r="CV660" s="194"/>
      <c r="CW660" s="194"/>
      <c r="CX660" s="194"/>
      <c r="CY660" s="194"/>
      <c r="CZ660" s="194"/>
      <c r="DA660" s="194"/>
      <c r="DB660" s="194"/>
      <c r="DC660" s="194"/>
      <c r="DD660" s="194"/>
      <c r="DE660" s="194"/>
      <c r="DF660" s="196"/>
      <c r="DG660" s="198"/>
      <c r="DH660" s="194"/>
      <c r="DI660" s="282"/>
      <c r="DJ660" s="282"/>
      <c r="DK660" s="282"/>
      <c r="DL660" s="282"/>
    </row>
    <row r="661" spans="1:116" s="24" customFormat="1" x14ac:dyDescent="0.3">
      <c r="A661" s="172"/>
      <c r="B661" s="172"/>
      <c r="C661" s="172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2"/>
      <c r="AT661" s="172"/>
      <c r="AU661" s="172"/>
      <c r="AV661" s="172"/>
      <c r="AW661" s="172"/>
      <c r="AX661" s="172"/>
      <c r="AY661" s="172"/>
      <c r="AZ661" s="172"/>
      <c r="BA661" s="172"/>
      <c r="BB661" s="172"/>
      <c r="BC661" s="172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  <c r="BT661" s="172"/>
      <c r="BU661" s="172"/>
      <c r="BV661" s="172"/>
      <c r="BW661" s="172"/>
      <c r="BX661" s="172"/>
      <c r="BY661" s="174"/>
      <c r="BZ661" s="172"/>
      <c r="CA661" s="172"/>
      <c r="CD661" s="194"/>
      <c r="CE661" s="194"/>
      <c r="CF661" s="194"/>
      <c r="CG661" s="194"/>
      <c r="CH661" s="195"/>
      <c r="CI661" s="194"/>
      <c r="CJ661" s="194"/>
      <c r="CK661" s="194"/>
      <c r="CL661" s="196"/>
      <c r="CM661" s="196"/>
      <c r="CN661" s="194"/>
      <c r="CO661" s="197"/>
      <c r="CP661" s="196"/>
      <c r="CQ661" s="196"/>
      <c r="CR661" s="196"/>
      <c r="CS661" s="196"/>
      <c r="CT661" s="196"/>
      <c r="CU661" s="196"/>
      <c r="CV661" s="194"/>
      <c r="CW661" s="194"/>
      <c r="CX661" s="194"/>
      <c r="CY661" s="194"/>
      <c r="CZ661" s="194"/>
      <c r="DA661" s="194"/>
      <c r="DB661" s="194"/>
      <c r="DC661" s="194"/>
      <c r="DD661" s="194"/>
      <c r="DE661" s="194"/>
      <c r="DF661" s="196"/>
      <c r="DG661" s="198"/>
      <c r="DH661" s="194"/>
      <c r="DI661" s="282"/>
      <c r="DJ661" s="282"/>
      <c r="DK661" s="282"/>
      <c r="DL661" s="282"/>
    </row>
    <row r="662" spans="1:116" s="24" customFormat="1" x14ac:dyDescent="0.3">
      <c r="A662" s="172"/>
      <c r="B662" s="172"/>
      <c r="C662" s="172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2"/>
      <c r="AT662" s="172"/>
      <c r="AU662" s="172"/>
      <c r="AV662" s="172"/>
      <c r="AW662" s="172"/>
      <c r="AX662" s="172"/>
      <c r="AY662" s="172"/>
      <c r="AZ662" s="172"/>
      <c r="BA662" s="172"/>
      <c r="BB662" s="172"/>
      <c r="BC662" s="172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  <c r="BT662" s="172"/>
      <c r="BU662" s="172"/>
      <c r="BV662" s="172"/>
      <c r="BW662" s="172"/>
      <c r="BX662" s="172"/>
      <c r="BY662" s="174"/>
      <c r="BZ662" s="172"/>
      <c r="CA662" s="172"/>
      <c r="CD662" s="194"/>
      <c r="CE662" s="194"/>
      <c r="CF662" s="194"/>
      <c r="CG662" s="194"/>
      <c r="CH662" s="195"/>
      <c r="CI662" s="194"/>
      <c r="CJ662" s="194"/>
      <c r="CK662" s="194"/>
      <c r="CL662" s="196"/>
      <c r="CM662" s="196"/>
      <c r="CN662" s="194"/>
      <c r="CO662" s="197"/>
      <c r="CP662" s="196"/>
      <c r="CQ662" s="196"/>
      <c r="CR662" s="196"/>
      <c r="CS662" s="196"/>
      <c r="CT662" s="196"/>
      <c r="CU662" s="196"/>
      <c r="CV662" s="194"/>
      <c r="CW662" s="194"/>
      <c r="CX662" s="194"/>
      <c r="CY662" s="194"/>
      <c r="CZ662" s="194"/>
      <c r="DA662" s="194"/>
      <c r="DB662" s="194"/>
      <c r="DC662" s="194"/>
      <c r="DD662" s="194"/>
      <c r="DE662" s="194"/>
      <c r="DF662" s="196"/>
      <c r="DG662" s="198"/>
      <c r="DH662" s="194"/>
      <c r="DI662" s="282"/>
      <c r="DJ662" s="282"/>
      <c r="DK662" s="282"/>
      <c r="DL662" s="282"/>
    </row>
    <row r="663" spans="1:116" s="24" customFormat="1" x14ac:dyDescent="0.3">
      <c r="A663" s="172"/>
      <c r="B663" s="172"/>
      <c r="C663" s="172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2"/>
      <c r="AT663" s="172"/>
      <c r="AU663" s="172"/>
      <c r="AV663" s="172"/>
      <c r="AW663" s="172"/>
      <c r="AX663" s="172"/>
      <c r="AY663" s="172"/>
      <c r="AZ663" s="172"/>
      <c r="BA663" s="172"/>
      <c r="BB663" s="172"/>
      <c r="BC663" s="172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  <c r="BT663" s="172"/>
      <c r="BU663" s="172"/>
      <c r="BV663" s="172"/>
      <c r="BW663" s="172"/>
      <c r="BX663" s="172"/>
      <c r="BY663" s="174"/>
      <c r="BZ663" s="172"/>
      <c r="CA663" s="172"/>
      <c r="CD663" s="194"/>
      <c r="CE663" s="194"/>
      <c r="CF663" s="194"/>
      <c r="CG663" s="194"/>
      <c r="CH663" s="195"/>
      <c r="CI663" s="194"/>
      <c r="CJ663" s="194"/>
      <c r="CK663" s="194"/>
      <c r="CL663" s="196"/>
      <c r="CM663" s="196"/>
      <c r="CN663" s="194"/>
      <c r="CO663" s="197"/>
      <c r="CP663" s="196"/>
      <c r="CQ663" s="196"/>
      <c r="CR663" s="196"/>
      <c r="CS663" s="196"/>
      <c r="CT663" s="196"/>
      <c r="CU663" s="196"/>
      <c r="CV663" s="194"/>
      <c r="CW663" s="194"/>
      <c r="CX663" s="194"/>
      <c r="CY663" s="194"/>
      <c r="CZ663" s="194"/>
      <c r="DA663" s="194"/>
      <c r="DB663" s="194"/>
      <c r="DC663" s="194"/>
      <c r="DD663" s="194"/>
      <c r="DE663" s="194"/>
      <c r="DF663" s="196"/>
      <c r="DG663" s="198"/>
      <c r="DH663" s="194"/>
      <c r="DI663" s="282"/>
      <c r="DJ663" s="282"/>
      <c r="DK663" s="282"/>
      <c r="DL663" s="282"/>
    </row>
    <row r="664" spans="1:116" s="24" customFormat="1" x14ac:dyDescent="0.3">
      <c r="A664" s="172"/>
      <c r="B664" s="172"/>
      <c r="C664" s="172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2"/>
      <c r="AT664" s="172"/>
      <c r="AU664" s="172"/>
      <c r="AV664" s="172"/>
      <c r="AW664" s="172"/>
      <c r="AX664" s="172"/>
      <c r="AY664" s="172"/>
      <c r="AZ664" s="172"/>
      <c r="BA664" s="172"/>
      <c r="BB664" s="172"/>
      <c r="BC664" s="172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172"/>
      <c r="BV664" s="172"/>
      <c r="BW664" s="172"/>
      <c r="BX664" s="172"/>
      <c r="BY664" s="174"/>
      <c r="BZ664" s="172"/>
      <c r="CA664" s="172"/>
      <c r="CD664" s="194"/>
      <c r="CE664" s="194"/>
      <c r="CF664" s="194"/>
      <c r="CG664" s="194"/>
      <c r="CH664" s="195"/>
      <c r="CI664" s="194"/>
      <c r="CJ664" s="194"/>
      <c r="CK664" s="194"/>
      <c r="CL664" s="196"/>
      <c r="CM664" s="196"/>
      <c r="CN664" s="194"/>
      <c r="CO664" s="197"/>
      <c r="CP664" s="196"/>
      <c r="CQ664" s="196"/>
      <c r="CR664" s="196"/>
      <c r="CS664" s="196"/>
      <c r="CT664" s="196"/>
      <c r="CU664" s="196"/>
      <c r="CV664" s="194"/>
      <c r="CW664" s="194"/>
      <c r="CX664" s="194"/>
      <c r="CY664" s="194"/>
      <c r="CZ664" s="194"/>
      <c r="DA664" s="194"/>
      <c r="DB664" s="194"/>
      <c r="DC664" s="194"/>
      <c r="DD664" s="194"/>
      <c r="DE664" s="194"/>
      <c r="DF664" s="196"/>
      <c r="DG664" s="198"/>
      <c r="DH664" s="194"/>
      <c r="DI664" s="282"/>
      <c r="DJ664" s="282"/>
      <c r="DK664" s="282"/>
      <c r="DL664" s="282"/>
    </row>
    <row r="665" spans="1:116" s="24" customFormat="1" x14ac:dyDescent="0.3">
      <c r="A665" s="172"/>
      <c r="B665" s="172"/>
      <c r="C665" s="172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2"/>
      <c r="AT665" s="172"/>
      <c r="AU665" s="172"/>
      <c r="AV665" s="172"/>
      <c r="AW665" s="172"/>
      <c r="AX665" s="172"/>
      <c r="AY665" s="172"/>
      <c r="AZ665" s="172"/>
      <c r="BA665" s="172"/>
      <c r="BB665" s="172"/>
      <c r="BC665" s="172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  <c r="BT665" s="172"/>
      <c r="BU665" s="172"/>
      <c r="BV665" s="172"/>
      <c r="BW665" s="172"/>
      <c r="BX665" s="172"/>
      <c r="BY665" s="174"/>
      <c r="BZ665" s="172"/>
      <c r="CA665" s="172"/>
      <c r="CD665" s="194"/>
      <c r="CE665" s="194"/>
      <c r="CF665" s="194"/>
      <c r="CG665" s="194"/>
      <c r="CH665" s="195"/>
      <c r="CI665" s="194"/>
      <c r="CJ665" s="194"/>
      <c r="CK665" s="194"/>
      <c r="CL665" s="196"/>
      <c r="CM665" s="196"/>
      <c r="CN665" s="194"/>
      <c r="CO665" s="197"/>
      <c r="CP665" s="196"/>
      <c r="CQ665" s="196"/>
      <c r="CR665" s="196"/>
      <c r="CS665" s="196"/>
      <c r="CT665" s="196"/>
      <c r="CU665" s="196"/>
      <c r="CV665" s="194"/>
      <c r="CW665" s="194"/>
      <c r="CX665" s="194"/>
      <c r="CY665" s="194"/>
      <c r="CZ665" s="194"/>
      <c r="DA665" s="194"/>
      <c r="DB665" s="194"/>
      <c r="DC665" s="194"/>
      <c r="DD665" s="194"/>
      <c r="DE665" s="194"/>
      <c r="DF665" s="196"/>
      <c r="DG665" s="198"/>
      <c r="DH665" s="194"/>
      <c r="DI665" s="282"/>
      <c r="DJ665" s="282"/>
      <c r="DK665" s="282"/>
      <c r="DL665" s="282"/>
    </row>
    <row r="666" spans="1:116" s="24" customFormat="1" x14ac:dyDescent="0.3">
      <c r="A666" s="172"/>
      <c r="B666" s="172"/>
      <c r="C666" s="172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2"/>
      <c r="AT666" s="172"/>
      <c r="AU666" s="172"/>
      <c r="AV666" s="172"/>
      <c r="AW666" s="172"/>
      <c r="AX666" s="172"/>
      <c r="AY666" s="172"/>
      <c r="AZ666" s="172"/>
      <c r="BA666" s="172"/>
      <c r="BB666" s="172"/>
      <c r="BC666" s="172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  <c r="BT666" s="172"/>
      <c r="BU666" s="172"/>
      <c r="BV666" s="172"/>
      <c r="BW666" s="172"/>
      <c r="BX666" s="172"/>
      <c r="BY666" s="174"/>
      <c r="BZ666" s="172"/>
      <c r="CA666" s="172"/>
      <c r="CD666" s="194"/>
      <c r="CE666" s="194"/>
      <c r="CF666" s="194"/>
      <c r="CG666" s="194"/>
      <c r="CH666" s="195"/>
      <c r="CI666" s="194"/>
      <c r="CJ666" s="194"/>
      <c r="CK666" s="194"/>
      <c r="CL666" s="196"/>
      <c r="CM666" s="196"/>
      <c r="CN666" s="194"/>
      <c r="CO666" s="197"/>
      <c r="CP666" s="196"/>
      <c r="CQ666" s="196"/>
      <c r="CR666" s="196"/>
      <c r="CS666" s="196"/>
      <c r="CT666" s="196"/>
      <c r="CU666" s="196"/>
      <c r="CV666" s="194"/>
      <c r="CW666" s="194"/>
      <c r="CX666" s="194"/>
      <c r="CY666" s="194"/>
      <c r="CZ666" s="194"/>
      <c r="DA666" s="194"/>
      <c r="DB666" s="194"/>
      <c r="DC666" s="194"/>
      <c r="DD666" s="194"/>
      <c r="DE666" s="194"/>
      <c r="DF666" s="196"/>
      <c r="DG666" s="198"/>
      <c r="DH666" s="194"/>
      <c r="DI666" s="282"/>
      <c r="DJ666" s="282"/>
      <c r="DK666" s="282"/>
      <c r="DL666" s="282"/>
    </row>
    <row r="667" spans="1:116" s="24" customFormat="1" x14ac:dyDescent="0.3">
      <c r="A667" s="172"/>
      <c r="B667" s="172"/>
      <c r="C667" s="172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2"/>
      <c r="AT667" s="172"/>
      <c r="AU667" s="172"/>
      <c r="AV667" s="172"/>
      <c r="AW667" s="172"/>
      <c r="AX667" s="172"/>
      <c r="AY667" s="172"/>
      <c r="AZ667" s="172"/>
      <c r="BA667" s="172"/>
      <c r="BB667" s="172"/>
      <c r="BC667" s="172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  <c r="BT667" s="172"/>
      <c r="BU667" s="172"/>
      <c r="BV667" s="172"/>
      <c r="BW667" s="172"/>
      <c r="BX667" s="172"/>
      <c r="BY667" s="174"/>
      <c r="BZ667" s="172"/>
      <c r="CA667" s="172"/>
      <c r="CD667" s="194"/>
      <c r="CE667" s="194"/>
      <c r="CF667" s="194"/>
      <c r="CG667" s="194"/>
      <c r="CH667" s="195"/>
      <c r="CI667" s="194"/>
      <c r="CJ667" s="194"/>
      <c r="CK667" s="194"/>
      <c r="CL667" s="196"/>
      <c r="CM667" s="196"/>
      <c r="CN667" s="194"/>
      <c r="CO667" s="197"/>
      <c r="CP667" s="196"/>
      <c r="CQ667" s="196"/>
      <c r="CR667" s="196"/>
      <c r="CS667" s="196"/>
      <c r="CT667" s="196"/>
      <c r="CU667" s="196"/>
      <c r="CV667" s="194"/>
      <c r="CW667" s="194"/>
      <c r="CX667" s="194"/>
      <c r="CY667" s="194"/>
      <c r="CZ667" s="194"/>
      <c r="DA667" s="194"/>
      <c r="DB667" s="194"/>
      <c r="DC667" s="194"/>
      <c r="DD667" s="194"/>
      <c r="DE667" s="194"/>
      <c r="DF667" s="196"/>
      <c r="DG667" s="198"/>
      <c r="DH667" s="194"/>
      <c r="DI667" s="282"/>
      <c r="DJ667" s="282"/>
      <c r="DK667" s="282"/>
      <c r="DL667" s="282"/>
    </row>
    <row r="668" spans="1:116" s="24" customFormat="1" x14ac:dyDescent="0.3">
      <c r="A668" s="172"/>
      <c r="B668" s="172"/>
      <c r="C668" s="172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2"/>
      <c r="AT668" s="172"/>
      <c r="AU668" s="172"/>
      <c r="AV668" s="172"/>
      <c r="AW668" s="172"/>
      <c r="AX668" s="172"/>
      <c r="AY668" s="172"/>
      <c r="AZ668" s="172"/>
      <c r="BA668" s="172"/>
      <c r="BB668" s="172"/>
      <c r="BC668" s="172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172"/>
      <c r="BV668" s="172"/>
      <c r="BW668" s="172"/>
      <c r="BX668" s="172"/>
      <c r="BY668" s="174"/>
      <c r="BZ668" s="172"/>
      <c r="CA668" s="172"/>
      <c r="CD668" s="194"/>
      <c r="CE668" s="194"/>
      <c r="CF668" s="194"/>
      <c r="CG668" s="194"/>
      <c r="CH668" s="195"/>
      <c r="CI668" s="194"/>
      <c r="CJ668" s="194"/>
      <c r="CK668" s="194"/>
      <c r="CL668" s="196"/>
      <c r="CM668" s="196"/>
      <c r="CN668" s="194"/>
      <c r="CO668" s="197"/>
      <c r="CP668" s="196"/>
      <c r="CQ668" s="196"/>
      <c r="CR668" s="196"/>
      <c r="CS668" s="196"/>
      <c r="CT668" s="196"/>
      <c r="CU668" s="196"/>
      <c r="CV668" s="194"/>
      <c r="CW668" s="194"/>
      <c r="CX668" s="194"/>
      <c r="CY668" s="194"/>
      <c r="CZ668" s="194"/>
      <c r="DA668" s="194"/>
      <c r="DB668" s="194"/>
      <c r="DC668" s="194"/>
      <c r="DD668" s="194"/>
      <c r="DE668" s="194"/>
      <c r="DF668" s="196"/>
      <c r="DG668" s="198"/>
      <c r="DH668" s="194"/>
      <c r="DI668" s="282"/>
      <c r="DJ668" s="282"/>
      <c r="DK668" s="282"/>
      <c r="DL668" s="282"/>
    </row>
    <row r="669" spans="1:116" s="24" customFormat="1" x14ac:dyDescent="0.3">
      <c r="A669" s="172"/>
      <c r="B669" s="172"/>
      <c r="C669" s="172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2"/>
      <c r="AT669" s="172"/>
      <c r="AU669" s="172"/>
      <c r="AV669" s="172"/>
      <c r="AW669" s="172"/>
      <c r="AX669" s="172"/>
      <c r="AY669" s="172"/>
      <c r="AZ669" s="172"/>
      <c r="BA669" s="172"/>
      <c r="BB669" s="172"/>
      <c r="BC669" s="172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172"/>
      <c r="BV669" s="172"/>
      <c r="BW669" s="172"/>
      <c r="BX669" s="172"/>
      <c r="BY669" s="174"/>
      <c r="BZ669" s="172"/>
      <c r="CA669" s="172"/>
      <c r="CD669" s="194"/>
      <c r="CE669" s="194"/>
      <c r="CF669" s="194"/>
      <c r="CG669" s="194"/>
      <c r="CH669" s="195"/>
      <c r="CI669" s="194"/>
      <c r="CJ669" s="194"/>
      <c r="CK669" s="194"/>
      <c r="CL669" s="196"/>
      <c r="CM669" s="196"/>
      <c r="CN669" s="194"/>
      <c r="CO669" s="197"/>
      <c r="CP669" s="196"/>
      <c r="CQ669" s="196"/>
      <c r="CR669" s="196"/>
      <c r="CS669" s="196"/>
      <c r="CT669" s="196"/>
      <c r="CU669" s="196"/>
      <c r="CV669" s="194"/>
      <c r="CW669" s="194"/>
      <c r="CX669" s="194"/>
      <c r="CY669" s="194"/>
      <c r="CZ669" s="194"/>
      <c r="DA669" s="194"/>
      <c r="DB669" s="194"/>
      <c r="DC669" s="194"/>
      <c r="DD669" s="194"/>
      <c r="DE669" s="194"/>
      <c r="DF669" s="196"/>
      <c r="DG669" s="198"/>
      <c r="DH669" s="194"/>
      <c r="DI669" s="282"/>
      <c r="DJ669" s="282"/>
      <c r="DK669" s="282"/>
      <c r="DL669" s="282"/>
    </row>
    <row r="670" spans="1:116" s="24" customFormat="1" x14ac:dyDescent="0.3">
      <c r="A670" s="172"/>
      <c r="B670" s="172"/>
      <c r="C670" s="172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2"/>
      <c r="AT670" s="172"/>
      <c r="AU670" s="172"/>
      <c r="AV670" s="172"/>
      <c r="AW670" s="172"/>
      <c r="AX670" s="172"/>
      <c r="AY670" s="172"/>
      <c r="AZ670" s="172"/>
      <c r="BA670" s="172"/>
      <c r="BB670" s="172"/>
      <c r="BC670" s="172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  <c r="BT670" s="172"/>
      <c r="BU670" s="172"/>
      <c r="BV670" s="172"/>
      <c r="BW670" s="172"/>
      <c r="BX670" s="172"/>
      <c r="BY670" s="174"/>
      <c r="BZ670" s="172"/>
      <c r="CA670" s="172"/>
      <c r="CD670" s="194"/>
      <c r="CE670" s="194"/>
      <c r="CF670" s="194"/>
      <c r="CG670" s="194"/>
      <c r="CH670" s="195"/>
      <c r="CI670" s="194"/>
      <c r="CJ670" s="194"/>
      <c r="CK670" s="194"/>
      <c r="CL670" s="196"/>
      <c r="CM670" s="196"/>
      <c r="CN670" s="194"/>
      <c r="CO670" s="197"/>
      <c r="CP670" s="196"/>
      <c r="CQ670" s="196"/>
      <c r="CR670" s="196"/>
      <c r="CS670" s="196"/>
      <c r="CT670" s="196"/>
      <c r="CU670" s="196"/>
      <c r="CV670" s="194"/>
      <c r="CW670" s="194"/>
      <c r="CX670" s="194"/>
      <c r="CY670" s="194"/>
      <c r="CZ670" s="194"/>
      <c r="DA670" s="194"/>
      <c r="DB670" s="194"/>
      <c r="DC670" s="194"/>
      <c r="DD670" s="194"/>
      <c r="DE670" s="194"/>
      <c r="DF670" s="196"/>
      <c r="DG670" s="198"/>
      <c r="DH670" s="194"/>
      <c r="DI670" s="282"/>
      <c r="DJ670" s="282"/>
      <c r="DK670" s="282"/>
      <c r="DL670" s="282"/>
    </row>
    <row r="671" spans="1:116" s="24" customFormat="1" x14ac:dyDescent="0.3">
      <c r="A671" s="172"/>
      <c r="B671" s="172"/>
      <c r="C671" s="172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2"/>
      <c r="AT671" s="172"/>
      <c r="AU671" s="172"/>
      <c r="AV671" s="172"/>
      <c r="AW671" s="172"/>
      <c r="AX671" s="172"/>
      <c r="AY671" s="172"/>
      <c r="AZ671" s="172"/>
      <c r="BA671" s="172"/>
      <c r="BB671" s="172"/>
      <c r="BC671" s="172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  <c r="BT671" s="172"/>
      <c r="BU671" s="172"/>
      <c r="BV671" s="172"/>
      <c r="BW671" s="172"/>
      <c r="BX671" s="172"/>
      <c r="BY671" s="174"/>
      <c r="BZ671" s="172"/>
      <c r="CA671" s="172"/>
      <c r="CD671" s="194"/>
      <c r="CE671" s="194"/>
      <c r="CF671" s="194"/>
      <c r="CG671" s="194"/>
      <c r="CH671" s="195"/>
      <c r="CI671" s="194"/>
      <c r="CJ671" s="194"/>
      <c r="CK671" s="194"/>
      <c r="CL671" s="196"/>
      <c r="CM671" s="196"/>
      <c r="CN671" s="194"/>
      <c r="CO671" s="197"/>
      <c r="CP671" s="196"/>
      <c r="CQ671" s="196"/>
      <c r="CR671" s="196"/>
      <c r="CS671" s="196"/>
      <c r="CT671" s="196"/>
      <c r="CU671" s="196"/>
      <c r="CV671" s="194"/>
      <c r="CW671" s="194"/>
      <c r="CX671" s="194"/>
      <c r="CY671" s="194"/>
      <c r="CZ671" s="194"/>
      <c r="DA671" s="194"/>
      <c r="DB671" s="194"/>
      <c r="DC671" s="194"/>
      <c r="DD671" s="194"/>
      <c r="DE671" s="194"/>
      <c r="DF671" s="196"/>
      <c r="DG671" s="198"/>
      <c r="DH671" s="194"/>
      <c r="DI671" s="282"/>
      <c r="DJ671" s="282"/>
      <c r="DK671" s="282"/>
      <c r="DL671" s="282"/>
    </row>
    <row r="672" spans="1:116" s="24" customFormat="1" x14ac:dyDescent="0.3">
      <c r="A672" s="172"/>
      <c r="B672" s="172"/>
      <c r="C672" s="172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2"/>
      <c r="AT672" s="172"/>
      <c r="AU672" s="172"/>
      <c r="AV672" s="172"/>
      <c r="AW672" s="172"/>
      <c r="AX672" s="172"/>
      <c r="AY672" s="172"/>
      <c r="AZ672" s="172"/>
      <c r="BA672" s="172"/>
      <c r="BB672" s="172"/>
      <c r="BC672" s="172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  <c r="BT672" s="172"/>
      <c r="BU672" s="172"/>
      <c r="BV672" s="172"/>
      <c r="BW672" s="172"/>
      <c r="BX672" s="172"/>
      <c r="BY672" s="174"/>
      <c r="BZ672" s="172"/>
      <c r="CA672" s="172"/>
      <c r="CD672" s="194"/>
      <c r="CE672" s="194"/>
      <c r="CF672" s="194"/>
      <c r="CG672" s="194"/>
      <c r="CH672" s="195"/>
      <c r="CI672" s="194"/>
      <c r="CJ672" s="194"/>
      <c r="CK672" s="194"/>
      <c r="CL672" s="196"/>
      <c r="CM672" s="196"/>
      <c r="CN672" s="194"/>
      <c r="CO672" s="197"/>
      <c r="CP672" s="196"/>
      <c r="CQ672" s="196"/>
      <c r="CR672" s="196"/>
      <c r="CS672" s="196"/>
      <c r="CT672" s="196"/>
      <c r="CU672" s="196"/>
      <c r="CV672" s="194"/>
      <c r="CW672" s="194"/>
      <c r="CX672" s="194"/>
      <c r="CY672" s="194"/>
      <c r="CZ672" s="194"/>
      <c r="DA672" s="194"/>
      <c r="DB672" s="194"/>
      <c r="DC672" s="194"/>
      <c r="DD672" s="194"/>
      <c r="DE672" s="194"/>
      <c r="DF672" s="196"/>
      <c r="DG672" s="198"/>
      <c r="DH672" s="194"/>
      <c r="DI672" s="282"/>
      <c r="DJ672" s="282"/>
      <c r="DK672" s="282"/>
      <c r="DL672" s="282"/>
    </row>
    <row r="673" spans="1:116" s="24" customFormat="1" x14ac:dyDescent="0.3">
      <c r="A673" s="172"/>
      <c r="B673" s="172"/>
      <c r="C673" s="172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2"/>
      <c r="AT673" s="172"/>
      <c r="AU673" s="172"/>
      <c r="AV673" s="172"/>
      <c r="AW673" s="172"/>
      <c r="AX673" s="172"/>
      <c r="AY673" s="172"/>
      <c r="AZ673" s="172"/>
      <c r="BA673" s="172"/>
      <c r="BB673" s="172"/>
      <c r="BC673" s="172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  <c r="BT673" s="172"/>
      <c r="BU673" s="172"/>
      <c r="BV673" s="172"/>
      <c r="BW673" s="172"/>
      <c r="BX673" s="172"/>
      <c r="BY673" s="174"/>
      <c r="BZ673" s="172"/>
      <c r="CA673" s="172"/>
      <c r="CD673" s="194"/>
      <c r="CE673" s="194"/>
      <c r="CF673" s="194"/>
      <c r="CG673" s="194"/>
      <c r="CH673" s="195"/>
      <c r="CI673" s="194"/>
      <c r="CJ673" s="194"/>
      <c r="CK673" s="194"/>
      <c r="CL673" s="196"/>
      <c r="CM673" s="196"/>
      <c r="CN673" s="194"/>
      <c r="CO673" s="197"/>
      <c r="CP673" s="196"/>
      <c r="CQ673" s="196"/>
      <c r="CR673" s="196"/>
      <c r="CS673" s="196"/>
      <c r="CT673" s="196"/>
      <c r="CU673" s="196"/>
      <c r="CV673" s="194"/>
      <c r="CW673" s="194"/>
      <c r="CX673" s="194"/>
      <c r="CY673" s="194"/>
      <c r="CZ673" s="194"/>
      <c r="DA673" s="194"/>
      <c r="DB673" s="194"/>
      <c r="DC673" s="194"/>
      <c r="DD673" s="194"/>
      <c r="DE673" s="194"/>
      <c r="DF673" s="196"/>
      <c r="DG673" s="198"/>
      <c r="DH673" s="194"/>
      <c r="DI673" s="282"/>
      <c r="DJ673" s="282"/>
      <c r="DK673" s="282"/>
      <c r="DL673" s="282"/>
    </row>
    <row r="674" spans="1:116" s="24" customFormat="1" x14ac:dyDescent="0.3">
      <c r="A674" s="172"/>
      <c r="B674" s="172"/>
      <c r="C674" s="172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2"/>
      <c r="AT674" s="172"/>
      <c r="AU674" s="172"/>
      <c r="AV674" s="172"/>
      <c r="AW674" s="172"/>
      <c r="AX674" s="172"/>
      <c r="AY674" s="172"/>
      <c r="AZ674" s="172"/>
      <c r="BA674" s="172"/>
      <c r="BB674" s="172"/>
      <c r="BC674" s="172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  <c r="BT674" s="172"/>
      <c r="BU674" s="172"/>
      <c r="BV674" s="172"/>
      <c r="BW674" s="172"/>
      <c r="BX674" s="172"/>
      <c r="BY674" s="174"/>
      <c r="BZ674" s="172"/>
      <c r="CA674" s="172"/>
      <c r="CD674" s="194"/>
      <c r="CE674" s="194"/>
      <c r="CF674" s="194"/>
      <c r="CG674" s="194"/>
      <c r="CH674" s="195"/>
      <c r="CI674" s="194"/>
      <c r="CJ674" s="194"/>
      <c r="CK674" s="194"/>
      <c r="CL674" s="196"/>
      <c r="CM674" s="196"/>
      <c r="CN674" s="194"/>
      <c r="CO674" s="197"/>
      <c r="CP674" s="196"/>
      <c r="CQ674" s="196"/>
      <c r="CR674" s="196"/>
      <c r="CS674" s="196"/>
      <c r="CT674" s="196"/>
      <c r="CU674" s="196"/>
      <c r="CV674" s="194"/>
      <c r="CW674" s="194"/>
      <c r="CX674" s="194"/>
      <c r="CY674" s="194"/>
      <c r="CZ674" s="194"/>
      <c r="DA674" s="194"/>
      <c r="DB674" s="194"/>
      <c r="DC674" s="194"/>
      <c r="DD674" s="194"/>
      <c r="DE674" s="194"/>
      <c r="DF674" s="196"/>
      <c r="DG674" s="198"/>
      <c r="DH674" s="194"/>
      <c r="DI674" s="282"/>
      <c r="DJ674" s="282"/>
      <c r="DK674" s="282"/>
      <c r="DL674" s="282"/>
    </row>
    <row r="675" spans="1:116" s="24" customFormat="1" x14ac:dyDescent="0.3">
      <c r="A675" s="172"/>
      <c r="B675" s="172"/>
      <c r="C675" s="172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2"/>
      <c r="AT675" s="172"/>
      <c r="AU675" s="172"/>
      <c r="AV675" s="172"/>
      <c r="AW675" s="172"/>
      <c r="AX675" s="172"/>
      <c r="AY675" s="172"/>
      <c r="AZ675" s="172"/>
      <c r="BA675" s="172"/>
      <c r="BB675" s="172"/>
      <c r="BC675" s="172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  <c r="BT675" s="172"/>
      <c r="BU675" s="172"/>
      <c r="BV675" s="172"/>
      <c r="BW675" s="172"/>
      <c r="BX675" s="172"/>
      <c r="BY675" s="174"/>
      <c r="BZ675" s="172"/>
      <c r="CA675" s="172"/>
      <c r="CD675" s="194"/>
      <c r="CE675" s="194"/>
      <c r="CF675" s="194"/>
      <c r="CG675" s="194"/>
      <c r="CH675" s="195"/>
      <c r="CI675" s="194"/>
      <c r="CJ675" s="194"/>
      <c r="CK675" s="194"/>
      <c r="CL675" s="196"/>
      <c r="CM675" s="196"/>
      <c r="CN675" s="194"/>
      <c r="CO675" s="197"/>
      <c r="CP675" s="196"/>
      <c r="CQ675" s="196"/>
      <c r="CR675" s="196"/>
      <c r="CS675" s="196"/>
      <c r="CT675" s="196"/>
      <c r="CU675" s="196"/>
      <c r="CV675" s="194"/>
      <c r="CW675" s="194"/>
      <c r="CX675" s="194"/>
      <c r="CY675" s="194"/>
      <c r="CZ675" s="194"/>
      <c r="DA675" s="194"/>
      <c r="DB675" s="194"/>
      <c r="DC675" s="194"/>
      <c r="DD675" s="194"/>
      <c r="DE675" s="194"/>
      <c r="DF675" s="196"/>
      <c r="DG675" s="198"/>
      <c r="DH675" s="194"/>
      <c r="DI675" s="282"/>
      <c r="DJ675" s="282"/>
      <c r="DK675" s="282"/>
      <c r="DL675" s="282"/>
    </row>
    <row r="676" spans="1:116" s="24" customFormat="1" x14ac:dyDescent="0.3">
      <c r="A676" s="172"/>
      <c r="B676" s="172"/>
      <c r="C676" s="172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2"/>
      <c r="AT676" s="172"/>
      <c r="AU676" s="172"/>
      <c r="AV676" s="172"/>
      <c r="AW676" s="172"/>
      <c r="AX676" s="172"/>
      <c r="AY676" s="172"/>
      <c r="AZ676" s="172"/>
      <c r="BA676" s="172"/>
      <c r="BB676" s="172"/>
      <c r="BC676" s="172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  <c r="BT676" s="172"/>
      <c r="BU676" s="172"/>
      <c r="BV676" s="172"/>
      <c r="BW676" s="172"/>
      <c r="BX676" s="172"/>
      <c r="BY676" s="174"/>
      <c r="BZ676" s="172"/>
      <c r="CA676" s="172"/>
      <c r="CD676" s="194"/>
      <c r="CE676" s="194"/>
      <c r="CF676" s="194"/>
      <c r="CG676" s="194"/>
      <c r="CH676" s="195"/>
      <c r="CI676" s="194"/>
      <c r="CJ676" s="194"/>
      <c r="CK676" s="194"/>
      <c r="CL676" s="196"/>
      <c r="CM676" s="196"/>
      <c r="CN676" s="194"/>
      <c r="CO676" s="197"/>
      <c r="CP676" s="196"/>
      <c r="CQ676" s="196"/>
      <c r="CR676" s="196"/>
      <c r="CS676" s="196"/>
      <c r="CT676" s="196"/>
      <c r="CU676" s="196"/>
      <c r="CV676" s="194"/>
      <c r="CW676" s="194"/>
      <c r="CX676" s="194"/>
      <c r="CY676" s="194"/>
      <c r="CZ676" s="194"/>
      <c r="DA676" s="194"/>
      <c r="DB676" s="194"/>
      <c r="DC676" s="194"/>
      <c r="DD676" s="194"/>
      <c r="DE676" s="194"/>
      <c r="DF676" s="196"/>
      <c r="DG676" s="198"/>
      <c r="DH676" s="194"/>
      <c r="DI676" s="282"/>
      <c r="DJ676" s="282"/>
      <c r="DK676" s="282"/>
      <c r="DL676" s="282"/>
    </row>
    <row r="677" spans="1:116" s="24" customFormat="1" x14ac:dyDescent="0.3">
      <c r="A677" s="172"/>
      <c r="B677" s="172"/>
      <c r="C677" s="172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2"/>
      <c r="AT677" s="172"/>
      <c r="AU677" s="172"/>
      <c r="AV677" s="172"/>
      <c r="AW677" s="172"/>
      <c r="AX677" s="172"/>
      <c r="AY677" s="172"/>
      <c r="AZ677" s="172"/>
      <c r="BA677" s="172"/>
      <c r="BB677" s="172"/>
      <c r="BC677" s="172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  <c r="BT677" s="172"/>
      <c r="BU677" s="172"/>
      <c r="BV677" s="172"/>
      <c r="BW677" s="172"/>
      <c r="BX677" s="172"/>
      <c r="BY677" s="174"/>
      <c r="BZ677" s="172"/>
      <c r="CA677" s="172"/>
      <c r="CD677" s="194"/>
      <c r="CE677" s="194"/>
      <c r="CF677" s="194"/>
      <c r="CG677" s="194"/>
      <c r="CH677" s="195"/>
      <c r="CI677" s="194"/>
      <c r="CJ677" s="194"/>
      <c r="CK677" s="194"/>
      <c r="CL677" s="196"/>
      <c r="CM677" s="196"/>
      <c r="CN677" s="194"/>
      <c r="CO677" s="197"/>
      <c r="CP677" s="196"/>
      <c r="CQ677" s="196"/>
      <c r="CR677" s="196"/>
      <c r="CS677" s="196"/>
      <c r="CT677" s="196"/>
      <c r="CU677" s="196"/>
      <c r="CV677" s="194"/>
      <c r="CW677" s="194"/>
      <c r="CX677" s="194"/>
      <c r="CY677" s="194"/>
      <c r="CZ677" s="194"/>
      <c r="DA677" s="194"/>
      <c r="DB677" s="194"/>
      <c r="DC677" s="194"/>
      <c r="DD677" s="194"/>
      <c r="DE677" s="194"/>
      <c r="DF677" s="196"/>
      <c r="DG677" s="198"/>
      <c r="DH677" s="194"/>
      <c r="DI677" s="282"/>
      <c r="DJ677" s="282"/>
      <c r="DK677" s="282"/>
      <c r="DL677" s="282"/>
    </row>
    <row r="678" spans="1:116" s="24" customFormat="1" x14ac:dyDescent="0.3">
      <c r="A678" s="172"/>
      <c r="B678" s="172"/>
      <c r="C678" s="172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2"/>
      <c r="AT678" s="172"/>
      <c r="AU678" s="172"/>
      <c r="AV678" s="172"/>
      <c r="AW678" s="172"/>
      <c r="AX678" s="172"/>
      <c r="AY678" s="172"/>
      <c r="AZ678" s="172"/>
      <c r="BA678" s="172"/>
      <c r="BB678" s="172"/>
      <c r="BC678" s="172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  <c r="BT678" s="172"/>
      <c r="BU678" s="172"/>
      <c r="BV678" s="172"/>
      <c r="BW678" s="172"/>
      <c r="BX678" s="172"/>
      <c r="BY678" s="174"/>
      <c r="BZ678" s="172"/>
      <c r="CA678" s="172"/>
      <c r="CD678" s="194"/>
      <c r="CE678" s="194"/>
      <c r="CF678" s="194"/>
      <c r="CG678" s="194"/>
      <c r="CH678" s="195"/>
      <c r="CI678" s="194"/>
      <c r="CJ678" s="194"/>
      <c r="CK678" s="194"/>
      <c r="CL678" s="196"/>
      <c r="CM678" s="196"/>
      <c r="CN678" s="194"/>
      <c r="CO678" s="197"/>
      <c r="CP678" s="196"/>
      <c r="CQ678" s="196"/>
      <c r="CR678" s="196"/>
      <c r="CS678" s="196"/>
      <c r="CT678" s="196"/>
      <c r="CU678" s="196"/>
      <c r="CV678" s="194"/>
      <c r="CW678" s="194"/>
      <c r="CX678" s="194"/>
      <c r="CY678" s="194"/>
      <c r="CZ678" s="194"/>
      <c r="DA678" s="194"/>
      <c r="DB678" s="194"/>
      <c r="DC678" s="194"/>
      <c r="DD678" s="194"/>
      <c r="DE678" s="194"/>
      <c r="DF678" s="196"/>
      <c r="DG678" s="198"/>
      <c r="DH678" s="194"/>
      <c r="DI678" s="282"/>
      <c r="DJ678" s="282"/>
      <c r="DK678" s="282"/>
      <c r="DL678" s="282"/>
    </row>
    <row r="679" spans="1:116" s="24" customFormat="1" x14ac:dyDescent="0.3">
      <c r="A679" s="172"/>
      <c r="B679" s="172"/>
      <c r="C679" s="172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2"/>
      <c r="AT679" s="172"/>
      <c r="AU679" s="172"/>
      <c r="AV679" s="172"/>
      <c r="AW679" s="172"/>
      <c r="AX679" s="172"/>
      <c r="AY679" s="172"/>
      <c r="AZ679" s="172"/>
      <c r="BA679" s="172"/>
      <c r="BB679" s="172"/>
      <c r="BC679" s="172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  <c r="BT679" s="172"/>
      <c r="BU679" s="172"/>
      <c r="BV679" s="172"/>
      <c r="BW679" s="172"/>
      <c r="BX679" s="172"/>
      <c r="BY679" s="174"/>
      <c r="BZ679" s="172"/>
      <c r="CA679" s="172"/>
      <c r="CD679" s="194"/>
      <c r="CE679" s="194"/>
      <c r="CF679" s="194"/>
      <c r="CG679" s="194"/>
      <c r="CH679" s="195"/>
      <c r="CI679" s="194"/>
      <c r="CJ679" s="194"/>
      <c r="CK679" s="194"/>
      <c r="CL679" s="196"/>
      <c r="CM679" s="196"/>
      <c r="CN679" s="194"/>
      <c r="CO679" s="197"/>
      <c r="CP679" s="196"/>
      <c r="CQ679" s="196"/>
      <c r="CR679" s="196"/>
      <c r="CS679" s="196"/>
      <c r="CT679" s="196"/>
      <c r="CU679" s="196"/>
      <c r="CV679" s="194"/>
      <c r="CW679" s="194"/>
      <c r="CX679" s="194"/>
      <c r="CY679" s="194"/>
      <c r="CZ679" s="194"/>
      <c r="DA679" s="194"/>
      <c r="DB679" s="194"/>
      <c r="DC679" s="194"/>
      <c r="DD679" s="194"/>
      <c r="DE679" s="194"/>
      <c r="DF679" s="196"/>
      <c r="DG679" s="198"/>
      <c r="DH679" s="194"/>
      <c r="DI679" s="282"/>
      <c r="DJ679" s="282"/>
      <c r="DK679" s="282"/>
      <c r="DL679" s="282"/>
    </row>
    <row r="680" spans="1:116" s="24" customFormat="1" x14ac:dyDescent="0.3">
      <c r="A680" s="172"/>
      <c r="B680" s="172"/>
      <c r="C680" s="172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2"/>
      <c r="AT680" s="172"/>
      <c r="AU680" s="172"/>
      <c r="AV680" s="172"/>
      <c r="AW680" s="172"/>
      <c r="AX680" s="172"/>
      <c r="AY680" s="172"/>
      <c r="AZ680" s="172"/>
      <c r="BA680" s="172"/>
      <c r="BB680" s="172"/>
      <c r="BC680" s="172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  <c r="BT680" s="172"/>
      <c r="BU680" s="172"/>
      <c r="BV680" s="172"/>
      <c r="BW680" s="172"/>
      <c r="BX680" s="172"/>
      <c r="BY680" s="174"/>
      <c r="BZ680" s="172"/>
      <c r="CA680" s="172"/>
      <c r="CD680" s="194"/>
      <c r="CE680" s="194"/>
      <c r="CF680" s="194"/>
      <c r="CG680" s="194"/>
      <c r="CH680" s="195"/>
      <c r="CI680" s="194"/>
      <c r="CJ680" s="194"/>
      <c r="CK680" s="194"/>
      <c r="CL680" s="196"/>
      <c r="CM680" s="196"/>
      <c r="CN680" s="194"/>
      <c r="CO680" s="197"/>
      <c r="CP680" s="196"/>
      <c r="CQ680" s="196"/>
      <c r="CR680" s="196"/>
      <c r="CS680" s="196"/>
      <c r="CT680" s="196"/>
      <c r="CU680" s="196"/>
      <c r="CV680" s="194"/>
      <c r="CW680" s="194"/>
      <c r="CX680" s="194"/>
      <c r="CY680" s="194"/>
      <c r="CZ680" s="194"/>
      <c r="DA680" s="194"/>
      <c r="DB680" s="194"/>
      <c r="DC680" s="194"/>
      <c r="DD680" s="194"/>
      <c r="DE680" s="194"/>
      <c r="DF680" s="196"/>
      <c r="DG680" s="198"/>
      <c r="DH680" s="194"/>
      <c r="DI680" s="282"/>
      <c r="DJ680" s="282"/>
      <c r="DK680" s="282"/>
      <c r="DL680" s="282"/>
    </row>
    <row r="681" spans="1:116" s="24" customFormat="1" x14ac:dyDescent="0.3">
      <c r="A681" s="172"/>
      <c r="B681" s="172"/>
      <c r="C681" s="172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2"/>
      <c r="AT681" s="172"/>
      <c r="AU681" s="172"/>
      <c r="AV681" s="172"/>
      <c r="AW681" s="172"/>
      <c r="AX681" s="172"/>
      <c r="AY681" s="172"/>
      <c r="AZ681" s="172"/>
      <c r="BA681" s="172"/>
      <c r="BB681" s="172"/>
      <c r="BC681" s="172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  <c r="BT681" s="172"/>
      <c r="BU681" s="172"/>
      <c r="BV681" s="172"/>
      <c r="BW681" s="172"/>
      <c r="BX681" s="172"/>
      <c r="BY681" s="174"/>
      <c r="BZ681" s="172"/>
      <c r="CA681" s="172"/>
      <c r="CD681" s="194"/>
      <c r="CE681" s="194"/>
      <c r="CF681" s="194"/>
      <c r="CG681" s="194"/>
      <c r="CH681" s="195"/>
      <c r="CI681" s="194"/>
      <c r="CJ681" s="194"/>
      <c r="CK681" s="194"/>
      <c r="CL681" s="196"/>
      <c r="CM681" s="196"/>
      <c r="CN681" s="194"/>
      <c r="CO681" s="197"/>
      <c r="CP681" s="196"/>
      <c r="CQ681" s="196"/>
      <c r="CR681" s="196"/>
      <c r="CS681" s="196"/>
      <c r="CT681" s="196"/>
      <c r="CU681" s="196"/>
      <c r="CV681" s="194"/>
      <c r="CW681" s="194"/>
      <c r="CX681" s="194"/>
      <c r="CY681" s="194"/>
      <c r="CZ681" s="194"/>
      <c r="DA681" s="194"/>
      <c r="DB681" s="194"/>
      <c r="DC681" s="194"/>
      <c r="DD681" s="194"/>
      <c r="DE681" s="194"/>
      <c r="DF681" s="196"/>
      <c r="DG681" s="198"/>
      <c r="DH681" s="194"/>
      <c r="DI681" s="282"/>
      <c r="DJ681" s="282"/>
      <c r="DK681" s="282"/>
      <c r="DL681" s="282"/>
    </row>
    <row r="682" spans="1:116" s="24" customFormat="1" x14ac:dyDescent="0.3">
      <c r="A682" s="172"/>
      <c r="B682" s="172"/>
      <c r="C682" s="172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2"/>
      <c r="AT682" s="172"/>
      <c r="AU682" s="172"/>
      <c r="AV682" s="172"/>
      <c r="AW682" s="172"/>
      <c r="AX682" s="172"/>
      <c r="AY682" s="172"/>
      <c r="AZ682" s="172"/>
      <c r="BA682" s="172"/>
      <c r="BB682" s="172"/>
      <c r="BC682" s="172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172"/>
      <c r="BV682" s="172"/>
      <c r="BW682" s="172"/>
      <c r="BX682" s="172"/>
      <c r="BY682" s="174"/>
      <c r="BZ682" s="172"/>
      <c r="CA682" s="172"/>
      <c r="CD682" s="194"/>
      <c r="CE682" s="194"/>
      <c r="CF682" s="194"/>
      <c r="CG682" s="194"/>
      <c r="CH682" s="195"/>
      <c r="CI682" s="194"/>
      <c r="CJ682" s="194"/>
      <c r="CK682" s="194"/>
      <c r="CL682" s="196"/>
      <c r="CM682" s="196"/>
      <c r="CN682" s="194"/>
      <c r="CO682" s="197"/>
      <c r="CP682" s="196"/>
      <c r="CQ682" s="196"/>
      <c r="CR682" s="196"/>
      <c r="CS682" s="196"/>
      <c r="CT682" s="196"/>
      <c r="CU682" s="196"/>
      <c r="CV682" s="194"/>
      <c r="CW682" s="194"/>
      <c r="CX682" s="194"/>
      <c r="CY682" s="194"/>
      <c r="CZ682" s="194"/>
      <c r="DA682" s="194"/>
      <c r="DB682" s="194"/>
      <c r="DC682" s="194"/>
      <c r="DD682" s="194"/>
      <c r="DE682" s="194"/>
      <c r="DF682" s="196"/>
      <c r="DG682" s="198"/>
      <c r="DH682" s="194"/>
      <c r="DI682" s="282"/>
      <c r="DJ682" s="282"/>
      <c r="DK682" s="282"/>
      <c r="DL682" s="282"/>
    </row>
    <row r="683" spans="1:116" s="24" customFormat="1" x14ac:dyDescent="0.3">
      <c r="A683" s="172"/>
      <c r="B683" s="172"/>
      <c r="C683" s="172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2"/>
      <c r="AT683" s="172"/>
      <c r="AU683" s="172"/>
      <c r="AV683" s="172"/>
      <c r="AW683" s="172"/>
      <c r="AX683" s="172"/>
      <c r="AY683" s="172"/>
      <c r="AZ683" s="172"/>
      <c r="BA683" s="172"/>
      <c r="BB683" s="172"/>
      <c r="BC683" s="172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  <c r="BT683" s="172"/>
      <c r="BU683" s="172"/>
      <c r="BV683" s="172"/>
      <c r="BW683" s="172"/>
      <c r="BX683" s="172"/>
      <c r="BY683" s="174"/>
      <c r="BZ683" s="172"/>
      <c r="CA683" s="172"/>
      <c r="CD683" s="194"/>
      <c r="CE683" s="194"/>
      <c r="CF683" s="194"/>
      <c r="CG683" s="194"/>
      <c r="CH683" s="195"/>
      <c r="CI683" s="194"/>
      <c r="CJ683" s="194"/>
      <c r="CK683" s="194"/>
      <c r="CL683" s="196"/>
      <c r="CM683" s="196"/>
      <c r="CN683" s="194"/>
      <c r="CO683" s="197"/>
      <c r="CP683" s="196"/>
      <c r="CQ683" s="196"/>
      <c r="CR683" s="196"/>
      <c r="CS683" s="196"/>
      <c r="CT683" s="196"/>
      <c r="CU683" s="196"/>
      <c r="CV683" s="194"/>
      <c r="CW683" s="194"/>
      <c r="CX683" s="194"/>
      <c r="CY683" s="194"/>
      <c r="CZ683" s="194"/>
      <c r="DA683" s="194"/>
      <c r="DB683" s="194"/>
      <c r="DC683" s="194"/>
      <c r="DD683" s="194"/>
      <c r="DE683" s="194"/>
      <c r="DF683" s="196"/>
      <c r="DG683" s="198"/>
      <c r="DH683" s="194"/>
      <c r="DI683" s="282"/>
      <c r="DJ683" s="282"/>
      <c r="DK683" s="282"/>
      <c r="DL683" s="282"/>
    </row>
    <row r="684" spans="1:116" s="24" customFormat="1" x14ac:dyDescent="0.3">
      <c r="A684" s="172"/>
      <c r="B684" s="172"/>
      <c r="C684" s="172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2"/>
      <c r="AT684" s="172"/>
      <c r="AU684" s="172"/>
      <c r="AV684" s="172"/>
      <c r="AW684" s="172"/>
      <c r="AX684" s="172"/>
      <c r="AY684" s="172"/>
      <c r="AZ684" s="172"/>
      <c r="BA684" s="172"/>
      <c r="BB684" s="172"/>
      <c r="BC684" s="172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  <c r="BT684" s="172"/>
      <c r="BU684" s="172"/>
      <c r="BV684" s="172"/>
      <c r="BW684" s="172"/>
      <c r="BX684" s="172"/>
      <c r="BY684" s="174"/>
      <c r="BZ684" s="172"/>
      <c r="CA684" s="172"/>
      <c r="CD684" s="194"/>
      <c r="CE684" s="194"/>
      <c r="CF684" s="194"/>
      <c r="CG684" s="194"/>
      <c r="CH684" s="195"/>
      <c r="CI684" s="194"/>
      <c r="CJ684" s="194"/>
      <c r="CK684" s="194"/>
      <c r="CL684" s="196"/>
      <c r="CM684" s="196"/>
      <c r="CN684" s="194"/>
      <c r="CO684" s="197"/>
      <c r="CP684" s="196"/>
      <c r="CQ684" s="196"/>
      <c r="CR684" s="196"/>
      <c r="CS684" s="196"/>
      <c r="CT684" s="196"/>
      <c r="CU684" s="196"/>
      <c r="CV684" s="194"/>
      <c r="CW684" s="194"/>
      <c r="CX684" s="194"/>
      <c r="CY684" s="194"/>
      <c r="CZ684" s="194"/>
      <c r="DA684" s="194"/>
      <c r="DB684" s="194"/>
      <c r="DC684" s="194"/>
      <c r="DD684" s="194"/>
      <c r="DE684" s="194"/>
      <c r="DF684" s="196"/>
      <c r="DG684" s="198"/>
      <c r="DH684" s="194"/>
      <c r="DI684" s="282"/>
      <c r="DJ684" s="282"/>
      <c r="DK684" s="282"/>
      <c r="DL684" s="282"/>
    </row>
    <row r="685" spans="1:116" s="24" customFormat="1" x14ac:dyDescent="0.3">
      <c r="A685" s="172"/>
      <c r="B685" s="172"/>
      <c r="C685" s="172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2"/>
      <c r="AT685" s="172"/>
      <c r="AU685" s="172"/>
      <c r="AV685" s="172"/>
      <c r="AW685" s="172"/>
      <c r="AX685" s="172"/>
      <c r="AY685" s="172"/>
      <c r="AZ685" s="172"/>
      <c r="BA685" s="172"/>
      <c r="BB685" s="172"/>
      <c r="BC685" s="172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  <c r="BT685" s="172"/>
      <c r="BU685" s="172"/>
      <c r="BV685" s="172"/>
      <c r="BW685" s="172"/>
      <c r="BX685" s="172"/>
      <c r="BY685" s="174"/>
      <c r="BZ685" s="172"/>
      <c r="CA685" s="172"/>
      <c r="CD685" s="194"/>
      <c r="CE685" s="194"/>
      <c r="CF685" s="194"/>
      <c r="CG685" s="194"/>
      <c r="CH685" s="195"/>
      <c r="CI685" s="194"/>
      <c r="CJ685" s="194"/>
      <c r="CK685" s="194"/>
      <c r="CL685" s="196"/>
      <c r="CM685" s="196"/>
      <c r="CN685" s="194"/>
      <c r="CO685" s="197"/>
      <c r="CP685" s="196"/>
      <c r="CQ685" s="196"/>
      <c r="CR685" s="196"/>
      <c r="CS685" s="196"/>
      <c r="CT685" s="196"/>
      <c r="CU685" s="196"/>
      <c r="CV685" s="194"/>
      <c r="CW685" s="194"/>
      <c r="CX685" s="194"/>
      <c r="CY685" s="194"/>
      <c r="CZ685" s="194"/>
      <c r="DA685" s="194"/>
      <c r="DB685" s="194"/>
      <c r="DC685" s="194"/>
      <c r="DD685" s="194"/>
      <c r="DE685" s="194"/>
      <c r="DF685" s="196"/>
      <c r="DG685" s="198"/>
      <c r="DH685" s="194"/>
      <c r="DI685" s="282"/>
      <c r="DJ685" s="282"/>
      <c r="DK685" s="282"/>
      <c r="DL685" s="282"/>
    </row>
    <row r="686" spans="1:116" s="24" customFormat="1" x14ac:dyDescent="0.3">
      <c r="A686" s="172"/>
      <c r="B686" s="172"/>
      <c r="C686" s="172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2"/>
      <c r="AT686" s="172"/>
      <c r="AU686" s="172"/>
      <c r="AV686" s="172"/>
      <c r="AW686" s="172"/>
      <c r="AX686" s="172"/>
      <c r="AY686" s="172"/>
      <c r="AZ686" s="172"/>
      <c r="BA686" s="172"/>
      <c r="BB686" s="172"/>
      <c r="BC686" s="172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  <c r="BT686" s="172"/>
      <c r="BU686" s="172"/>
      <c r="BV686" s="172"/>
      <c r="BW686" s="172"/>
      <c r="BX686" s="172"/>
      <c r="BY686" s="174"/>
      <c r="BZ686" s="172"/>
      <c r="CA686" s="172"/>
      <c r="CD686" s="194"/>
      <c r="CE686" s="194"/>
      <c r="CF686" s="194"/>
      <c r="CG686" s="194"/>
      <c r="CH686" s="195"/>
      <c r="CI686" s="194"/>
      <c r="CJ686" s="194"/>
      <c r="CK686" s="194"/>
      <c r="CL686" s="196"/>
      <c r="CM686" s="196"/>
      <c r="CN686" s="194"/>
      <c r="CO686" s="197"/>
      <c r="CP686" s="196"/>
      <c r="CQ686" s="196"/>
      <c r="CR686" s="196"/>
      <c r="CS686" s="196"/>
      <c r="CT686" s="196"/>
      <c r="CU686" s="196"/>
      <c r="CV686" s="194"/>
      <c r="CW686" s="194"/>
      <c r="CX686" s="194"/>
      <c r="CY686" s="194"/>
      <c r="CZ686" s="194"/>
      <c r="DA686" s="194"/>
      <c r="DB686" s="194"/>
      <c r="DC686" s="194"/>
      <c r="DD686" s="194"/>
      <c r="DE686" s="194"/>
      <c r="DF686" s="196"/>
      <c r="DG686" s="198"/>
      <c r="DH686" s="194"/>
      <c r="DI686" s="282"/>
      <c r="DJ686" s="282"/>
      <c r="DK686" s="282"/>
      <c r="DL686" s="282"/>
    </row>
    <row r="687" spans="1:116" s="24" customFormat="1" x14ac:dyDescent="0.3">
      <c r="A687" s="172"/>
      <c r="B687" s="172"/>
      <c r="C687" s="172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2"/>
      <c r="AT687" s="172"/>
      <c r="AU687" s="172"/>
      <c r="AV687" s="172"/>
      <c r="AW687" s="172"/>
      <c r="AX687" s="172"/>
      <c r="AY687" s="172"/>
      <c r="AZ687" s="172"/>
      <c r="BA687" s="172"/>
      <c r="BB687" s="172"/>
      <c r="BC687" s="172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  <c r="BT687" s="172"/>
      <c r="BU687" s="172"/>
      <c r="BV687" s="172"/>
      <c r="BW687" s="172"/>
      <c r="BX687" s="172"/>
      <c r="BY687" s="174"/>
      <c r="BZ687" s="172"/>
      <c r="CA687" s="172"/>
      <c r="CD687" s="194"/>
      <c r="CE687" s="194"/>
      <c r="CF687" s="194"/>
      <c r="CG687" s="194"/>
      <c r="CH687" s="195"/>
      <c r="CI687" s="194"/>
      <c r="CJ687" s="194"/>
      <c r="CK687" s="194"/>
      <c r="CL687" s="196"/>
      <c r="CM687" s="196"/>
      <c r="CN687" s="194"/>
      <c r="CO687" s="197"/>
      <c r="CP687" s="196"/>
      <c r="CQ687" s="196"/>
      <c r="CR687" s="196"/>
      <c r="CS687" s="196"/>
      <c r="CT687" s="196"/>
      <c r="CU687" s="196"/>
      <c r="CV687" s="194"/>
      <c r="CW687" s="194"/>
      <c r="CX687" s="194"/>
      <c r="CY687" s="194"/>
      <c r="CZ687" s="194"/>
      <c r="DA687" s="194"/>
      <c r="DB687" s="194"/>
      <c r="DC687" s="194"/>
      <c r="DD687" s="194"/>
      <c r="DE687" s="194"/>
      <c r="DF687" s="196"/>
      <c r="DG687" s="198"/>
      <c r="DH687" s="194"/>
      <c r="DI687" s="282"/>
      <c r="DJ687" s="282"/>
      <c r="DK687" s="282"/>
      <c r="DL687" s="282"/>
    </row>
    <row r="688" spans="1:116" s="24" customFormat="1" x14ac:dyDescent="0.3">
      <c r="A688" s="172"/>
      <c r="B688" s="172"/>
      <c r="C688" s="172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2"/>
      <c r="AT688" s="172"/>
      <c r="AU688" s="172"/>
      <c r="AV688" s="172"/>
      <c r="AW688" s="172"/>
      <c r="AX688" s="172"/>
      <c r="AY688" s="172"/>
      <c r="AZ688" s="172"/>
      <c r="BA688" s="172"/>
      <c r="BB688" s="172"/>
      <c r="BC688" s="172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  <c r="BT688" s="172"/>
      <c r="BU688" s="172"/>
      <c r="BV688" s="172"/>
      <c r="BW688" s="172"/>
      <c r="BX688" s="172"/>
      <c r="BY688" s="174"/>
      <c r="BZ688" s="172"/>
      <c r="CA688" s="172"/>
      <c r="CD688" s="194"/>
      <c r="CE688" s="194"/>
      <c r="CF688" s="194"/>
      <c r="CG688" s="194"/>
      <c r="CH688" s="195"/>
      <c r="CI688" s="194"/>
      <c r="CJ688" s="194"/>
      <c r="CK688" s="194"/>
      <c r="CL688" s="196"/>
      <c r="CM688" s="196"/>
      <c r="CN688" s="194"/>
      <c r="CO688" s="197"/>
      <c r="CP688" s="196"/>
      <c r="CQ688" s="196"/>
      <c r="CR688" s="196"/>
      <c r="CS688" s="196"/>
      <c r="CT688" s="196"/>
      <c r="CU688" s="196"/>
      <c r="CV688" s="194"/>
      <c r="CW688" s="194"/>
      <c r="CX688" s="194"/>
      <c r="CY688" s="194"/>
      <c r="CZ688" s="194"/>
      <c r="DA688" s="194"/>
      <c r="DB688" s="194"/>
      <c r="DC688" s="194"/>
      <c r="DD688" s="194"/>
      <c r="DE688" s="194"/>
      <c r="DF688" s="196"/>
      <c r="DG688" s="198"/>
      <c r="DH688" s="194"/>
      <c r="DI688" s="282"/>
      <c r="DJ688" s="282"/>
      <c r="DK688" s="282"/>
      <c r="DL688" s="282"/>
    </row>
    <row r="689" spans="1:116" s="24" customFormat="1" x14ac:dyDescent="0.3">
      <c r="A689" s="172"/>
      <c r="B689" s="172"/>
      <c r="C689" s="172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  <c r="BT689" s="172"/>
      <c r="BU689" s="172"/>
      <c r="BV689" s="172"/>
      <c r="BW689" s="172"/>
      <c r="BX689" s="172"/>
      <c r="BY689" s="174"/>
      <c r="BZ689" s="172"/>
      <c r="CA689" s="172"/>
      <c r="CD689" s="194"/>
      <c r="CE689" s="194"/>
      <c r="CF689" s="194"/>
      <c r="CG689" s="194"/>
      <c r="CH689" s="195"/>
      <c r="CI689" s="194"/>
      <c r="CJ689" s="194"/>
      <c r="CK689" s="194"/>
      <c r="CL689" s="196"/>
      <c r="CM689" s="196"/>
      <c r="CN689" s="194"/>
      <c r="CO689" s="197"/>
      <c r="CP689" s="196"/>
      <c r="CQ689" s="196"/>
      <c r="CR689" s="196"/>
      <c r="CS689" s="196"/>
      <c r="CT689" s="196"/>
      <c r="CU689" s="196"/>
      <c r="CV689" s="194"/>
      <c r="CW689" s="194"/>
      <c r="CX689" s="194"/>
      <c r="CY689" s="194"/>
      <c r="CZ689" s="194"/>
      <c r="DA689" s="194"/>
      <c r="DB689" s="194"/>
      <c r="DC689" s="194"/>
      <c r="DD689" s="194"/>
      <c r="DE689" s="194"/>
      <c r="DF689" s="196"/>
      <c r="DG689" s="198"/>
      <c r="DH689" s="194"/>
      <c r="DI689" s="282"/>
      <c r="DJ689" s="282"/>
      <c r="DK689" s="282"/>
      <c r="DL689" s="282"/>
    </row>
    <row r="690" spans="1:116" s="24" customFormat="1" x14ac:dyDescent="0.3">
      <c r="A690" s="172"/>
      <c r="B690" s="172"/>
      <c r="C690" s="172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2"/>
      <c r="AT690" s="172"/>
      <c r="AU690" s="172"/>
      <c r="AV690" s="172"/>
      <c r="AW690" s="172"/>
      <c r="AX690" s="172"/>
      <c r="AY690" s="172"/>
      <c r="AZ690" s="172"/>
      <c r="BA690" s="172"/>
      <c r="BB690" s="172"/>
      <c r="BC690" s="172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  <c r="BT690" s="172"/>
      <c r="BU690" s="172"/>
      <c r="BV690" s="172"/>
      <c r="BW690" s="172"/>
      <c r="BX690" s="172"/>
      <c r="BY690" s="174"/>
      <c r="BZ690" s="172"/>
      <c r="CA690" s="172"/>
      <c r="CD690" s="194"/>
      <c r="CE690" s="194"/>
      <c r="CF690" s="194"/>
      <c r="CG690" s="194"/>
      <c r="CH690" s="195"/>
      <c r="CI690" s="194"/>
      <c r="CJ690" s="194"/>
      <c r="CK690" s="194"/>
      <c r="CL690" s="196"/>
      <c r="CM690" s="196"/>
      <c r="CN690" s="194"/>
      <c r="CO690" s="197"/>
      <c r="CP690" s="196"/>
      <c r="CQ690" s="196"/>
      <c r="CR690" s="196"/>
      <c r="CS690" s="196"/>
      <c r="CT690" s="196"/>
      <c r="CU690" s="196"/>
      <c r="CV690" s="194"/>
      <c r="CW690" s="194"/>
      <c r="CX690" s="194"/>
      <c r="CY690" s="194"/>
      <c r="CZ690" s="194"/>
      <c r="DA690" s="194"/>
      <c r="DB690" s="194"/>
      <c r="DC690" s="194"/>
      <c r="DD690" s="194"/>
      <c r="DE690" s="194"/>
      <c r="DF690" s="196"/>
      <c r="DG690" s="198"/>
      <c r="DH690" s="194"/>
      <c r="DI690" s="282"/>
      <c r="DJ690" s="282"/>
      <c r="DK690" s="282"/>
      <c r="DL690" s="282"/>
    </row>
    <row r="691" spans="1:116" s="24" customFormat="1" x14ac:dyDescent="0.3">
      <c r="A691" s="172"/>
      <c r="B691" s="172"/>
      <c r="C691" s="172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2"/>
      <c r="AT691" s="172"/>
      <c r="AU691" s="172"/>
      <c r="AV691" s="172"/>
      <c r="AW691" s="172"/>
      <c r="AX691" s="172"/>
      <c r="AY691" s="172"/>
      <c r="AZ691" s="172"/>
      <c r="BA691" s="172"/>
      <c r="BB691" s="172"/>
      <c r="BC691" s="172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  <c r="BT691" s="172"/>
      <c r="BU691" s="172"/>
      <c r="BV691" s="172"/>
      <c r="BW691" s="172"/>
      <c r="BX691" s="172"/>
      <c r="BY691" s="174"/>
      <c r="BZ691" s="172"/>
      <c r="CA691" s="172"/>
      <c r="CD691" s="194"/>
      <c r="CE691" s="194"/>
      <c r="CF691" s="194"/>
      <c r="CG691" s="194"/>
      <c r="CH691" s="195"/>
      <c r="CI691" s="194"/>
      <c r="CJ691" s="194"/>
      <c r="CK691" s="194"/>
      <c r="CL691" s="196"/>
      <c r="CM691" s="196"/>
      <c r="CN691" s="194"/>
      <c r="CO691" s="197"/>
      <c r="CP691" s="196"/>
      <c r="CQ691" s="196"/>
      <c r="CR691" s="196"/>
      <c r="CS691" s="196"/>
      <c r="CT691" s="196"/>
      <c r="CU691" s="196"/>
      <c r="CV691" s="194"/>
      <c r="CW691" s="194"/>
      <c r="CX691" s="194"/>
      <c r="CY691" s="194"/>
      <c r="CZ691" s="194"/>
      <c r="DA691" s="194"/>
      <c r="DB691" s="194"/>
      <c r="DC691" s="194"/>
      <c r="DD691" s="194"/>
      <c r="DE691" s="194"/>
      <c r="DF691" s="196"/>
      <c r="DG691" s="198"/>
      <c r="DH691" s="194"/>
      <c r="DI691" s="282"/>
      <c r="DJ691" s="282"/>
      <c r="DK691" s="282"/>
      <c r="DL691" s="282"/>
    </row>
    <row r="692" spans="1:116" s="24" customFormat="1" x14ac:dyDescent="0.3">
      <c r="A692" s="172"/>
      <c r="B692" s="172"/>
      <c r="C692" s="172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172"/>
      <c r="BV692" s="172"/>
      <c r="BW692" s="172"/>
      <c r="BX692" s="172"/>
      <c r="BY692" s="174"/>
      <c r="BZ692" s="172"/>
      <c r="CA692" s="172"/>
      <c r="CD692" s="194"/>
      <c r="CE692" s="194"/>
      <c r="CF692" s="194"/>
      <c r="CG692" s="194"/>
      <c r="CH692" s="195"/>
      <c r="CI692" s="194"/>
      <c r="CJ692" s="194"/>
      <c r="CK692" s="194"/>
      <c r="CL692" s="196"/>
      <c r="CM692" s="196"/>
      <c r="CN692" s="194"/>
      <c r="CO692" s="197"/>
      <c r="CP692" s="196"/>
      <c r="CQ692" s="196"/>
      <c r="CR692" s="196"/>
      <c r="CS692" s="196"/>
      <c r="CT692" s="196"/>
      <c r="CU692" s="196"/>
      <c r="CV692" s="194"/>
      <c r="CW692" s="194"/>
      <c r="CX692" s="194"/>
      <c r="CY692" s="194"/>
      <c r="CZ692" s="194"/>
      <c r="DA692" s="194"/>
      <c r="DB692" s="194"/>
      <c r="DC692" s="194"/>
      <c r="DD692" s="194"/>
      <c r="DE692" s="194"/>
      <c r="DF692" s="196"/>
      <c r="DG692" s="198"/>
      <c r="DH692" s="194"/>
      <c r="DI692" s="282"/>
      <c r="DJ692" s="282"/>
      <c r="DK692" s="282"/>
      <c r="DL692" s="282"/>
    </row>
    <row r="693" spans="1:116" s="24" customFormat="1" x14ac:dyDescent="0.3">
      <c r="A693" s="172"/>
      <c r="B693" s="172"/>
      <c r="C693" s="172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2"/>
      <c r="AT693" s="172"/>
      <c r="AU693" s="172"/>
      <c r="AV693" s="172"/>
      <c r="AW693" s="172"/>
      <c r="AX693" s="172"/>
      <c r="AY693" s="172"/>
      <c r="AZ693" s="172"/>
      <c r="BA693" s="172"/>
      <c r="BB693" s="172"/>
      <c r="BC693" s="172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  <c r="BT693" s="172"/>
      <c r="BU693" s="172"/>
      <c r="BV693" s="172"/>
      <c r="BW693" s="172"/>
      <c r="BX693" s="172"/>
      <c r="BY693" s="174"/>
      <c r="BZ693" s="172"/>
      <c r="CA693" s="172"/>
      <c r="CD693" s="194"/>
      <c r="CE693" s="194"/>
      <c r="CF693" s="194"/>
      <c r="CG693" s="194"/>
      <c r="CH693" s="195"/>
      <c r="CI693" s="194"/>
      <c r="CJ693" s="194"/>
      <c r="CK693" s="194"/>
      <c r="CL693" s="196"/>
      <c r="CM693" s="196"/>
      <c r="CN693" s="194"/>
      <c r="CO693" s="197"/>
      <c r="CP693" s="196"/>
      <c r="CQ693" s="196"/>
      <c r="CR693" s="196"/>
      <c r="CS693" s="196"/>
      <c r="CT693" s="196"/>
      <c r="CU693" s="196"/>
      <c r="CV693" s="194"/>
      <c r="CW693" s="194"/>
      <c r="CX693" s="194"/>
      <c r="CY693" s="194"/>
      <c r="CZ693" s="194"/>
      <c r="DA693" s="194"/>
      <c r="DB693" s="194"/>
      <c r="DC693" s="194"/>
      <c r="DD693" s="194"/>
      <c r="DE693" s="194"/>
      <c r="DF693" s="196"/>
      <c r="DG693" s="198"/>
      <c r="DH693" s="194"/>
      <c r="DI693" s="282"/>
      <c r="DJ693" s="282"/>
      <c r="DK693" s="282"/>
      <c r="DL693" s="282"/>
    </row>
    <row r="694" spans="1:116" s="24" customFormat="1" x14ac:dyDescent="0.3">
      <c r="A694" s="172"/>
      <c r="B694" s="172"/>
      <c r="C694" s="172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2"/>
      <c r="AT694" s="172"/>
      <c r="AU694" s="172"/>
      <c r="AV694" s="172"/>
      <c r="AW694" s="172"/>
      <c r="AX694" s="172"/>
      <c r="AY694" s="172"/>
      <c r="AZ694" s="172"/>
      <c r="BA694" s="172"/>
      <c r="BB694" s="172"/>
      <c r="BC694" s="172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  <c r="BT694" s="172"/>
      <c r="BU694" s="172"/>
      <c r="BV694" s="172"/>
      <c r="BW694" s="172"/>
      <c r="BX694" s="172"/>
      <c r="BY694" s="174"/>
      <c r="BZ694" s="172"/>
      <c r="CA694" s="172"/>
      <c r="CD694" s="194"/>
      <c r="CE694" s="194"/>
      <c r="CF694" s="194"/>
      <c r="CG694" s="194"/>
      <c r="CH694" s="195"/>
      <c r="CI694" s="194"/>
      <c r="CJ694" s="194"/>
      <c r="CK694" s="194"/>
      <c r="CL694" s="196"/>
      <c r="CM694" s="196"/>
      <c r="CN694" s="194"/>
      <c r="CO694" s="197"/>
      <c r="CP694" s="196"/>
      <c r="CQ694" s="196"/>
      <c r="CR694" s="196"/>
      <c r="CS694" s="196"/>
      <c r="CT694" s="196"/>
      <c r="CU694" s="196"/>
      <c r="CV694" s="194"/>
      <c r="CW694" s="194"/>
      <c r="CX694" s="194"/>
      <c r="CY694" s="194"/>
      <c r="CZ694" s="194"/>
      <c r="DA694" s="194"/>
      <c r="DB694" s="194"/>
      <c r="DC694" s="194"/>
      <c r="DD694" s="194"/>
      <c r="DE694" s="194"/>
      <c r="DF694" s="196"/>
      <c r="DG694" s="198"/>
      <c r="DH694" s="194"/>
      <c r="DI694" s="282"/>
      <c r="DJ694" s="282"/>
      <c r="DK694" s="282"/>
      <c r="DL694" s="282"/>
    </row>
    <row r="695" spans="1:116" s="24" customFormat="1" x14ac:dyDescent="0.3">
      <c r="A695" s="172"/>
      <c r="B695" s="172"/>
      <c r="C695" s="172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2"/>
      <c r="AT695" s="172"/>
      <c r="AU695" s="172"/>
      <c r="AV695" s="172"/>
      <c r="AW695" s="172"/>
      <c r="AX695" s="172"/>
      <c r="AY695" s="172"/>
      <c r="AZ695" s="172"/>
      <c r="BA695" s="172"/>
      <c r="BB695" s="172"/>
      <c r="BC695" s="172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  <c r="BT695" s="172"/>
      <c r="BU695" s="172"/>
      <c r="BV695" s="172"/>
      <c r="BW695" s="172"/>
      <c r="BX695" s="172"/>
      <c r="BY695" s="174"/>
      <c r="BZ695" s="172"/>
      <c r="CA695" s="172"/>
      <c r="CD695" s="194"/>
      <c r="CE695" s="194"/>
      <c r="CF695" s="194"/>
      <c r="CG695" s="194"/>
      <c r="CH695" s="195"/>
      <c r="CI695" s="194"/>
      <c r="CJ695" s="194"/>
      <c r="CK695" s="194"/>
      <c r="CL695" s="196"/>
      <c r="CM695" s="196"/>
      <c r="CN695" s="194"/>
      <c r="CO695" s="197"/>
      <c r="CP695" s="196"/>
      <c r="CQ695" s="196"/>
      <c r="CR695" s="196"/>
      <c r="CS695" s="196"/>
      <c r="CT695" s="196"/>
      <c r="CU695" s="196"/>
      <c r="CV695" s="194"/>
      <c r="CW695" s="194"/>
      <c r="CX695" s="194"/>
      <c r="CY695" s="194"/>
      <c r="CZ695" s="194"/>
      <c r="DA695" s="194"/>
      <c r="DB695" s="194"/>
      <c r="DC695" s="194"/>
      <c r="DD695" s="194"/>
      <c r="DE695" s="194"/>
      <c r="DF695" s="196"/>
      <c r="DG695" s="198"/>
      <c r="DH695" s="194"/>
      <c r="DI695" s="282"/>
      <c r="DJ695" s="282"/>
      <c r="DK695" s="282"/>
      <c r="DL695" s="282"/>
    </row>
    <row r="696" spans="1:116" s="24" customFormat="1" x14ac:dyDescent="0.3">
      <c r="A696" s="172"/>
      <c r="B696" s="172"/>
      <c r="C696" s="172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2"/>
      <c r="AT696" s="172"/>
      <c r="AU696" s="172"/>
      <c r="AV696" s="172"/>
      <c r="AW696" s="172"/>
      <c r="AX696" s="172"/>
      <c r="AY696" s="172"/>
      <c r="AZ696" s="172"/>
      <c r="BA696" s="172"/>
      <c r="BB696" s="172"/>
      <c r="BC696" s="172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  <c r="BT696" s="172"/>
      <c r="BU696" s="172"/>
      <c r="BV696" s="172"/>
      <c r="BW696" s="172"/>
      <c r="BX696" s="172"/>
      <c r="BY696" s="174"/>
      <c r="BZ696" s="172"/>
      <c r="CA696" s="172"/>
      <c r="CD696" s="194"/>
      <c r="CE696" s="194"/>
      <c r="CF696" s="194"/>
      <c r="CG696" s="194"/>
      <c r="CH696" s="195"/>
      <c r="CI696" s="194"/>
      <c r="CJ696" s="194"/>
      <c r="CK696" s="194"/>
      <c r="CL696" s="196"/>
      <c r="CM696" s="196"/>
      <c r="CN696" s="194"/>
      <c r="CO696" s="197"/>
      <c r="CP696" s="196"/>
      <c r="CQ696" s="196"/>
      <c r="CR696" s="196"/>
      <c r="CS696" s="196"/>
      <c r="CT696" s="196"/>
      <c r="CU696" s="196"/>
      <c r="CV696" s="194"/>
      <c r="CW696" s="194"/>
      <c r="CX696" s="194"/>
      <c r="CY696" s="194"/>
      <c r="CZ696" s="194"/>
      <c r="DA696" s="194"/>
      <c r="DB696" s="194"/>
      <c r="DC696" s="194"/>
      <c r="DD696" s="194"/>
      <c r="DE696" s="194"/>
      <c r="DF696" s="196"/>
      <c r="DG696" s="198"/>
      <c r="DH696" s="194"/>
      <c r="DI696" s="282"/>
      <c r="DJ696" s="282"/>
      <c r="DK696" s="282"/>
      <c r="DL696" s="282"/>
    </row>
    <row r="697" spans="1:116" s="24" customFormat="1" x14ac:dyDescent="0.3">
      <c r="A697" s="172"/>
      <c r="B697" s="172"/>
      <c r="C697" s="172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2"/>
      <c r="AT697" s="172"/>
      <c r="AU697" s="172"/>
      <c r="AV697" s="172"/>
      <c r="AW697" s="172"/>
      <c r="AX697" s="172"/>
      <c r="AY697" s="172"/>
      <c r="AZ697" s="172"/>
      <c r="BA697" s="172"/>
      <c r="BB697" s="172"/>
      <c r="BC697" s="172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  <c r="BT697" s="172"/>
      <c r="BU697" s="172"/>
      <c r="BV697" s="172"/>
      <c r="BW697" s="172"/>
      <c r="BX697" s="172"/>
      <c r="BY697" s="174"/>
      <c r="BZ697" s="172"/>
      <c r="CA697" s="172"/>
      <c r="CD697" s="194"/>
      <c r="CE697" s="194"/>
      <c r="CF697" s="194"/>
      <c r="CG697" s="194"/>
      <c r="CH697" s="195"/>
      <c r="CI697" s="194"/>
      <c r="CJ697" s="194"/>
      <c r="CK697" s="194"/>
      <c r="CL697" s="196"/>
      <c r="CM697" s="196"/>
      <c r="CN697" s="194"/>
      <c r="CO697" s="197"/>
      <c r="CP697" s="196"/>
      <c r="CQ697" s="196"/>
      <c r="CR697" s="196"/>
      <c r="CS697" s="196"/>
      <c r="CT697" s="196"/>
      <c r="CU697" s="196"/>
      <c r="CV697" s="194"/>
      <c r="CW697" s="194"/>
      <c r="CX697" s="194"/>
      <c r="CY697" s="194"/>
      <c r="CZ697" s="194"/>
      <c r="DA697" s="194"/>
      <c r="DB697" s="194"/>
      <c r="DC697" s="194"/>
      <c r="DD697" s="194"/>
      <c r="DE697" s="194"/>
      <c r="DF697" s="196"/>
      <c r="DG697" s="198"/>
      <c r="DH697" s="194"/>
      <c r="DI697" s="282"/>
      <c r="DJ697" s="282"/>
      <c r="DK697" s="282"/>
      <c r="DL697" s="282"/>
    </row>
    <row r="698" spans="1:116" s="24" customFormat="1" x14ac:dyDescent="0.3">
      <c r="A698" s="172"/>
      <c r="B698" s="172"/>
      <c r="C698" s="172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2"/>
      <c r="AT698" s="172"/>
      <c r="AU698" s="172"/>
      <c r="AV698" s="172"/>
      <c r="AW698" s="172"/>
      <c r="AX698" s="172"/>
      <c r="AY698" s="172"/>
      <c r="AZ698" s="172"/>
      <c r="BA698" s="172"/>
      <c r="BB698" s="172"/>
      <c r="BC698" s="172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  <c r="BT698" s="172"/>
      <c r="BU698" s="172"/>
      <c r="BV698" s="172"/>
      <c r="BW698" s="172"/>
      <c r="BX698" s="172"/>
      <c r="BY698" s="174"/>
      <c r="BZ698" s="172"/>
      <c r="CA698" s="172"/>
      <c r="CD698" s="194"/>
      <c r="CE698" s="194"/>
      <c r="CF698" s="194"/>
      <c r="CG698" s="194"/>
      <c r="CH698" s="195"/>
      <c r="CI698" s="194"/>
      <c r="CJ698" s="194"/>
      <c r="CK698" s="194"/>
      <c r="CL698" s="196"/>
      <c r="CM698" s="196"/>
      <c r="CN698" s="194"/>
      <c r="CO698" s="197"/>
      <c r="CP698" s="196"/>
      <c r="CQ698" s="196"/>
      <c r="CR698" s="196"/>
      <c r="CS698" s="196"/>
      <c r="CT698" s="196"/>
      <c r="CU698" s="196"/>
      <c r="CV698" s="194"/>
      <c r="CW698" s="194"/>
      <c r="CX698" s="194"/>
      <c r="CY698" s="194"/>
      <c r="CZ698" s="194"/>
      <c r="DA698" s="194"/>
      <c r="DB698" s="194"/>
      <c r="DC698" s="194"/>
      <c r="DD698" s="194"/>
      <c r="DE698" s="194"/>
      <c r="DF698" s="196"/>
      <c r="DG698" s="198"/>
      <c r="DH698" s="194"/>
      <c r="DI698" s="282"/>
      <c r="DJ698" s="282"/>
      <c r="DK698" s="282"/>
      <c r="DL698" s="282"/>
    </row>
    <row r="699" spans="1:116" s="24" customFormat="1" x14ac:dyDescent="0.3">
      <c r="A699" s="172"/>
      <c r="B699" s="172"/>
      <c r="C699" s="172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2"/>
      <c r="AT699" s="172"/>
      <c r="AU699" s="172"/>
      <c r="AV699" s="172"/>
      <c r="AW699" s="172"/>
      <c r="AX699" s="172"/>
      <c r="AY699" s="172"/>
      <c r="AZ699" s="172"/>
      <c r="BA699" s="172"/>
      <c r="BB699" s="172"/>
      <c r="BC699" s="172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  <c r="BT699" s="172"/>
      <c r="BU699" s="172"/>
      <c r="BV699" s="172"/>
      <c r="BW699" s="172"/>
      <c r="BX699" s="172"/>
      <c r="BY699" s="174"/>
      <c r="BZ699" s="172"/>
      <c r="CA699" s="172"/>
      <c r="CD699" s="194"/>
      <c r="CE699" s="194"/>
      <c r="CF699" s="194"/>
      <c r="CG699" s="194"/>
      <c r="CH699" s="195"/>
      <c r="CI699" s="194"/>
      <c r="CJ699" s="194"/>
      <c r="CK699" s="194"/>
      <c r="CL699" s="196"/>
      <c r="CM699" s="196"/>
      <c r="CN699" s="194"/>
      <c r="CO699" s="197"/>
      <c r="CP699" s="196"/>
      <c r="CQ699" s="196"/>
      <c r="CR699" s="196"/>
      <c r="CS699" s="196"/>
      <c r="CT699" s="196"/>
      <c r="CU699" s="196"/>
      <c r="CV699" s="194"/>
      <c r="CW699" s="194"/>
      <c r="CX699" s="194"/>
      <c r="CY699" s="194"/>
      <c r="CZ699" s="194"/>
      <c r="DA699" s="194"/>
      <c r="DB699" s="194"/>
      <c r="DC699" s="194"/>
      <c r="DD699" s="194"/>
      <c r="DE699" s="194"/>
      <c r="DF699" s="196"/>
      <c r="DG699" s="198"/>
      <c r="DH699" s="194"/>
      <c r="DI699" s="282"/>
      <c r="DJ699" s="282"/>
      <c r="DK699" s="282"/>
      <c r="DL699" s="282"/>
    </row>
    <row r="700" spans="1:116" s="24" customFormat="1" x14ac:dyDescent="0.3">
      <c r="A700" s="172"/>
      <c r="B700" s="172"/>
      <c r="C700" s="172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2"/>
      <c r="AT700" s="172"/>
      <c r="AU700" s="172"/>
      <c r="AV700" s="172"/>
      <c r="AW700" s="172"/>
      <c r="AX700" s="172"/>
      <c r="AY700" s="172"/>
      <c r="AZ700" s="172"/>
      <c r="BA700" s="172"/>
      <c r="BB700" s="172"/>
      <c r="BC700" s="172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  <c r="BT700" s="172"/>
      <c r="BU700" s="172"/>
      <c r="BV700" s="172"/>
      <c r="BW700" s="172"/>
      <c r="BX700" s="172"/>
      <c r="BY700" s="174"/>
      <c r="BZ700" s="172"/>
      <c r="CA700" s="172"/>
      <c r="CD700" s="194"/>
      <c r="CE700" s="194"/>
      <c r="CF700" s="194"/>
      <c r="CG700" s="194"/>
      <c r="CH700" s="195"/>
      <c r="CI700" s="194"/>
      <c r="CJ700" s="194"/>
      <c r="CK700" s="194"/>
      <c r="CL700" s="196"/>
      <c r="CM700" s="196"/>
      <c r="CN700" s="194"/>
      <c r="CO700" s="197"/>
      <c r="CP700" s="196"/>
      <c r="CQ700" s="196"/>
      <c r="CR700" s="196"/>
      <c r="CS700" s="196"/>
      <c r="CT700" s="196"/>
      <c r="CU700" s="196"/>
      <c r="CV700" s="194"/>
      <c r="CW700" s="194"/>
      <c r="CX700" s="194"/>
      <c r="CY700" s="194"/>
      <c r="CZ700" s="194"/>
      <c r="DA700" s="194"/>
      <c r="DB700" s="194"/>
      <c r="DC700" s="194"/>
      <c r="DD700" s="194"/>
      <c r="DE700" s="194"/>
      <c r="DF700" s="196"/>
      <c r="DG700" s="198"/>
      <c r="DH700" s="194"/>
      <c r="DI700" s="282"/>
      <c r="DJ700" s="282"/>
      <c r="DK700" s="282"/>
      <c r="DL700" s="282"/>
    </row>
    <row r="701" spans="1:116" s="24" customFormat="1" x14ac:dyDescent="0.3">
      <c r="A701" s="172"/>
      <c r="B701" s="172"/>
      <c r="C701" s="172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2"/>
      <c r="AT701" s="172"/>
      <c r="AU701" s="172"/>
      <c r="AV701" s="172"/>
      <c r="AW701" s="172"/>
      <c r="AX701" s="172"/>
      <c r="AY701" s="172"/>
      <c r="AZ701" s="172"/>
      <c r="BA701" s="172"/>
      <c r="BB701" s="172"/>
      <c r="BC701" s="172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  <c r="BT701" s="172"/>
      <c r="BU701" s="172"/>
      <c r="BV701" s="172"/>
      <c r="BW701" s="172"/>
      <c r="BX701" s="172"/>
      <c r="BY701" s="174"/>
      <c r="BZ701" s="172"/>
      <c r="CA701" s="172"/>
      <c r="CD701" s="194"/>
      <c r="CE701" s="194"/>
      <c r="CF701" s="194"/>
      <c r="CG701" s="194"/>
      <c r="CH701" s="195"/>
      <c r="CI701" s="194"/>
      <c r="CJ701" s="194"/>
      <c r="CK701" s="194"/>
      <c r="CL701" s="196"/>
      <c r="CM701" s="196"/>
      <c r="CN701" s="194"/>
      <c r="CO701" s="197"/>
      <c r="CP701" s="196"/>
      <c r="CQ701" s="196"/>
      <c r="CR701" s="196"/>
      <c r="CS701" s="196"/>
      <c r="CT701" s="196"/>
      <c r="CU701" s="196"/>
      <c r="CV701" s="194"/>
      <c r="CW701" s="194"/>
      <c r="CX701" s="194"/>
      <c r="CY701" s="194"/>
      <c r="CZ701" s="194"/>
      <c r="DA701" s="194"/>
      <c r="DB701" s="194"/>
      <c r="DC701" s="194"/>
      <c r="DD701" s="194"/>
      <c r="DE701" s="194"/>
      <c r="DF701" s="196"/>
      <c r="DG701" s="198"/>
      <c r="DH701" s="194"/>
      <c r="DI701" s="282"/>
      <c r="DJ701" s="282"/>
      <c r="DK701" s="282"/>
      <c r="DL701" s="282"/>
    </row>
    <row r="702" spans="1:116" s="24" customFormat="1" x14ac:dyDescent="0.3">
      <c r="A702" s="172"/>
      <c r="B702" s="172"/>
      <c r="C702" s="172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2"/>
      <c r="AT702" s="172"/>
      <c r="AU702" s="172"/>
      <c r="AV702" s="172"/>
      <c r="AW702" s="172"/>
      <c r="AX702" s="172"/>
      <c r="AY702" s="172"/>
      <c r="AZ702" s="172"/>
      <c r="BA702" s="172"/>
      <c r="BB702" s="172"/>
      <c r="BC702" s="172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  <c r="BT702" s="172"/>
      <c r="BU702" s="172"/>
      <c r="BV702" s="172"/>
      <c r="BW702" s="172"/>
      <c r="BX702" s="172"/>
      <c r="BY702" s="174"/>
      <c r="BZ702" s="172"/>
      <c r="CA702" s="172"/>
      <c r="CD702" s="194"/>
      <c r="CE702" s="194"/>
      <c r="CF702" s="194"/>
      <c r="CG702" s="194"/>
      <c r="CH702" s="195"/>
      <c r="CI702" s="194"/>
      <c r="CJ702" s="194"/>
      <c r="CK702" s="194"/>
      <c r="CL702" s="196"/>
      <c r="CM702" s="196"/>
      <c r="CN702" s="194"/>
      <c r="CO702" s="197"/>
      <c r="CP702" s="196"/>
      <c r="CQ702" s="196"/>
      <c r="CR702" s="196"/>
      <c r="CS702" s="196"/>
      <c r="CT702" s="196"/>
      <c r="CU702" s="196"/>
      <c r="CV702" s="194"/>
      <c r="CW702" s="194"/>
      <c r="CX702" s="194"/>
      <c r="CY702" s="194"/>
      <c r="CZ702" s="194"/>
      <c r="DA702" s="194"/>
      <c r="DB702" s="194"/>
      <c r="DC702" s="194"/>
      <c r="DD702" s="194"/>
      <c r="DE702" s="194"/>
      <c r="DF702" s="196"/>
      <c r="DG702" s="198"/>
      <c r="DH702" s="194"/>
      <c r="DI702" s="282"/>
      <c r="DJ702" s="282"/>
      <c r="DK702" s="282"/>
      <c r="DL702" s="282"/>
    </row>
    <row r="703" spans="1:116" s="24" customFormat="1" x14ac:dyDescent="0.3">
      <c r="A703" s="172"/>
      <c r="B703" s="172"/>
      <c r="C703" s="172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2"/>
      <c r="AT703" s="172"/>
      <c r="AU703" s="172"/>
      <c r="AV703" s="172"/>
      <c r="AW703" s="172"/>
      <c r="AX703" s="172"/>
      <c r="AY703" s="172"/>
      <c r="AZ703" s="172"/>
      <c r="BA703" s="172"/>
      <c r="BB703" s="172"/>
      <c r="BC703" s="172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  <c r="BT703" s="172"/>
      <c r="BU703" s="172"/>
      <c r="BV703" s="172"/>
      <c r="BW703" s="172"/>
      <c r="BX703" s="172"/>
      <c r="BY703" s="174"/>
      <c r="BZ703" s="172"/>
      <c r="CA703" s="172"/>
      <c r="CD703" s="194"/>
      <c r="CE703" s="194"/>
      <c r="CF703" s="194"/>
      <c r="CG703" s="194"/>
      <c r="CH703" s="195"/>
      <c r="CI703" s="194"/>
      <c r="CJ703" s="194"/>
      <c r="CK703" s="194"/>
      <c r="CL703" s="196"/>
      <c r="CM703" s="196"/>
      <c r="CN703" s="194"/>
      <c r="CO703" s="197"/>
      <c r="CP703" s="196"/>
      <c r="CQ703" s="196"/>
      <c r="CR703" s="196"/>
      <c r="CS703" s="196"/>
      <c r="CT703" s="196"/>
      <c r="CU703" s="196"/>
      <c r="CV703" s="194"/>
      <c r="CW703" s="194"/>
      <c r="CX703" s="194"/>
      <c r="CY703" s="194"/>
      <c r="CZ703" s="194"/>
      <c r="DA703" s="194"/>
      <c r="DB703" s="194"/>
      <c r="DC703" s="194"/>
      <c r="DD703" s="194"/>
      <c r="DE703" s="194"/>
      <c r="DF703" s="196"/>
      <c r="DG703" s="198"/>
      <c r="DH703" s="194"/>
      <c r="DI703" s="282"/>
      <c r="DJ703" s="282"/>
      <c r="DK703" s="282"/>
      <c r="DL703" s="282"/>
    </row>
    <row r="704" spans="1:116" s="24" customFormat="1" x14ac:dyDescent="0.3">
      <c r="A704" s="172"/>
      <c r="B704" s="172"/>
      <c r="C704" s="172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2"/>
      <c r="AT704" s="172"/>
      <c r="AU704" s="172"/>
      <c r="AV704" s="172"/>
      <c r="AW704" s="172"/>
      <c r="AX704" s="172"/>
      <c r="AY704" s="172"/>
      <c r="AZ704" s="172"/>
      <c r="BA704" s="172"/>
      <c r="BB704" s="172"/>
      <c r="BC704" s="172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  <c r="BT704" s="172"/>
      <c r="BU704" s="172"/>
      <c r="BV704" s="172"/>
      <c r="BW704" s="172"/>
      <c r="BX704" s="172"/>
      <c r="BY704" s="174"/>
      <c r="BZ704" s="172"/>
      <c r="CA704" s="172"/>
      <c r="CD704" s="194"/>
      <c r="CE704" s="194"/>
      <c r="CF704" s="194"/>
      <c r="CG704" s="194"/>
      <c r="CH704" s="195"/>
      <c r="CI704" s="194"/>
      <c r="CJ704" s="194"/>
      <c r="CK704" s="194"/>
      <c r="CL704" s="196"/>
      <c r="CM704" s="196"/>
      <c r="CN704" s="194"/>
      <c r="CO704" s="197"/>
      <c r="CP704" s="196"/>
      <c r="CQ704" s="196"/>
      <c r="CR704" s="196"/>
      <c r="CS704" s="196"/>
      <c r="CT704" s="196"/>
      <c r="CU704" s="196"/>
      <c r="CV704" s="194"/>
      <c r="CW704" s="194"/>
      <c r="CX704" s="194"/>
      <c r="CY704" s="194"/>
      <c r="CZ704" s="194"/>
      <c r="DA704" s="194"/>
      <c r="DB704" s="194"/>
      <c r="DC704" s="194"/>
      <c r="DD704" s="194"/>
      <c r="DE704" s="194"/>
      <c r="DF704" s="196"/>
      <c r="DG704" s="198"/>
      <c r="DH704" s="194"/>
      <c r="DI704" s="282"/>
      <c r="DJ704" s="282"/>
      <c r="DK704" s="282"/>
      <c r="DL704" s="282"/>
    </row>
    <row r="705" spans="1:116" s="24" customFormat="1" x14ac:dyDescent="0.3">
      <c r="A705" s="172"/>
      <c r="B705" s="172"/>
      <c r="C705" s="172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2"/>
      <c r="AT705" s="172"/>
      <c r="AU705" s="172"/>
      <c r="AV705" s="172"/>
      <c r="AW705" s="172"/>
      <c r="AX705" s="172"/>
      <c r="AY705" s="172"/>
      <c r="AZ705" s="172"/>
      <c r="BA705" s="172"/>
      <c r="BB705" s="172"/>
      <c r="BC705" s="172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  <c r="BT705" s="172"/>
      <c r="BU705" s="172"/>
      <c r="BV705" s="172"/>
      <c r="BW705" s="172"/>
      <c r="BX705" s="172"/>
      <c r="BY705" s="174"/>
      <c r="BZ705" s="172"/>
      <c r="CA705" s="172"/>
      <c r="CD705" s="194"/>
      <c r="CE705" s="194"/>
      <c r="CF705" s="194"/>
      <c r="CG705" s="194"/>
      <c r="CH705" s="195"/>
      <c r="CI705" s="194"/>
      <c r="CJ705" s="194"/>
      <c r="CK705" s="194"/>
      <c r="CL705" s="196"/>
      <c r="CM705" s="196"/>
      <c r="CN705" s="194"/>
      <c r="CO705" s="197"/>
      <c r="CP705" s="196"/>
      <c r="CQ705" s="196"/>
      <c r="CR705" s="196"/>
      <c r="CS705" s="196"/>
      <c r="CT705" s="196"/>
      <c r="CU705" s="196"/>
      <c r="CV705" s="194"/>
      <c r="CW705" s="194"/>
      <c r="CX705" s="194"/>
      <c r="CY705" s="194"/>
      <c r="CZ705" s="194"/>
      <c r="DA705" s="194"/>
      <c r="DB705" s="194"/>
      <c r="DC705" s="194"/>
      <c r="DD705" s="194"/>
      <c r="DE705" s="194"/>
      <c r="DF705" s="196"/>
      <c r="DG705" s="198"/>
      <c r="DH705" s="194"/>
      <c r="DI705" s="282"/>
      <c r="DJ705" s="282"/>
      <c r="DK705" s="282"/>
      <c r="DL705" s="282"/>
    </row>
    <row r="706" spans="1:116" s="24" customFormat="1" x14ac:dyDescent="0.3">
      <c r="A706" s="172"/>
      <c r="B706" s="172"/>
      <c r="C706" s="172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2"/>
      <c r="AT706" s="172"/>
      <c r="AU706" s="172"/>
      <c r="AV706" s="172"/>
      <c r="AW706" s="172"/>
      <c r="AX706" s="172"/>
      <c r="AY706" s="172"/>
      <c r="AZ706" s="172"/>
      <c r="BA706" s="172"/>
      <c r="BB706" s="172"/>
      <c r="BC706" s="172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  <c r="BT706" s="172"/>
      <c r="BU706" s="172"/>
      <c r="BV706" s="172"/>
      <c r="BW706" s="172"/>
      <c r="BX706" s="172"/>
      <c r="BY706" s="174"/>
      <c r="BZ706" s="172"/>
      <c r="CA706" s="172"/>
      <c r="CD706" s="194"/>
      <c r="CE706" s="194"/>
      <c r="CF706" s="194"/>
      <c r="CG706" s="194"/>
      <c r="CH706" s="195"/>
      <c r="CI706" s="194"/>
      <c r="CJ706" s="194"/>
      <c r="CK706" s="194"/>
      <c r="CL706" s="196"/>
      <c r="CM706" s="196"/>
      <c r="CN706" s="194"/>
      <c r="CO706" s="197"/>
      <c r="CP706" s="196"/>
      <c r="CQ706" s="196"/>
      <c r="CR706" s="196"/>
      <c r="CS706" s="196"/>
      <c r="CT706" s="196"/>
      <c r="CU706" s="196"/>
      <c r="CV706" s="194"/>
      <c r="CW706" s="194"/>
      <c r="CX706" s="194"/>
      <c r="CY706" s="194"/>
      <c r="CZ706" s="194"/>
      <c r="DA706" s="194"/>
      <c r="DB706" s="194"/>
      <c r="DC706" s="194"/>
      <c r="DD706" s="194"/>
      <c r="DE706" s="194"/>
      <c r="DF706" s="196"/>
      <c r="DG706" s="198"/>
      <c r="DH706" s="194"/>
      <c r="DI706" s="282"/>
      <c r="DJ706" s="282"/>
      <c r="DK706" s="282"/>
      <c r="DL706" s="282"/>
    </row>
    <row r="707" spans="1:116" s="24" customFormat="1" x14ac:dyDescent="0.3">
      <c r="A707" s="172"/>
      <c r="B707" s="172"/>
      <c r="C707" s="172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2"/>
      <c r="AT707" s="172"/>
      <c r="AU707" s="172"/>
      <c r="AV707" s="172"/>
      <c r="AW707" s="172"/>
      <c r="AX707" s="172"/>
      <c r="AY707" s="172"/>
      <c r="AZ707" s="172"/>
      <c r="BA707" s="172"/>
      <c r="BB707" s="172"/>
      <c r="BC707" s="172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  <c r="BT707" s="172"/>
      <c r="BU707" s="172"/>
      <c r="BV707" s="172"/>
      <c r="BW707" s="172"/>
      <c r="BX707" s="172"/>
      <c r="BY707" s="174"/>
      <c r="BZ707" s="172"/>
      <c r="CA707" s="172"/>
      <c r="CD707" s="194"/>
      <c r="CE707" s="194"/>
      <c r="CF707" s="194"/>
      <c r="CG707" s="194"/>
      <c r="CH707" s="195"/>
      <c r="CI707" s="194"/>
      <c r="CJ707" s="194"/>
      <c r="CK707" s="194"/>
      <c r="CL707" s="196"/>
      <c r="CM707" s="196"/>
      <c r="CN707" s="194"/>
      <c r="CO707" s="197"/>
      <c r="CP707" s="196"/>
      <c r="CQ707" s="196"/>
      <c r="CR707" s="196"/>
      <c r="CS707" s="196"/>
      <c r="CT707" s="196"/>
      <c r="CU707" s="196"/>
      <c r="CV707" s="194"/>
      <c r="CW707" s="194"/>
      <c r="CX707" s="194"/>
      <c r="CY707" s="194"/>
      <c r="CZ707" s="194"/>
      <c r="DA707" s="194"/>
      <c r="DB707" s="194"/>
      <c r="DC707" s="194"/>
      <c r="DD707" s="194"/>
      <c r="DE707" s="194"/>
      <c r="DF707" s="196"/>
      <c r="DG707" s="198"/>
      <c r="DH707" s="194"/>
      <c r="DI707" s="282"/>
      <c r="DJ707" s="282"/>
      <c r="DK707" s="282"/>
      <c r="DL707" s="282"/>
    </row>
    <row r="708" spans="1:116" s="24" customFormat="1" x14ac:dyDescent="0.3">
      <c r="A708" s="172"/>
      <c r="B708" s="172"/>
      <c r="C708" s="172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2"/>
      <c r="AT708" s="172"/>
      <c r="AU708" s="172"/>
      <c r="AV708" s="172"/>
      <c r="AW708" s="172"/>
      <c r="AX708" s="172"/>
      <c r="AY708" s="172"/>
      <c r="AZ708" s="172"/>
      <c r="BA708" s="172"/>
      <c r="BB708" s="172"/>
      <c r="BC708" s="172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  <c r="BT708" s="172"/>
      <c r="BU708" s="172"/>
      <c r="BV708" s="172"/>
      <c r="BW708" s="172"/>
      <c r="BX708" s="172"/>
      <c r="BY708" s="174"/>
      <c r="BZ708" s="172"/>
      <c r="CA708" s="172"/>
      <c r="CD708" s="194"/>
      <c r="CE708" s="194"/>
      <c r="CF708" s="194"/>
      <c r="CG708" s="194"/>
      <c r="CH708" s="195"/>
      <c r="CI708" s="194"/>
      <c r="CJ708" s="194"/>
      <c r="CK708" s="194"/>
      <c r="CL708" s="196"/>
      <c r="CM708" s="196"/>
      <c r="CN708" s="194"/>
      <c r="CO708" s="197"/>
      <c r="CP708" s="196"/>
      <c r="CQ708" s="196"/>
      <c r="CR708" s="196"/>
      <c r="CS708" s="196"/>
      <c r="CT708" s="196"/>
      <c r="CU708" s="196"/>
      <c r="CV708" s="194"/>
      <c r="CW708" s="194"/>
      <c r="CX708" s="194"/>
      <c r="CY708" s="194"/>
      <c r="CZ708" s="194"/>
      <c r="DA708" s="194"/>
      <c r="DB708" s="194"/>
      <c r="DC708" s="194"/>
      <c r="DD708" s="194"/>
      <c r="DE708" s="194"/>
      <c r="DF708" s="196"/>
      <c r="DG708" s="198"/>
      <c r="DH708" s="194"/>
      <c r="DI708" s="282"/>
      <c r="DJ708" s="282"/>
      <c r="DK708" s="282"/>
      <c r="DL708" s="282"/>
    </row>
    <row r="709" spans="1:116" s="24" customFormat="1" x14ac:dyDescent="0.3">
      <c r="A709" s="172"/>
      <c r="B709" s="172"/>
      <c r="C709" s="172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  <c r="BT709" s="172"/>
      <c r="BU709" s="172"/>
      <c r="BV709" s="172"/>
      <c r="BW709" s="172"/>
      <c r="BX709" s="172"/>
      <c r="BY709" s="174"/>
      <c r="BZ709" s="172"/>
      <c r="CA709" s="172"/>
      <c r="CD709" s="194"/>
      <c r="CE709" s="194"/>
      <c r="CF709" s="194"/>
      <c r="CG709" s="194"/>
      <c r="CH709" s="195"/>
      <c r="CI709" s="194"/>
      <c r="CJ709" s="194"/>
      <c r="CK709" s="194"/>
      <c r="CL709" s="196"/>
      <c r="CM709" s="196"/>
      <c r="CN709" s="194"/>
      <c r="CO709" s="197"/>
      <c r="CP709" s="196"/>
      <c r="CQ709" s="196"/>
      <c r="CR709" s="196"/>
      <c r="CS709" s="196"/>
      <c r="CT709" s="196"/>
      <c r="CU709" s="196"/>
      <c r="CV709" s="194"/>
      <c r="CW709" s="194"/>
      <c r="CX709" s="194"/>
      <c r="CY709" s="194"/>
      <c r="CZ709" s="194"/>
      <c r="DA709" s="194"/>
      <c r="DB709" s="194"/>
      <c r="DC709" s="194"/>
      <c r="DD709" s="194"/>
      <c r="DE709" s="194"/>
      <c r="DF709" s="196"/>
      <c r="DG709" s="198"/>
      <c r="DH709" s="194"/>
      <c r="DI709" s="282"/>
      <c r="DJ709" s="282"/>
      <c r="DK709" s="282"/>
      <c r="DL709" s="282"/>
    </row>
    <row r="710" spans="1:116" s="24" customFormat="1" x14ac:dyDescent="0.3">
      <c r="A710" s="172"/>
      <c r="B710" s="172"/>
      <c r="C710" s="172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2"/>
      <c r="AT710" s="172"/>
      <c r="AU710" s="172"/>
      <c r="AV710" s="172"/>
      <c r="AW710" s="172"/>
      <c r="AX710" s="172"/>
      <c r="AY710" s="172"/>
      <c r="AZ710" s="172"/>
      <c r="BA710" s="172"/>
      <c r="BB710" s="172"/>
      <c r="BC710" s="172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  <c r="BT710" s="172"/>
      <c r="BU710" s="172"/>
      <c r="BV710" s="172"/>
      <c r="BW710" s="172"/>
      <c r="BX710" s="172"/>
      <c r="BY710" s="174"/>
      <c r="BZ710" s="172"/>
      <c r="CA710" s="172"/>
      <c r="CD710" s="194"/>
      <c r="CE710" s="194"/>
      <c r="CF710" s="194"/>
      <c r="CG710" s="194"/>
      <c r="CH710" s="195"/>
      <c r="CI710" s="194"/>
      <c r="CJ710" s="194"/>
      <c r="CK710" s="194"/>
      <c r="CL710" s="196"/>
      <c r="CM710" s="196"/>
      <c r="CN710" s="194"/>
      <c r="CO710" s="197"/>
      <c r="CP710" s="196"/>
      <c r="CQ710" s="196"/>
      <c r="CR710" s="196"/>
      <c r="CS710" s="196"/>
      <c r="CT710" s="196"/>
      <c r="CU710" s="196"/>
      <c r="CV710" s="194"/>
      <c r="CW710" s="194"/>
      <c r="CX710" s="194"/>
      <c r="CY710" s="194"/>
      <c r="CZ710" s="194"/>
      <c r="DA710" s="194"/>
      <c r="DB710" s="194"/>
      <c r="DC710" s="194"/>
      <c r="DD710" s="194"/>
      <c r="DE710" s="194"/>
      <c r="DF710" s="196"/>
      <c r="DG710" s="198"/>
      <c r="DH710" s="194"/>
      <c r="DI710" s="282"/>
      <c r="DJ710" s="282"/>
      <c r="DK710" s="282"/>
      <c r="DL710" s="282"/>
    </row>
    <row r="711" spans="1:116" s="24" customFormat="1" x14ac:dyDescent="0.3">
      <c r="A711" s="172"/>
      <c r="B711" s="172"/>
      <c r="C711" s="172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172"/>
      <c r="BV711" s="172"/>
      <c r="BW711" s="172"/>
      <c r="BX711" s="172"/>
      <c r="BY711" s="174"/>
      <c r="BZ711" s="172"/>
      <c r="CA711" s="172"/>
      <c r="CD711" s="194"/>
      <c r="CE711" s="194"/>
      <c r="CF711" s="194"/>
      <c r="CG711" s="194"/>
      <c r="CH711" s="195"/>
      <c r="CI711" s="194"/>
      <c r="CJ711" s="194"/>
      <c r="CK711" s="194"/>
      <c r="CL711" s="196"/>
      <c r="CM711" s="196"/>
      <c r="CN711" s="194"/>
      <c r="CO711" s="197"/>
      <c r="CP711" s="196"/>
      <c r="CQ711" s="196"/>
      <c r="CR711" s="196"/>
      <c r="CS711" s="196"/>
      <c r="CT711" s="196"/>
      <c r="CU711" s="196"/>
      <c r="CV711" s="194"/>
      <c r="CW711" s="194"/>
      <c r="CX711" s="194"/>
      <c r="CY711" s="194"/>
      <c r="CZ711" s="194"/>
      <c r="DA711" s="194"/>
      <c r="DB711" s="194"/>
      <c r="DC711" s="194"/>
      <c r="DD711" s="194"/>
      <c r="DE711" s="194"/>
      <c r="DF711" s="196"/>
      <c r="DG711" s="198"/>
      <c r="DH711" s="194"/>
      <c r="DI711" s="282"/>
      <c r="DJ711" s="282"/>
      <c r="DK711" s="282"/>
      <c r="DL711" s="282"/>
    </row>
    <row r="712" spans="1:116" s="24" customFormat="1" x14ac:dyDescent="0.3">
      <c r="A712" s="172"/>
      <c r="B712" s="172"/>
      <c r="C712" s="172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2"/>
      <c r="AT712" s="172"/>
      <c r="AU712" s="172"/>
      <c r="AV712" s="172"/>
      <c r="AW712" s="172"/>
      <c r="AX712" s="172"/>
      <c r="AY712" s="172"/>
      <c r="AZ712" s="172"/>
      <c r="BA712" s="172"/>
      <c r="BB712" s="172"/>
      <c r="BC712" s="172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  <c r="BT712" s="172"/>
      <c r="BU712" s="172"/>
      <c r="BV712" s="172"/>
      <c r="BW712" s="172"/>
      <c r="BX712" s="172"/>
      <c r="BY712" s="174"/>
      <c r="BZ712" s="172"/>
      <c r="CA712" s="172"/>
      <c r="CD712" s="194"/>
      <c r="CE712" s="194"/>
      <c r="CF712" s="194"/>
      <c r="CG712" s="194"/>
      <c r="CH712" s="195"/>
      <c r="CI712" s="194"/>
      <c r="CJ712" s="194"/>
      <c r="CK712" s="194"/>
      <c r="CL712" s="196"/>
      <c r="CM712" s="196"/>
      <c r="CN712" s="194"/>
      <c r="CO712" s="197"/>
      <c r="CP712" s="196"/>
      <c r="CQ712" s="196"/>
      <c r="CR712" s="196"/>
      <c r="CS712" s="196"/>
      <c r="CT712" s="196"/>
      <c r="CU712" s="196"/>
      <c r="CV712" s="194"/>
      <c r="CW712" s="194"/>
      <c r="CX712" s="194"/>
      <c r="CY712" s="194"/>
      <c r="CZ712" s="194"/>
      <c r="DA712" s="194"/>
      <c r="DB712" s="194"/>
      <c r="DC712" s="194"/>
      <c r="DD712" s="194"/>
      <c r="DE712" s="194"/>
      <c r="DF712" s="196"/>
      <c r="DG712" s="198"/>
      <c r="DH712" s="194"/>
      <c r="DI712" s="282"/>
      <c r="DJ712" s="282"/>
      <c r="DK712" s="282"/>
      <c r="DL712" s="282"/>
    </row>
    <row r="713" spans="1:116" s="24" customFormat="1" x14ac:dyDescent="0.3">
      <c r="A713" s="172"/>
      <c r="B713" s="172"/>
      <c r="C713" s="172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2"/>
      <c r="AT713" s="172"/>
      <c r="AU713" s="172"/>
      <c r="AV713" s="172"/>
      <c r="AW713" s="172"/>
      <c r="AX713" s="172"/>
      <c r="AY713" s="172"/>
      <c r="AZ713" s="172"/>
      <c r="BA713" s="172"/>
      <c r="BB713" s="172"/>
      <c r="BC713" s="172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  <c r="BT713" s="172"/>
      <c r="BU713" s="172"/>
      <c r="BV713" s="172"/>
      <c r="BW713" s="172"/>
      <c r="BX713" s="172"/>
      <c r="BY713" s="174"/>
      <c r="BZ713" s="172"/>
      <c r="CA713" s="172"/>
      <c r="CD713" s="194"/>
      <c r="CE713" s="194"/>
      <c r="CF713" s="194"/>
      <c r="CG713" s="194"/>
      <c r="CH713" s="195"/>
      <c r="CI713" s="194"/>
      <c r="CJ713" s="194"/>
      <c r="CK713" s="194"/>
      <c r="CL713" s="196"/>
      <c r="CM713" s="196"/>
      <c r="CN713" s="194"/>
      <c r="CO713" s="197"/>
      <c r="CP713" s="196"/>
      <c r="CQ713" s="196"/>
      <c r="CR713" s="196"/>
      <c r="CS713" s="196"/>
      <c r="CT713" s="196"/>
      <c r="CU713" s="196"/>
      <c r="CV713" s="194"/>
      <c r="CW713" s="194"/>
      <c r="CX713" s="194"/>
      <c r="CY713" s="194"/>
      <c r="CZ713" s="194"/>
      <c r="DA713" s="194"/>
      <c r="DB713" s="194"/>
      <c r="DC713" s="194"/>
      <c r="DD713" s="194"/>
      <c r="DE713" s="194"/>
      <c r="DF713" s="196"/>
      <c r="DG713" s="198"/>
      <c r="DH713" s="194"/>
      <c r="DI713" s="282"/>
      <c r="DJ713" s="282"/>
      <c r="DK713" s="282"/>
      <c r="DL713" s="282"/>
    </row>
    <row r="714" spans="1:116" s="24" customFormat="1" x14ac:dyDescent="0.3">
      <c r="A714" s="172"/>
      <c r="B714" s="172"/>
      <c r="C714" s="172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2"/>
      <c r="AT714" s="172"/>
      <c r="AU714" s="172"/>
      <c r="AV714" s="172"/>
      <c r="AW714" s="172"/>
      <c r="AX714" s="172"/>
      <c r="AY714" s="172"/>
      <c r="AZ714" s="172"/>
      <c r="BA714" s="172"/>
      <c r="BB714" s="172"/>
      <c r="BC714" s="172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  <c r="BT714" s="172"/>
      <c r="BU714" s="172"/>
      <c r="BV714" s="172"/>
      <c r="BW714" s="172"/>
      <c r="BX714" s="172"/>
      <c r="BY714" s="174"/>
      <c r="BZ714" s="172"/>
      <c r="CA714" s="172"/>
      <c r="CD714" s="194"/>
      <c r="CE714" s="194"/>
      <c r="CF714" s="194"/>
      <c r="CG714" s="194"/>
      <c r="CH714" s="195"/>
      <c r="CI714" s="194"/>
      <c r="CJ714" s="194"/>
      <c r="CK714" s="194"/>
      <c r="CL714" s="196"/>
      <c r="CM714" s="196"/>
      <c r="CN714" s="194"/>
      <c r="CO714" s="197"/>
      <c r="CP714" s="196"/>
      <c r="CQ714" s="196"/>
      <c r="CR714" s="196"/>
      <c r="CS714" s="196"/>
      <c r="CT714" s="196"/>
      <c r="CU714" s="196"/>
      <c r="CV714" s="194"/>
      <c r="CW714" s="194"/>
      <c r="CX714" s="194"/>
      <c r="CY714" s="194"/>
      <c r="CZ714" s="194"/>
      <c r="DA714" s="194"/>
      <c r="DB714" s="194"/>
      <c r="DC714" s="194"/>
      <c r="DD714" s="194"/>
      <c r="DE714" s="194"/>
      <c r="DF714" s="196"/>
      <c r="DG714" s="198"/>
      <c r="DH714" s="194"/>
      <c r="DI714" s="282"/>
      <c r="DJ714" s="282"/>
      <c r="DK714" s="282"/>
      <c r="DL714" s="282"/>
    </row>
    <row r="715" spans="1:116" s="24" customFormat="1" x14ac:dyDescent="0.3">
      <c r="A715" s="172"/>
      <c r="B715" s="172"/>
      <c r="C715" s="172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2"/>
      <c r="AT715" s="172"/>
      <c r="AU715" s="172"/>
      <c r="AV715" s="172"/>
      <c r="AW715" s="172"/>
      <c r="AX715" s="172"/>
      <c r="AY715" s="172"/>
      <c r="AZ715" s="172"/>
      <c r="BA715" s="172"/>
      <c r="BB715" s="172"/>
      <c r="BC715" s="172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  <c r="BT715" s="172"/>
      <c r="BU715" s="172"/>
      <c r="BV715" s="172"/>
      <c r="BW715" s="172"/>
      <c r="BX715" s="172"/>
      <c r="BY715" s="174"/>
      <c r="BZ715" s="172"/>
      <c r="CA715" s="172"/>
      <c r="CD715" s="194"/>
      <c r="CE715" s="194"/>
      <c r="CF715" s="194"/>
      <c r="CG715" s="194"/>
      <c r="CH715" s="195"/>
      <c r="CI715" s="194"/>
      <c r="CJ715" s="194"/>
      <c r="CK715" s="194"/>
      <c r="CL715" s="196"/>
      <c r="CM715" s="196"/>
      <c r="CN715" s="194"/>
      <c r="CO715" s="197"/>
      <c r="CP715" s="196"/>
      <c r="CQ715" s="196"/>
      <c r="CR715" s="196"/>
      <c r="CS715" s="196"/>
      <c r="CT715" s="196"/>
      <c r="CU715" s="196"/>
      <c r="CV715" s="194"/>
      <c r="CW715" s="194"/>
      <c r="CX715" s="194"/>
      <c r="CY715" s="194"/>
      <c r="CZ715" s="194"/>
      <c r="DA715" s="194"/>
      <c r="DB715" s="194"/>
      <c r="DC715" s="194"/>
      <c r="DD715" s="194"/>
      <c r="DE715" s="194"/>
      <c r="DF715" s="196"/>
      <c r="DG715" s="198"/>
      <c r="DH715" s="194"/>
      <c r="DI715" s="282"/>
      <c r="DJ715" s="282"/>
      <c r="DK715" s="282"/>
      <c r="DL715" s="282"/>
    </row>
    <row r="716" spans="1:116" s="24" customFormat="1" x14ac:dyDescent="0.3">
      <c r="A716" s="172"/>
      <c r="B716" s="172"/>
      <c r="C716" s="172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2"/>
      <c r="AT716" s="172"/>
      <c r="AU716" s="172"/>
      <c r="AV716" s="172"/>
      <c r="AW716" s="172"/>
      <c r="AX716" s="172"/>
      <c r="AY716" s="172"/>
      <c r="AZ716" s="172"/>
      <c r="BA716" s="172"/>
      <c r="BB716" s="172"/>
      <c r="BC716" s="172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  <c r="BT716" s="172"/>
      <c r="BU716" s="172"/>
      <c r="BV716" s="172"/>
      <c r="BW716" s="172"/>
      <c r="BX716" s="172"/>
      <c r="BY716" s="174"/>
      <c r="BZ716" s="172"/>
      <c r="CA716" s="172"/>
      <c r="CD716" s="194"/>
      <c r="CE716" s="194"/>
      <c r="CF716" s="194"/>
      <c r="CG716" s="194"/>
      <c r="CH716" s="195"/>
      <c r="CI716" s="194"/>
      <c r="CJ716" s="194"/>
      <c r="CK716" s="194"/>
      <c r="CL716" s="196"/>
      <c r="CM716" s="196"/>
      <c r="CN716" s="194"/>
      <c r="CO716" s="197"/>
      <c r="CP716" s="196"/>
      <c r="CQ716" s="196"/>
      <c r="CR716" s="196"/>
      <c r="CS716" s="196"/>
      <c r="CT716" s="196"/>
      <c r="CU716" s="196"/>
      <c r="CV716" s="194"/>
      <c r="CW716" s="194"/>
      <c r="CX716" s="194"/>
      <c r="CY716" s="194"/>
      <c r="CZ716" s="194"/>
      <c r="DA716" s="194"/>
      <c r="DB716" s="194"/>
      <c r="DC716" s="194"/>
      <c r="DD716" s="194"/>
      <c r="DE716" s="194"/>
      <c r="DF716" s="196"/>
      <c r="DG716" s="198"/>
      <c r="DH716" s="194"/>
      <c r="DI716" s="282"/>
      <c r="DJ716" s="282"/>
      <c r="DK716" s="282"/>
      <c r="DL716" s="282"/>
    </row>
    <row r="717" spans="1:116" s="24" customFormat="1" x14ac:dyDescent="0.3">
      <c r="A717" s="172"/>
      <c r="B717" s="172"/>
      <c r="C717" s="172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2"/>
      <c r="AT717" s="172"/>
      <c r="AU717" s="172"/>
      <c r="AV717" s="172"/>
      <c r="AW717" s="172"/>
      <c r="AX717" s="172"/>
      <c r="AY717" s="172"/>
      <c r="AZ717" s="172"/>
      <c r="BA717" s="172"/>
      <c r="BB717" s="172"/>
      <c r="BC717" s="172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  <c r="BT717" s="172"/>
      <c r="BU717" s="172"/>
      <c r="BV717" s="172"/>
      <c r="BW717" s="172"/>
      <c r="BX717" s="172"/>
      <c r="BY717" s="174"/>
      <c r="BZ717" s="172"/>
      <c r="CA717" s="172"/>
      <c r="CD717" s="194"/>
      <c r="CE717" s="194"/>
      <c r="CF717" s="194"/>
      <c r="CG717" s="194"/>
      <c r="CH717" s="195"/>
      <c r="CI717" s="194"/>
      <c r="CJ717" s="194"/>
      <c r="CK717" s="194"/>
      <c r="CL717" s="196"/>
      <c r="CM717" s="196"/>
      <c r="CN717" s="194"/>
      <c r="CO717" s="197"/>
      <c r="CP717" s="196"/>
      <c r="CQ717" s="196"/>
      <c r="CR717" s="196"/>
      <c r="CS717" s="196"/>
      <c r="CT717" s="196"/>
      <c r="CU717" s="196"/>
      <c r="CV717" s="194"/>
      <c r="CW717" s="194"/>
      <c r="CX717" s="194"/>
      <c r="CY717" s="194"/>
      <c r="CZ717" s="194"/>
      <c r="DA717" s="194"/>
      <c r="DB717" s="194"/>
      <c r="DC717" s="194"/>
      <c r="DD717" s="194"/>
      <c r="DE717" s="194"/>
      <c r="DF717" s="196"/>
      <c r="DG717" s="198"/>
      <c r="DH717" s="194"/>
      <c r="DI717" s="282"/>
      <c r="DJ717" s="282"/>
      <c r="DK717" s="282"/>
      <c r="DL717" s="282"/>
    </row>
    <row r="718" spans="1:116" s="24" customFormat="1" x14ac:dyDescent="0.3">
      <c r="A718" s="172"/>
      <c r="B718" s="172"/>
      <c r="C718" s="172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2"/>
      <c r="AT718" s="172"/>
      <c r="AU718" s="172"/>
      <c r="AV718" s="172"/>
      <c r="AW718" s="172"/>
      <c r="AX718" s="172"/>
      <c r="AY718" s="172"/>
      <c r="AZ718" s="172"/>
      <c r="BA718" s="172"/>
      <c r="BB718" s="172"/>
      <c r="BC718" s="172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  <c r="BT718" s="172"/>
      <c r="BU718" s="172"/>
      <c r="BV718" s="172"/>
      <c r="BW718" s="172"/>
      <c r="BX718" s="172"/>
      <c r="BY718" s="174"/>
      <c r="BZ718" s="172"/>
      <c r="CA718" s="172"/>
      <c r="CD718" s="194"/>
      <c r="CE718" s="194"/>
      <c r="CF718" s="194"/>
      <c r="CG718" s="194"/>
      <c r="CH718" s="195"/>
      <c r="CI718" s="194"/>
      <c r="CJ718" s="194"/>
      <c r="CK718" s="194"/>
      <c r="CL718" s="196"/>
      <c r="CM718" s="196"/>
      <c r="CN718" s="194"/>
      <c r="CO718" s="197"/>
      <c r="CP718" s="196"/>
      <c r="CQ718" s="196"/>
      <c r="CR718" s="196"/>
      <c r="CS718" s="196"/>
      <c r="CT718" s="196"/>
      <c r="CU718" s="196"/>
      <c r="CV718" s="194"/>
      <c r="CW718" s="194"/>
      <c r="CX718" s="194"/>
      <c r="CY718" s="194"/>
      <c r="CZ718" s="194"/>
      <c r="DA718" s="194"/>
      <c r="DB718" s="194"/>
      <c r="DC718" s="194"/>
      <c r="DD718" s="194"/>
      <c r="DE718" s="194"/>
      <c r="DF718" s="196"/>
      <c r="DG718" s="198"/>
      <c r="DH718" s="194"/>
      <c r="DI718" s="282"/>
      <c r="DJ718" s="282"/>
      <c r="DK718" s="282"/>
      <c r="DL718" s="282"/>
    </row>
    <row r="719" spans="1:116" s="24" customFormat="1" x14ac:dyDescent="0.3">
      <c r="A719" s="172"/>
      <c r="B719" s="172"/>
      <c r="C719" s="172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  <c r="BT719" s="172"/>
      <c r="BU719" s="172"/>
      <c r="BV719" s="172"/>
      <c r="BW719" s="172"/>
      <c r="BX719" s="172"/>
      <c r="BY719" s="174"/>
      <c r="BZ719" s="172"/>
      <c r="CA719" s="172"/>
      <c r="CD719" s="194"/>
      <c r="CE719" s="194"/>
      <c r="CF719" s="194"/>
      <c r="CG719" s="194"/>
      <c r="CH719" s="195"/>
      <c r="CI719" s="194"/>
      <c r="CJ719" s="194"/>
      <c r="CK719" s="194"/>
      <c r="CL719" s="196"/>
      <c r="CM719" s="196"/>
      <c r="CN719" s="194"/>
      <c r="CO719" s="197"/>
      <c r="CP719" s="196"/>
      <c r="CQ719" s="196"/>
      <c r="CR719" s="196"/>
      <c r="CS719" s="196"/>
      <c r="CT719" s="196"/>
      <c r="CU719" s="196"/>
      <c r="CV719" s="194"/>
      <c r="CW719" s="194"/>
      <c r="CX719" s="194"/>
      <c r="CY719" s="194"/>
      <c r="CZ719" s="194"/>
      <c r="DA719" s="194"/>
      <c r="DB719" s="194"/>
      <c r="DC719" s="194"/>
      <c r="DD719" s="194"/>
      <c r="DE719" s="194"/>
      <c r="DF719" s="196"/>
      <c r="DG719" s="198"/>
      <c r="DH719" s="194"/>
      <c r="DI719" s="282"/>
      <c r="DJ719" s="282"/>
      <c r="DK719" s="282"/>
      <c r="DL719" s="282"/>
    </row>
    <row r="720" spans="1:116" s="24" customFormat="1" x14ac:dyDescent="0.3">
      <c r="A720" s="172"/>
      <c r="B720" s="172"/>
      <c r="C720" s="172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2"/>
      <c r="AT720" s="172"/>
      <c r="AU720" s="172"/>
      <c r="AV720" s="172"/>
      <c r="AW720" s="172"/>
      <c r="AX720" s="172"/>
      <c r="AY720" s="172"/>
      <c r="AZ720" s="172"/>
      <c r="BA720" s="172"/>
      <c r="BB720" s="172"/>
      <c r="BC720" s="172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  <c r="BT720" s="172"/>
      <c r="BU720" s="172"/>
      <c r="BV720" s="172"/>
      <c r="BW720" s="172"/>
      <c r="BX720" s="172"/>
      <c r="BY720" s="174"/>
      <c r="BZ720" s="172"/>
      <c r="CA720" s="172"/>
      <c r="CD720" s="194"/>
      <c r="CE720" s="194"/>
      <c r="CF720" s="194"/>
      <c r="CG720" s="194"/>
      <c r="CH720" s="195"/>
      <c r="CI720" s="194"/>
      <c r="CJ720" s="194"/>
      <c r="CK720" s="194"/>
      <c r="CL720" s="196"/>
      <c r="CM720" s="196"/>
      <c r="CN720" s="194"/>
      <c r="CO720" s="197"/>
      <c r="CP720" s="196"/>
      <c r="CQ720" s="196"/>
      <c r="CR720" s="196"/>
      <c r="CS720" s="196"/>
      <c r="CT720" s="196"/>
      <c r="CU720" s="196"/>
      <c r="CV720" s="194"/>
      <c r="CW720" s="194"/>
      <c r="CX720" s="194"/>
      <c r="CY720" s="194"/>
      <c r="CZ720" s="194"/>
      <c r="DA720" s="194"/>
      <c r="DB720" s="194"/>
      <c r="DC720" s="194"/>
      <c r="DD720" s="194"/>
      <c r="DE720" s="194"/>
      <c r="DF720" s="196"/>
      <c r="DG720" s="198"/>
      <c r="DH720" s="194"/>
      <c r="DI720" s="282"/>
      <c r="DJ720" s="282"/>
      <c r="DK720" s="282"/>
      <c r="DL720" s="282"/>
    </row>
    <row r="721" spans="1:116" s="24" customFormat="1" x14ac:dyDescent="0.3">
      <c r="A721" s="172"/>
      <c r="B721" s="172"/>
      <c r="C721" s="172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2"/>
      <c r="AT721" s="172"/>
      <c r="AU721" s="172"/>
      <c r="AV721" s="172"/>
      <c r="AW721" s="172"/>
      <c r="AX721" s="172"/>
      <c r="AY721" s="172"/>
      <c r="AZ721" s="172"/>
      <c r="BA721" s="172"/>
      <c r="BB721" s="172"/>
      <c r="BC721" s="172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  <c r="BT721" s="172"/>
      <c r="BU721" s="172"/>
      <c r="BV721" s="172"/>
      <c r="BW721" s="172"/>
      <c r="BX721" s="172"/>
      <c r="BY721" s="174"/>
      <c r="BZ721" s="172"/>
      <c r="CA721" s="172"/>
      <c r="CD721" s="194"/>
      <c r="CE721" s="194"/>
      <c r="CF721" s="194"/>
      <c r="CG721" s="194"/>
      <c r="CH721" s="195"/>
      <c r="CI721" s="194"/>
      <c r="CJ721" s="194"/>
      <c r="CK721" s="194"/>
      <c r="CL721" s="196"/>
      <c r="CM721" s="196"/>
      <c r="CN721" s="194"/>
      <c r="CO721" s="197"/>
      <c r="CP721" s="196"/>
      <c r="CQ721" s="196"/>
      <c r="CR721" s="196"/>
      <c r="CS721" s="196"/>
      <c r="CT721" s="196"/>
      <c r="CU721" s="196"/>
      <c r="CV721" s="194"/>
      <c r="CW721" s="194"/>
      <c r="CX721" s="194"/>
      <c r="CY721" s="194"/>
      <c r="CZ721" s="194"/>
      <c r="DA721" s="194"/>
      <c r="DB721" s="194"/>
      <c r="DC721" s="194"/>
      <c r="DD721" s="194"/>
      <c r="DE721" s="194"/>
      <c r="DF721" s="196"/>
      <c r="DG721" s="198"/>
      <c r="DH721" s="194"/>
      <c r="DI721" s="282"/>
      <c r="DJ721" s="282"/>
      <c r="DK721" s="282"/>
      <c r="DL721" s="282"/>
    </row>
    <row r="722" spans="1:116" s="24" customFormat="1" x14ac:dyDescent="0.3">
      <c r="A722" s="172"/>
      <c r="B722" s="172"/>
      <c r="C722" s="172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2"/>
      <c r="AT722" s="172"/>
      <c r="AU722" s="172"/>
      <c r="AV722" s="172"/>
      <c r="AW722" s="172"/>
      <c r="AX722" s="172"/>
      <c r="AY722" s="172"/>
      <c r="AZ722" s="172"/>
      <c r="BA722" s="172"/>
      <c r="BB722" s="172"/>
      <c r="BC722" s="172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  <c r="BT722" s="172"/>
      <c r="BU722" s="172"/>
      <c r="BV722" s="172"/>
      <c r="BW722" s="172"/>
      <c r="BX722" s="172"/>
      <c r="BY722" s="174"/>
      <c r="BZ722" s="172"/>
      <c r="CA722" s="172"/>
      <c r="CD722" s="194"/>
      <c r="CE722" s="194"/>
      <c r="CF722" s="194"/>
      <c r="CG722" s="194"/>
      <c r="CH722" s="195"/>
      <c r="CI722" s="194"/>
      <c r="CJ722" s="194"/>
      <c r="CK722" s="194"/>
      <c r="CL722" s="196"/>
      <c r="CM722" s="196"/>
      <c r="CN722" s="194"/>
      <c r="CO722" s="197"/>
      <c r="CP722" s="196"/>
      <c r="CQ722" s="196"/>
      <c r="CR722" s="196"/>
      <c r="CS722" s="196"/>
      <c r="CT722" s="196"/>
      <c r="CU722" s="196"/>
      <c r="CV722" s="194"/>
      <c r="CW722" s="194"/>
      <c r="CX722" s="194"/>
      <c r="CY722" s="194"/>
      <c r="CZ722" s="194"/>
      <c r="DA722" s="194"/>
      <c r="DB722" s="194"/>
      <c r="DC722" s="194"/>
      <c r="DD722" s="194"/>
      <c r="DE722" s="194"/>
      <c r="DF722" s="196"/>
      <c r="DG722" s="198"/>
      <c r="DH722" s="194"/>
      <c r="DI722" s="282"/>
      <c r="DJ722" s="282"/>
      <c r="DK722" s="282"/>
      <c r="DL722" s="282"/>
    </row>
    <row r="723" spans="1:116" s="24" customFormat="1" x14ac:dyDescent="0.3">
      <c r="A723" s="172"/>
      <c r="B723" s="172"/>
      <c r="C723" s="172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2"/>
      <c r="AT723" s="172"/>
      <c r="AU723" s="172"/>
      <c r="AV723" s="172"/>
      <c r="AW723" s="172"/>
      <c r="AX723" s="172"/>
      <c r="AY723" s="172"/>
      <c r="AZ723" s="172"/>
      <c r="BA723" s="172"/>
      <c r="BB723" s="172"/>
      <c r="BC723" s="172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  <c r="BT723" s="172"/>
      <c r="BU723" s="172"/>
      <c r="BV723" s="172"/>
      <c r="BW723" s="172"/>
      <c r="BX723" s="172"/>
      <c r="BY723" s="174"/>
      <c r="BZ723" s="172"/>
      <c r="CA723" s="172"/>
      <c r="CD723" s="194"/>
      <c r="CE723" s="194"/>
      <c r="CF723" s="194"/>
      <c r="CG723" s="194"/>
      <c r="CH723" s="195"/>
      <c r="CI723" s="194"/>
      <c r="CJ723" s="194"/>
      <c r="CK723" s="194"/>
      <c r="CL723" s="196"/>
      <c r="CM723" s="196"/>
      <c r="CN723" s="194"/>
      <c r="CO723" s="197"/>
      <c r="CP723" s="196"/>
      <c r="CQ723" s="196"/>
      <c r="CR723" s="196"/>
      <c r="CS723" s="196"/>
      <c r="CT723" s="196"/>
      <c r="CU723" s="196"/>
      <c r="CV723" s="194"/>
      <c r="CW723" s="194"/>
      <c r="CX723" s="194"/>
      <c r="CY723" s="194"/>
      <c r="CZ723" s="194"/>
      <c r="DA723" s="194"/>
      <c r="DB723" s="194"/>
      <c r="DC723" s="194"/>
      <c r="DD723" s="194"/>
      <c r="DE723" s="194"/>
      <c r="DF723" s="196"/>
      <c r="DG723" s="198"/>
      <c r="DH723" s="194"/>
      <c r="DI723" s="282"/>
      <c r="DJ723" s="282"/>
      <c r="DK723" s="282"/>
      <c r="DL723" s="282"/>
    </row>
    <row r="724" spans="1:116" s="24" customFormat="1" x14ac:dyDescent="0.3">
      <c r="A724" s="172"/>
      <c r="B724" s="172"/>
      <c r="C724" s="172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2"/>
      <c r="AT724" s="172"/>
      <c r="AU724" s="172"/>
      <c r="AV724" s="172"/>
      <c r="AW724" s="172"/>
      <c r="AX724" s="172"/>
      <c r="AY724" s="172"/>
      <c r="AZ724" s="172"/>
      <c r="BA724" s="172"/>
      <c r="BB724" s="172"/>
      <c r="BC724" s="172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  <c r="BT724" s="172"/>
      <c r="BU724" s="172"/>
      <c r="BV724" s="172"/>
      <c r="BW724" s="172"/>
      <c r="BX724" s="172"/>
      <c r="BY724" s="174"/>
      <c r="BZ724" s="172"/>
      <c r="CA724" s="172"/>
      <c r="CD724" s="194"/>
      <c r="CE724" s="194"/>
      <c r="CF724" s="194"/>
      <c r="CG724" s="194"/>
      <c r="CH724" s="195"/>
      <c r="CI724" s="194"/>
      <c r="CJ724" s="194"/>
      <c r="CK724" s="194"/>
      <c r="CL724" s="196"/>
      <c r="CM724" s="196"/>
      <c r="CN724" s="194"/>
      <c r="CO724" s="197"/>
      <c r="CP724" s="196"/>
      <c r="CQ724" s="196"/>
      <c r="CR724" s="196"/>
      <c r="CS724" s="196"/>
      <c r="CT724" s="196"/>
      <c r="CU724" s="196"/>
      <c r="CV724" s="194"/>
      <c r="CW724" s="194"/>
      <c r="CX724" s="194"/>
      <c r="CY724" s="194"/>
      <c r="CZ724" s="194"/>
      <c r="DA724" s="194"/>
      <c r="DB724" s="194"/>
      <c r="DC724" s="194"/>
      <c r="DD724" s="194"/>
      <c r="DE724" s="194"/>
      <c r="DF724" s="196"/>
      <c r="DG724" s="198"/>
      <c r="DH724" s="194"/>
      <c r="DI724" s="282"/>
      <c r="DJ724" s="282"/>
      <c r="DK724" s="282"/>
      <c r="DL724" s="282"/>
    </row>
    <row r="725" spans="1:116" s="24" customFormat="1" x14ac:dyDescent="0.3">
      <c r="A725" s="172"/>
      <c r="B725" s="172"/>
      <c r="C725" s="172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2"/>
      <c r="AT725" s="172"/>
      <c r="AU725" s="172"/>
      <c r="AV725" s="172"/>
      <c r="AW725" s="172"/>
      <c r="AX725" s="172"/>
      <c r="AY725" s="172"/>
      <c r="AZ725" s="172"/>
      <c r="BA725" s="172"/>
      <c r="BB725" s="172"/>
      <c r="BC725" s="172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  <c r="BT725" s="172"/>
      <c r="BU725" s="172"/>
      <c r="BV725" s="172"/>
      <c r="BW725" s="172"/>
      <c r="BX725" s="172"/>
      <c r="BY725" s="174"/>
      <c r="BZ725" s="172"/>
      <c r="CA725" s="172"/>
      <c r="CD725" s="194"/>
      <c r="CE725" s="194"/>
      <c r="CF725" s="194"/>
      <c r="CG725" s="194"/>
      <c r="CH725" s="195"/>
      <c r="CI725" s="194"/>
      <c r="CJ725" s="194"/>
      <c r="CK725" s="194"/>
      <c r="CL725" s="196"/>
      <c r="CM725" s="196"/>
      <c r="CN725" s="194"/>
      <c r="CO725" s="197"/>
      <c r="CP725" s="196"/>
      <c r="CQ725" s="196"/>
      <c r="CR725" s="196"/>
      <c r="CS725" s="196"/>
      <c r="CT725" s="196"/>
      <c r="CU725" s="196"/>
      <c r="CV725" s="194"/>
      <c r="CW725" s="194"/>
      <c r="CX725" s="194"/>
      <c r="CY725" s="194"/>
      <c r="CZ725" s="194"/>
      <c r="DA725" s="194"/>
      <c r="DB725" s="194"/>
      <c r="DC725" s="194"/>
      <c r="DD725" s="194"/>
      <c r="DE725" s="194"/>
      <c r="DF725" s="196"/>
      <c r="DG725" s="198"/>
      <c r="DH725" s="194"/>
      <c r="DI725" s="282"/>
      <c r="DJ725" s="282"/>
      <c r="DK725" s="282"/>
      <c r="DL725" s="282"/>
    </row>
    <row r="726" spans="1:116" s="24" customFormat="1" x14ac:dyDescent="0.3">
      <c r="A726" s="172"/>
      <c r="B726" s="172"/>
      <c r="C726" s="172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2"/>
      <c r="AT726" s="172"/>
      <c r="AU726" s="172"/>
      <c r="AV726" s="172"/>
      <c r="AW726" s="172"/>
      <c r="AX726" s="172"/>
      <c r="AY726" s="172"/>
      <c r="AZ726" s="172"/>
      <c r="BA726" s="172"/>
      <c r="BB726" s="172"/>
      <c r="BC726" s="172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  <c r="BT726" s="172"/>
      <c r="BU726" s="172"/>
      <c r="BV726" s="172"/>
      <c r="BW726" s="172"/>
      <c r="BX726" s="172"/>
      <c r="BY726" s="174"/>
      <c r="BZ726" s="172"/>
      <c r="CA726" s="172"/>
      <c r="CD726" s="194"/>
      <c r="CE726" s="194"/>
      <c r="CF726" s="194"/>
      <c r="CG726" s="194"/>
      <c r="CH726" s="195"/>
      <c r="CI726" s="194"/>
      <c r="CJ726" s="194"/>
      <c r="CK726" s="194"/>
      <c r="CL726" s="196"/>
      <c r="CM726" s="196"/>
      <c r="CN726" s="194"/>
      <c r="CO726" s="197"/>
      <c r="CP726" s="196"/>
      <c r="CQ726" s="196"/>
      <c r="CR726" s="196"/>
      <c r="CS726" s="196"/>
      <c r="CT726" s="196"/>
      <c r="CU726" s="196"/>
      <c r="CV726" s="194"/>
      <c r="CW726" s="194"/>
      <c r="CX726" s="194"/>
      <c r="CY726" s="194"/>
      <c r="CZ726" s="194"/>
      <c r="DA726" s="194"/>
      <c r="DB726" s="194"/>
      <c r="DC726" s="194"/>
      <c r="DD726" s="194"/>
      <c r="DE726" s="194"/>
      <c r="DF726" s="196"/>
      <c r="DG726" s="198"/>
      <c r="DH726" s="194"/>
      <c r="DI726" s="282"/>
      <c r="DJ726" s="282"/>
      <c r="DK726" s="282"/>
      <c r="DL726" s="282"/>
    </row>
    <row r="727" spans="1:116" s="24" customFormat="1" x14ac:dyDescent="0.3">
      <c r="A727" s="172"/>
      <c r="B727" s="172"/>
      <c r="C727" s="172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2"/>
      <c r="AT727" s="172"/>
      <c r="AU727" s="172"/>
      <c r="AV727" s="172"/>
      <c r="AW727" s="172"/>
      <c r="AX727" s="172"/>
      <c r="AY727" s="172"/>
      <c r="AZ727" s="172"/>
      <c r="BA727" s="172"/>
      <c r="BB727" s="172"/>
      <c r="BC727" s="172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  <c r="BT727" s="172"/>
      <c r="BU727" s="172"/>
      <c r="BV727" s="172"/>
      <c r="BW727" s="172"/>
      <c r="BX727" s="172"/>
      <c r="BY727" s="174"/>
      <c r="BZ727" s="172"/>
      <c r="CA727" s="172"/>
      <c r="CD727" s="194"/>
      <c r="CE727" s="194"/>
      <c r="CF727" s="194"/>
      <c r="CG727" s="194"/>
      <c r="CH727" s="195"/>
      <c r="CI727" s="194"/>
      <c r="CJ727" s="194"/>
      <c r="CK727" s="194"/>
      <c r="CL727" s="196"/>
      <c r="CM727" s="196"/>
      <c r="CN727" s="194"/>
      <c r="CO727" s="197"/>
      <c r="CP727" s="196"/>
      <c r="CQ727" s="196"/>
      <c r="CR727" s="196"/>
      <c r="CS727" s="196"/>
      <c r="CT727" s="196"/>
      <c r="CU727" s="196"/>
      <c r="CV727" s="194"/>
      <c r="CW727" s="194"/>
      <c r="CX727" s="194"/>
      <c r="CY727" s="194"/>
      <c r="CZ727" s="194"/>
      <c r="DA727" s="194"/>
      <c r="DB727" s="194"/>
      <c r="DC727" s="194"/>
      <c r="DD727" s="194"/>
      <c r="DE727" s="194"/>
      <c r="DF727" s="196"/>
      <c r="DG727" s="198"/>
      <c r="DH727" s="194"/>
      <c r="DI727" s="282"/>
      <c r="DJ727" s="282"/>
      <c r="DK727" s="282"/>
      <c r="DL727" s="282"/>
    </row>
    <row r="728" spans="1:116" s="24" customFormat="1" x14ac:dyDescent="0.3">
      <c r="A728" s="172"/>
      <c r="B728" s="172"/>
      <c r="C728" s="172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2"/>
      <c r="AT728" s="172"/>
      <c r="AU728" s="172"/>
      <c r="AV728" s="172"/>
      <c r="AW728" s="172"/>
      <c r="AX728" s="172"/>
      <c r="AY728" s="172"/>
      <c r="AZ728" s="172"/>
      <c r="BA728" s="172"/>
      <c r="BB728" s="172"/>
      <c r="BC728" s="172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  <c r="BT728" s="172"/>
      <c r="BU728" s="172"/>
      <c r="BV728" s="172"/>
      <c r="BW728" s="172"/>
      <c r="BX728" s="172"/>
      <c r="BY728" s="174"/>
      <c r="BZ728" s="172"/>
      <c r="CA728" s="172"/>
      <c r="CD728" s="194"/>
      <c r="CE728" s="194"/>
      <c r="CF728" s="194"/>
      <c r="CG728" s="194"/>
      <c r="CH728" s="195"/>
      <c r="CI728" s="194"/>
      <c r="CJ728" s="194"/>
      <c r="CK728" s="194"/>
      <c r="CL728" s="196"/>
      <c r="CM728" s="196"/>
      <c r="CN728" s="194"/>
      <c r="CO728" s="197"/>
      <c r="CP728" s="196"/>
      <c r="CQ728" s="196"/>
      <c r="CR728" s="196"/>
      <c r="CS728" s="196"/>
      <c r="CT728" s="196"/>
      <c r="CU728" s="196"/>
      <c r="CV728" s="194"/>
      <c r="CW728" s="194"/>
      <c r="CX728" s="194"/>
      <c r="CY728" s="194"/>
      <c r="CZ728" s="194"/>
      <c r="DA728" s="194"/>
      <c r="DB728" s="194"/>
      <c r="DC728" s="194"/>
      <c r="DD728" s="194"/>
      <c r="DE728" s="194"/>
      <c r="DF728" s="196"/>
      <c r="DG728" s="198"/>
      <c r="DH728" s="194"/>
      <c r="DI728" s="282"/>
      <c r="DJ728" s="282"/>
      <c r="DK728" s="282"/>
      <c r="DL728" s="282"/>
    </row>
    <row r="729" spans="1:116" s="24" customFormat="1" x14ac:dyDescent="0.3">
      <c r="A729" s="172"/>
      <c r="B729" s="172"/>
      <c r="C729" s="172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2"/>
      <c r="AT729" s="172"/>
      <c r="AU729" s="172"/>
      <c r="AV729" s="172"/>
      <c r="AW729" s="172"/>
      <c r="AX729" s="172"/>
      <c r="AY729" s="172"/>
      <c r="AZ729" s="172"/>
      <c r="BA729" s="172"/>
      <c r="BB729" s="172"/>
      <c r="BC729" s="172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  <c r="BT729" s="172"/>
      <c r="BU729" s="172"/>
      <c r="BV729" s="172"/>
      <c r="BW729" s="172"/>
      <c r="BX729" s="172"/>
      <c r="BY729" s="174"/>
      <c r="BZ729" s="172"/>
      <c r="CA729" s="172"/>
      <c r="CD729" s="194"/>
      <c r="CE729" s="194"/>
      <c r="CF729" s="194"/>
      <c r="CG729" s="194"/>
      <c r="CH729" s="195"/>
      <c r="CI729" s="194"/>
      <c r="CJ729" s="194"/>
      <c r="CK729" s="194"/>
      <c r="CL729" s="196"/>
      <c r="CM729" s="196"/>
      <c r="CN729" s="194"/>
      <c r="CO729" s="197"/>
      <c r="CP729" s="196"/>
      <c r="CQ729" s="196"/>
      <c r="CR729" s="196"/>
      <c r="CS729" s="196"/>
      <c r="CT729" s="196"/>
      <c r="CU729" s="196"/>
      <c r="CV729" s="194"/>
      <c r="CW729" s="194"/>
      <c r="CX729" s="194"/>
      <c r="CY729" s="194"/>
      <c r="CZ729" s="194"/>
      <c r="DA729" s="194"/>
      <c r="DB729" s="194"/>
      <c r="DC729" s="194"/>
      <c r="DD729" s="194"/>
      <c r="DE729" s="194"/>
      <c r="DF729" s="196"/>
      <c r="DG729" s="198"/>
      <c r="DH729" s="194"/>
      <c r="DI729" s="282"/>
      <c r="DJ729" s="282"/>
      <c r="DK729" s="282"/>
      <c r="DL729" s="282"/>
    </row>
    <row r="730" spans="1:116" s="24" customFormat="1" x14ac:dyDescent="0.3">
      <c r="A730" s="172"/>
      <c r="B730" s="172"/>
      <c r="C730" s="172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2"/>
      <c r="AT730" s="172"/>
      <c r="AU730" s="172"/>
      <c r="AV730" s="172"/>
      <c r="AW730" s="172"/>
      <c r="AX730" s="172"/>
      <c r="AY730" s="172"/>
      <c r="AZ730" s="172"/>
      <c r="BA730" s="172"/>
      <c r="BB730" s="172"/>
      <c r="BC730" s="172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  <c r="BT730" s="172"/>
      <c r="BU730" s="172"/>
      <c r="BV730" s="172"/>
      <c r="BW730" s="172"/>
      <c r="BX730" s="172"/>
      <c r="BY730" s="174"/>
      <c r="BZ730" s="172"/>
      <c r="CA730" s="172"/>
      <c r="CD730" s="194"/>
      <c r="CE730" s="194"/>
      <c r="CF730" s="194"/>
      <c r="CG730" s="194"/>
      <c r="CH730" s="195"/>
      <c r="CI730" s="194"/>
      <c r="CJ730" s="194"/>
      <c r="CK730" s="194"/>
      <c r="CL730" s="196"/>
      <c r="CM730" s="196"/>
      <c r="CN730" s="194"/>
      <c r="CO730" s="197"/>
      <c r="CP730" s="196"/>
      <c r="CQ730" s="196"/>
      <c r="CR730" s="196"/>
      <c r="CS730" s="196"/>
      <c r="CT730" s="196"/>
      <c r="CU730" s="196"/>
      <c r="CV730" s="194"/>
      <c r="CW730" s="194"/>
      <c r="CX730" s="194"/>
      <c r="CY730" s="194"/>
      <c r="CZ730" s="194"/>
      <c r="DA730" s="194"/>
      <c r="DB730" s="194"/>
      <c r="DC730" s="194"/>
      <c r="DD730" s="194"/>
      <c r="DE730" s="194"/>
      <c r="DF730" s="196"/>
      <c r="DG730" s="198"/>
      <c r="DH730" s="194"/>
      <c r="DI730" s="282"/>
      <c r="DJ730" s="282"/>
      <c r="DK730" s="282"/>
      <c r="DL730" s="282"/>
    </row>
    <row r="731" spans="1:116" s="24" customFormat="1" x14ac:dyDescent="0.3">
      <c r="A731" s="172"/>
      <c r="B731" s="172"/>
      <c r="C731" s="172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2"/>
      <c r="AT731" s="172"/>
      <c r="AU731" s="172"/>
      <c r="AV731" s="172"/>
      <c r="AW731" s="172"/>
      <c r="AX731" s="172"/>
      <c r="AY731" s="172"/>
      <c r="AZ731" s="172"/>
      <c r="BA731" s="172"/>
      <c r="BB731" s="172"/>
      <c r="BC731" s="172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  <c r="BT731" s="172"/>
      <c r="BU731" s="172"/>
      <c r="BV731" s="172"/>
      <c r="BW731" s="172"/>
      <c r="BX731" s="172"/>
      <c r="BY731" s="174"/>
      <c r="BZ731" s="172"/>
      <c r="CA731" s="172"/>
      <c r="CD731" s="194"/>
      <c r="CE731" s="194"/>
      <c r="CF731" s="194"/>
      <c r="CG731" s="194"/>
      <c r="CH731" s="195"/>
      <c r="CI731" s="194"/>
      <c r="CJ731" s="194"/>
      <c r="CK731" s="194"/>
      <c r="CL731" s="196"/>
      <c r="CM731" s="196"/>
      <c r="CN731" s="194"/>
      <c r="CO731" s="197"/>
      <c r="CP731" s="196"/>
      <c r="CQ731" s="196"/>
      <c r="CR731" s="196"/>
      <c r="CS731" s="196"/>
      <c r="CT731" s="196"/>
      <c r="CU731" s="196"/>
      <c r="CV731" s="194"/>
      <c r="CW731" s="194"/>
      <c r="CX731" s="194"/>
      <c r="CY731" s="194"/>
      <c r="CZ731" s="194"/>
      <c r="DA731" s="194"/>
      <c r="DB731" s="194"/>
      <c r="DC731" s="194"/>
      <c r="DD731" s="194"/>
      <c r="DE731" s="194"/>
      <c r="DF731" s="196"/>
      <c r="DG731" s="198"/>
      <c r="DH731" s="194"/>
      <c r="DI731" s="282"/>
      <c r="DJ731" s="282"/>
      <c r="DK731" s="282"/>
      <c r="DL731" s="282"/>
    </row>
    <row r="732" spans="1:116" s="24" customFormat="1" x14ac:dyDescent="0.3">
      <c r="A732" s="172"/>
      <c r="B732" s="172"/>
      <c r="C732" s="172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2"/>
      <c r="AT732" s="172"/>
      <c r="AU732" s="172"/>
      <c r="AV732" s="172"/>
      <c r="AW732" s="172"/>
      <c r="AX732" s="172"/>
      <c r="AY732" s="172"/>
      <c r="AZ732" s="172"/>
      <c r="BA732" s="172"/>
      <c r="BB732" s="172"/>
      <c r="BC732" s="172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  <c r="BT732" s="172"/>
      <c r="BU732" s="172"/>
      <c r="BV732" s="172"/>
      <c r="BW732" s="172"/>
      <c r="BX732" s="172"/>
      <c r="BY732" s="174"/>
      <c r="BZ732" s="172"/>
      <c r="CA732" s="172"/>
      <c r="CD732" s="194"/>
      <c r="CE732" s="194"/>
      <c r="CF732" s="194"/>
      <c r="CG732" s="194"/>
      <c r="CH732" s="195"/>
      <c r="CI732" s="194"/>
      <c r="CJ732" s="194"/>
      <c r="CK732" s="194"/>
      <c r="CL732" s="196"/>
      <c r="CM732" s="196"/>
      <c r="CN732" s="194"/>
      <c r="CO732" s="197"/>
      <c r="CP732" s="196"/>
      <c r="CQ732" s="196"/>
      <c r="CR732" s="196"/>
      <c r="CS732" s="196"/>
      <c r="CT732" s="196"/>
      <c r="CU732" s="196"/>
      <c r="CV732" s="194"/>
      <c r="CW732" s="194"/>
      <c r="CX732" s="194"/>
      <c r="CY732" s="194"/>
      <c r="CZ732" s="194"/>
      <c r="DA732" s="194"/>
      <c r="DB732" s="194"/>
      <c r="DC732" s="194"/>
      <c r="DD732" s="194"/>
      <c r="DE732" s="194"/>
      <c r="DF732" s="196"/>
      <c r="DG732" s="198"/>
      <c r="DH732" s="194"/>
      <c r="DI732" s="282"/>
      <c r="DJ732" s="282"/>
      <c r="DK732" s="282"/>
      <c r="DL732" s="282"/>
    </row>
    <row r="733" spans="1:116" s="24" customFormat="1" x14ac:dyDescent="0.3">
      <c r="A733" s="172"/>
      <c r="B733" s="172"/>
      <c r="C733" s="172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2"/>
      <c r="AT733" s="172"/>
      <c r="AU733" s="172"/>
      <c r="AV733" s="172"/>
      <c r="AW733" s="172"/>
      <c r="AX733" s="172"/>
      <c r="AY733" s="172"/>
      <c r="AZ733" s="172"/>
      <c r="BA733" s="172"/>
      <c r="BB733" s="172"/>
      <c r="BC733" s="172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  <c r="BT733" s="172"/>
      <c r="BU733" s="172"/>
      <c r="BV733" s="172"/>
      <c r="BW733" s="172"/>
      <c r="BX733" s="172"/>
      <c r="BY733" s="174"/>
      <c r="BZ733" s="172"/>
      <c r="CA733" s="172"/>
      <c r="CD733" s="194"/>
      <c r="CE733" s="194"/>
      <c r="CF733" s="194"/>
      <c r="CG733" s="194"/>
      <c r="CH733" s="195"/>
      <c r="CI733" s="194"/>
      <c r="CJ733" s="194"/>
      <c r="CK733" s="194"/>
      <c r="CL733" s="196"/>
      <c r="CM733" s="196"/>
      <c r="CN733" s="194"/>
      <c r="CO733" s="197"/>
      <c r="CP733" s="196"/>
      <c r="CQ733" s="196"/>
      <c r="CR733" s="196"/>
      <c r="CS733" s="196"/>
      <c r="CT733" s="196"/>
      <c r="CU733" s="196"/>
      <c r="CV733" s="194"/>
      <c r="CW733" s="194"/>
      <c r="CX733" s="194"/>
      <c r="CY733" s="194"/>
      <c r="CZ733" s="194"/>
      <c r="DA733" s="194"/>
      <c r="DB733" s="194"/>
      <c r="DC733" s="194"/>
      <c r="DD733" s="194"/>
      <c r="DE733" s="194"/>
      <c r="DF733" s="196"/>
      <c r="DG733" s="198"/>
      <c r="DH733" s="194"/>
      <c r="DI733" s="282"/>
      <c r="DJ733" s="282"/>
      <c r="DK733" s="282"/>
      <c r="DL733" s="282"/>
    </row>
    <row r="734" spans="1:116" s="24" customFormat="1" x14ac:dyDescent="0.3">
      <c r="A734" s="172"/>
      <c r="B734" s="172"/>
      <c r="C734" s="172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2"/>
      <c r="AT734" s="172"/>
      <c r="AU734" s="172"/>
      <c r="AV734" s="172"/>
      <c r="AW734" s="172"/>
      <c r="AX734" s="172"/>
      <c r="AY734" s="172"/>
      <c r="AZ734" s="172"/>
      <c r="BA734" s="172"/>
      <c r="BB734" s="172"/>
      <c r="BC734" s="172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  <c r="BT734" s="172"/>
      <c r="BU734" s="172"/>
      <c r="BV734" s="172"/>
      <c r="BW734" s="172"/>
      <c r="BX734" s="172"/>
      <c r="BY734" s="174"/>
      <c r="BZ734" s="172"/>
      <c r="CA734" s="172"/>
      <c r="CD734" s="194"/>
      <c r="CE734" s="194"/>
      <c r="CF734" s="194"/>
      <c r="CG734" s="194"/>
      <c r="CH734" s="195"/>
      <c r="CI734" s="194"/>
      <c r="CJ734" s="194"/>
      <c r="CK734" s="194"/>
      <c r="CL734" s="196"/>
      <c r="CM734" s="196"/>
      <c r="CN734" s="194"/>
      <c r="CO734" s="197"/>
      <c r="CP734" s="196"/>
      <c r="CQ734" s="196"/>
      <c r="CR734" s="196"/>
      <c r="CS734" s="196"/>
      <c r="CT734" s="196"/>
      <c r="CU734" s="196"/>
      <c r="CV734" s="194"/>
      <c r="CW734" s="194"/>
      <c r="CX734" s="194"/>
      <c r="CY734" s="194"/>
      <c r="CZ734" s="194"/>
      <c r="DA734" s="194"/>
      <c r="DB734" s="194"/>
      <c r="DC734" s="194"/>
      <c r="DD734" s="194"/>
      <c r="DE734" s="194"/>
      <c r="DF734" s="196"/>
      <c r="DG734" s="198"/>
      <c r="DH734" s="194"/>
      <c r="DI734" s="282"/>
      <c r="DJ734" s="282"/>
      <c r="DK734" s="282"/>
      <c r="DL734" s="282"/>
    </row>
    <row r="735" spans="1:116" s="24" customFormat="1" x14ac:dyDescent="0.3">
      <c r="A735" s="172"/>
      <c r="B735" s="172"/>
      <c r="C735" s="172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2"/>
      <c r="AT735" s="172"/>
      <c r="AU735" s="172"/>
      <c r="AV735" s="172"/>
      <c r="AW735" s="172"/>
      <c r="AX735" s="172"/>
      <c r="AY735" s="172"/>
      <c r="AZ735" s="172"/>
      <c r="BA735" s="172"/>
      <c r="BB735" s="172"/>
      <c r="BC735" s="172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  <c r="BT735" s="172"/>
      <c r="BU735" s="172"/>
      <c r="BV735" s="172"/>
      <c r="BW735" s="172"/>
      <c r="BX735" s="172"/>
      <c r="BY735" s="174"/>
      <c r="BZ735" s="172"/>
      <c r="CA735" s="172"/>
      <c r="CD735" s="194"/>
      <c r="CE735" s="194"/>
      <c r="CF735" s="194"/>
      <c r="CG735" s="194"/>
      <c r="CH735" s="195"/>
      <c r="CI735" s="194"/>
      <c r="CJ735" s="194"/>
      <c r="CK735" s="194"/>
      <c r="CL735" s="196"/>
      <c r="CM735" s="196"/>
      <c r="CN735" s="194"/>
      <c r="CO735" s="197"/>
      <c r="CP735" s="196"/>
      <c r="CQ735" s="196"/>
      <c r="CR735" s="196"/>
      <c r="CS735" s="196"/>
      <c r="CT735" s="196"/>
      <c r="CU735" s="196"/>
      <c r="CV735" s="194"/>
      <c r="CW735" s="194"/>
      <c r="CX735" s="194"/>
      <c r="CY735" s="194"/>
      <c r="CZ735" s="194"/>
      <c r="DA735" s="194"/>
      <c r="DB735" s="194"/>
      <c r="DC735" s="194"/>
      <c r="DD735" s="194"/>
      <c r="DE735" s="194"/>
      <c r="DF735" s="196"/>
      <c r="DG735" s="198"/>
      <c r="DH735" s="194"/>
      <c r="DI735" s="282"/>
      <c r="DJ735" s="282"/>
      <c r="DK735" s="282"/>
      <c r="DL735" s="282"/>
    </row>
    <row r="736" spans="1:116" s="24" customFormat="1" x14ac:dyDescent="0.3">
      <c r="A736" s="172"/>
      <c r="B736" s="172"/>
      <c r="C736" s="172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2"/>
      <c r="AT736" s="172"/>
      <c r="AU736" s="172"/>
      <c r="AV736" s="172"/>
      <c r="AW736" s="172"/>
      <c r="AX736" s="172"/>
      <c r="AY736" s="172"/>
      <c r="AZ736" s="172"/>
      <c r="BA736" s="172"/>
      <c r="BB736" s="172"/>
      <c r="BC736" s="172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  <c r="BT736" s="172"/>
      <c r="BU736" s="172"/>
      <c r="BV736" s="172"/>
      <c r="BW736" s="172"/>
      <c r="BX736" s="172"/>
      <c r="BY736" s="174"/>
      <c r="BZ736" s="172"/>
      <c r="CA736" s="172"/>
      <c r="CD736" s="194"/>
      <c r="CE736" s="194"/>
      <c r="CF736" s="194"/>
      <c r="CG736" s="194"/>
      <c r="CH736" s="195"/>
      <c r="CI736" s="194"/>
      <c r="CJ736" s="194"/>
      <c r="CK736" s="194"/>
      <c r="CL736" s="196"/>
      <c r="CM736" s="196"/>
      <c r="CN736" s="194"/>
      <c r="CO736" s="197"/>
      <c r="CP736" s="196"/>
      <c r="CQ736" s="196"/>
      <c r="CR736" s="196"/>
      <c r="CS736" s="196"/>
      <c r="CT736" s="196"/>
      <c r="CU736" s="196"/>
      <c r="CV736" s="194"/>
      <c r="CW736" s="194"/>
      <c r="CX736" s="194"/>
      <c r="CY736" s="194"/>
      <c r="CZ736" s="194"/>
      <c r="DA736" s="194"/>
      <c r="DB736" s="194"/>
      <c r="DC736" s="194"/>
      <c r="DD736" s="194"/>
      <c r="DE736" s="194"/>
      <c r="DF736" s="196"/>
      <c r="DG736" s="198"/>
      <c r="DH736" s="194"/>
      <c r="DI736" s="282"/>
      <c r="DJ736" s="282"/>
      <c r="DK736" s="282"/>
      <c r="DL736" s="282"/>
    </row>
    <row r="737" spans="1:116" s="24" customFormat="1" x14ac:dyDescent="0.3">
      <c r="A737" s="172"/>
      <c r="B737" s="172"/>
      <c r="C737" s="172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2"/>
      <c r="AT737" s="172"/>
      <c r="AU737" s="172"/>
      <c r="AV737" s="172"/>
      <c r="AW737" s="172"/>
      <c r="AX737" s="172"/>
      <c r="AY737" s="172"/>
      <c r="AZ737" s="172"/>
      <c r="BA737" s="172"/>
      <c r="BB737" s="172"/>
      <c r="BC737" s="172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  <c r="BT737" s="172"/>
      <c r="BU737" s="172"/>
      <c r="BV737" s="172"/>
      <c r="BW737" s="172"/>
      <c r="BX737" s="172"/>
      <c r="BY737" s="174"/>
      <c r="BZ737" s="172"/>
      <c r="CA737" s="172"/>
      <c r="CD737" s="194"/>
      <c r="CE737" s="194"/>
      <c r="CF737" s="194"/>
      <c r="CG737" s="194"/>
      <c r="CH737" s="195"/>
      <c r="CI737" s="194"/>
      <c r="CJ737" s="194"/>
      <c r="CK737" s="194"/>
      <c r="CL737" s="196"/>
      <c r="CM737" s="196"/>
      <c r="CN737" s="194"/>
      <c r="CO737" s="197"/>
      <c r="CP737" s="196"/>
      <c r="CQ737" s="196"/>
      <c r="CR737" s="196"/>
      <c r="CS737" s="196"/>
      <c r="CT737" s="196"/>
      <c r="CU737" s="196"/>
      <c r="CV737" s="194"/>
      <c r="CW737" s="194"/>
      <c r="CX737" s="194"/>
      <c r="CY737" s="194"/>
      <c r="CZ737" s="194"/>
      <c r="DA737" s="194"/>
      <c r="DB737" s="194"/>
      <c r="DC737" s="194"/>
      <c r="DD737" s="194"/>
      <c r="DE737" s="194"/>
      <c r="DF737" s="196"/>
      <c r="DG737" s="198"/>
      <c r="DH737" s="194"/>
      <c r="DI737" s="282"/>
      <c r="DJ737" s="282"/>
      <c r="DK737" s="282"/>
      <c r="DL737" s="282"/>
    </row>
    <row r="738" spans="1:116" s="24" customFormat="1" x14ac:dyDescent="0.3">
      <c r="A738" s="172"/>
      <c r="B738" s="172"/>
      <c r="C738" s="172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  <c r="BT738" s="172"/>
      <c r="BU738" s="172"/>
      <c r="BV738" s="172"/>
      <c r="BW738" s="172"/>
      <c r="BX738" s="172"/>
      <c r="BY738" s="174"/>
      <c r="BZ738" s="172"/>
      <c r="CA738" s="172"/>
      <c r="CD738" s="194"/>
      <c r="CE738" s="194"/>
      <c r="CF738" s="194"/>
      <c r="CG738" s="194"/>
      <c r="CH738" s="195"/>
      <c r="CI738" s="194"/>
      <c r="CJ738" s="194"/>
      <c r="CK738" s="194"/>
      <c r="CL738" s="196"/>
      <c r="CM738" s="196"/>
      <c r="CN738" s="194"/>
      <c r="CO738" s="197"/>
      <c r="CP738" s="196"/>
      <c r="CQ738" s="196"/>
      <c r="CR738" s="196"/>
      <c r="CS738" s="196"/>
      <c r="CT738" s="196"/>
      <c r="CU738" s="196"/>
      <c r="CV738" s="194"/>
      <c r="CW738" s="194"/>
      <c r="CX738" s="194"/>
      <c r="CY738" s="194"/>
      <c r="CZ738" s="194"/>
      <c r="DA738" s="194"/>
      <c r="DB738" s="194"/>
      <c r="DC738" s="194"/>
      <c r="DD738" s="194"/>
      <c r="DE738" s="194"/>
      <c r="DF738" s="196"/>
      <c r="DG738" s="198"/>
      <c r="DH738" s="194"/>
      <c r="DI738" s="282"/>
      <c r="DJ738" s="282"/>
      <c r="DK738" s="282"/>
      <c r="DL738" s="282"/>
    </row>
    <row r="739" spans="1:116" s="24" customFormat="1" x14ac:dyDescent="0.3">
      <c r="A739" s="172"/>
      <c r="B739" s="172"/>
      <c r="C739" s="172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2"/>
      <c r="AT739" s="172"/>
      <c r="AU739" s="172"/>
      <c r="AV739" s="172"/>
      <c r="AW739" s="172"/>
      <c r="AX739" s="172"/>
      <c r="AY739" s="172"/>
      <c r="AZ739" s="172"/>
      <c r="BA739" s="172"/>
      <c r="BB739" s="172"/>
      <c r="BC739" s="172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  <c r="BT739" s="172"/>
      <c r="BU739" s="172"/>
      <c r="BV739" s="172"/>
      <c r="BW739" s="172"/>
      <c r="BX739" s="172"/>
      <c r="BY739" s="174"/>
      <c r="BZ739" s="172"/>
      <c r="CA739" s="172"/>
      <c r="CD739" s="194"/>
      <c r="CE739" s="194"/>
      <c r="CF739" s="194"/>
      <c r="CG739" s="194"/>
      <c r="CH739" s="195"/>
      <c r="CI739" s="194"/>
      <c r="CJ739" s="194"/>
      <c r="CK739" s="194"/>
      <c r="CL739" s="196"/>
      <c r="CM739" s="196"/>
      <c r="CN739" s="194"/>
      <c r="CO739" s="197"/>
      <c r="CP739" s="196"/>
      <c r="CQ739" s="196"/>
      <c r="CR739" s="196"/>
      <c r="CS739" s="196"/>
      <c r="CT739" s="196"/>
      <c r="CU739" s="196"/>
      <c r="CV739" s="194"/>
      <c r="CW739" s="194"/>
      <c r="CX739" s="194"/>
      <c r="CY739" s="194"/>
      <c r="CZ739" s="194"/>
      <c r="DA739" s="194"/>
      <c r="DB739" s="194"/>
      <c r="DC739" s="194"/>
      <c r="DD739" s="194"/>
      <c r="DE739" s="194"/>
      <c r="DF739" s="196"/>
      <c r="DG739" s="198"/>
      <c r="DH739" s="194"/>
      <c r="DI739" s="282"/>
      <c r="DJ739" s="282"/>
      <c r="DK739" s="282"/>
      <c r="DL739" s="282"/>
    </row>
    <row r="740" spans="1:116" s="24" customFormat="1" x14ac:dyDescent="0.3">
      <c r="A740" s="172"/>
      <c r="B740" s="172"/>
      <c r="C740" s="172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2"/>
      <c r="AT740" s="172"/>
      <c r="AU740" s="172"/>
      <c r="AV740" s="172"/>
      <c r="AW740" s="172"/>
      <c r="AX740" s="172"/>
      <c r="AY740" s="172"/>
      <c r="AZ740" s="172"/>
      <c r="BA740" s="172"/>
      <c r="BB740" s="172"/>
      <c r="BC740" s="172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  <c r="BT740" s="172"/>
      <c r="BU740" s="172"/>
      <c r="BV740" s="172"/>
      <c r="BW740" s="172"/>
      <c r="BX740" s="172"/>
      <c r="BY740" s="174"/>
      <c r="BZ740" s="172"/>
      <c r="CA740" s="172"/>
      <c r="CD740" s="194"/>
      <c r="CE740" s="194"/>
      <c r="CF740" s="194"/>
      <c r="CG740" s="194"/>
      <c r="CH740" s="195"/>
      <c r="CI740" s="194"/>
      <c r="CJ740" s="194"/>
      <c r="CK740" s="194"/>
      <c r="CL740" s="196"/>
      <c r="CM740" s="196"/>
      <c r="CN740" s="194"/>
      <c r="CO740" s="197"/>
      <c r="CP740" s="196"/>
      <c r="CQ740" s="196"/>
      <c r="CR740" s="196"/>
      <c r="CS740" s="196"/>
      <c r="CT740" s="196"/>
      <c r="CU740" s="196"/>
      <c r="CV740" s="194"/>
      <c r="CW740" s="194"/>
      <c r="CX740" s="194"/>
      <c r="CY740" s="194"/>
      <c r="CZ740" s="194"/>
      <c r="DA740" s="194"/>
      <c r="DB740" s="194"/>
      <c r="DC740" s="194"/>
      <c r="DD740" s="194"/>
      <c r="DE740" s="194"/>
      <c r="DF740" s="196"/>
      <c r="DG740" s="198"/>
      <c r="DH740" s="194"/>
      <c r="DI740" s="282"/>
      <c r="DJ740" s="282"/>
      <c r="DK740" s="282"/>
      <c r="DL740" s="282"/>
    </row>
    <row r="741" spans="1:116" s="24" customFormat="1" x14ac:dyDescent="0.3">
      <c r="A741" s="172"/>
      <c r="B741" s="172"/>
      <c r="C741" s="172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2"/>
      <c r="AT741" s="172"/>
      <c r="AU741" s="172"/>
      <c r="AV741" s="172"/>
      <c r="AW741" s="172"/>
      <c r="AX741" s="172"/>
      <c r="AY741" s="172"/>
      <c r="AZ741" s="172"/>
      <c r="BA741" s="172"/>
      <c r="BB741" s="172"/>
      <c r="BC741" s="172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  <c r="BT741" s="172"/>
      <c r="BU741" s="172"/>
      <c r="BV741" s="172"/>
      <c r="BW741" s="172"/>
      <c r="BX741" s="172"/>
      <c r="BY741" s="174"/>
      <c r="BZ741" s="172"/>
      <c r="CA741" s="172"/>
      <c r="CD741" s="194"/>
      <c r="CE741" s="194"/>
      <c r="CF741" s="194"/>
      <c r="CG741" s="194"/>
      <c r="CH741" s="195"/>
      <c r="CI741" s="194"/>
      <c r="CJ741" s="194"/>
      <c r="CK741" s="194"/>
      <c r="CL741" s="196"/>
      <c r="CM741" s="196"/>
      <c r="CN741" s="194"/>
      <c r="CO741" s="197"/>
      <c r="CP741" s="196"/>
      <c r="CQ741" s="196"/>
      <c r="CR741" s="196"/>
      <c r="CS741" s="196"/>
      <c r="CT741" s="196"/>
      <c r="CU741" s="196"/>
      <c r="CV741" s="194"/>
      <c r="CW741" s="194"/>
      <c r="CX741" s="194"/>
      <c r="CY741" s="194"/>
      <c r="CZ741" s="194"/>
      <c r="DA741" s="194"/>
      <c r="DB741" s="194"/>
      <c r="DC741" s="194"/>
      <c r="DD741" s="194"/>
      <c r="DE741" s="194"/>
      <c r="DF741" s="196"/>
      <c r="DG741" s="198"/>
      <c r="DH741" s="194"/>
      <c r="DI741" s="282"/>
      <c r="DJ741" s="282"/>
      <c r="DK741" s="282"/>
      <c r="DL741" s="282"/>
    </row>
    <row r="742" spans="1:116" s="24" customFormat="1" x14ac:dyDescent="0.3">
      <c r="A742" s="172"/>
      <c r="B742" s="172"/>
      <c r="C742" s="172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2"/>
      <c r="AT742" s="172"/>
      <c r="AU742" s="172"/>
      <c r="AV742" s="172"/>
      <c r="AW742" s="172"/>
      <c r="AX742" s="172"/>
      <c r="AY742" s="172"/>
      <c r="AZ742" s="172"/>
      <c r="BA742" s="172"/>
      <c r="BB742" s="172"/>
      <c r="BC742" s="172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  <c r="BT742" s="172"/>
      <c r="BU742" s="172"/>
      <c r="BV742" s="172"/>
      <c r="BW742" s="172"/>
      <c r="BX742" s="172"/>
      <c r="BY742" s="174"/>
      <c r="BZ742" s="172"/>
      <c r="CA742" s="172"/>
      <c r="CD742" s="194"/>
      <c r="CE742" s="194"/>
      <c r="CF742" s="194"/>
      <c r="CG742" s="194"/>
      <c r="CH742" s="195"/>
      <c r="CI742" s="194"/>
      <c r="CJ742" s="194"/>
      <c r="CK742" s="194"/>
      <c r="CL742" s="196"/>
      <c r="CM742" s="196"/>
      <c r="CN742" s="194"/>
      <c r="CO742" s="197"/>
      <c r="CP742" s="196"/>
      <c r="CQ742" s="196"/>
      <c r="CR742" s="196"/>
      <c r="CS742" s="196"/>
      <c r="CT742" s="196"/>
      <c r="CU742" s="196"/>
      <c r="CV742" s="194"/>
      <c r="CW742" s="194"/>
      <c r="CX742" s="194"/>
      <c r="CY742" s="194"/>
      <c r="CZ742" s="194"/>
      <c r="DA742" s="194"/>
      <c r="DB742" s="194"/>
      <c r="DC742" s="194"/>
      <c r="DD742" s="194"/>
      <c r="DE742" s="194"/>
      <c r="DF742" s="196"/>
      <c r="DG742" s="198"/>
      <c r="DH742" s="194"/>
      <c r="DI742" s="282"/>
      <c r="DJ742" s="282"/>
      <c r="DK742" s="282"/>
      <c r="DL742" s="282"/>
    </row>
    <row r="743" spans="1:116" s="24" customFormat="1" x14ac:dyDescent="0.3">
      <c r="A743" s="172"/>
      <c r="B743" s="172"/>
      <c r="C743" s="172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2"/>
      <c r="AT743" s="172"/>
      <c r="AU743" s="172"/>
      <c r="AV743" s="172"/>
      <c r="AW743" s="172"/>
      <c r="AX743" s="172"/>
      <c r="AY743" s="172"/>
      <c r="AZ743" s="172"/>
      <c r="BA743" s="172"/>
      <c r="BB743" s="172"/>
      <c r="BC743" s="172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  <c r="BT743" s="172"/>
      <c r="BU743" s="172"/>
      <c r="BV743" s="172"/>
      <c r="BW743" s="172"/>
      <c r="BX743" s="172"/>
      <c r="BY743" s="174"/>
      <c r="BZ743" s="172"/>
      <c r="CA743" s="172"/>
      <c r="CD743" s="194"/>
      <c r="CE743" s="194"/>
      <c r="CF743" s="194"/>
      <c r="CG743" s="194"/>
      <c r="CH743" s="195"/>
      <c r="CI743" s="194"/>
      <c r="CJ743" s="194"/>
      <c r="CK743" s="194"/>
      <c r="CL743" s="196"/>
      <c r="CM743" s="196"/>
      <c r="CN743" s="194"/>
      <c r="CO743" s="197"/>
      <c r="CP743" s="196"/>
      <c r="CQ743" s="196"/>
      <c r="CR743" s="196"/>
      <c r="CS743" s="196"/>
      <c r="CT743" s="196"/>
      <c r="CU743" s="196"/>
      <c r="CV743" s="194"/>
      <c r="CW743" s="194"/>
      <c r="CX743" s="194"/>
      <c r="CY743" s="194"/>
      <c r="CZ743" s="194"/>
      <c r="DA743" s="194"/>
      <c r="DB743" s="194"/>
      <c r="DC743" s="194"/>
      <c r="DD743" s="194"/>
      <c r="DE743" s="194"/>
      <c r="DF743" s="196"/>
      <c r="DG743" s="198"/>
      <c r="DH743" s="194"/>
      <c r="DI743" s="282"/>
      <c r="DJ743" s="282"/>
      <c r="DK743" s="282"/>
      <c r="DL743" s="282"/>
    </row>
    <row r="744" spans="1:116" s="24" customFormat="1" x14ac:dyDescent="0.3">
      <c r="A744" s="172"/>
      <c r="B744" s="172"/>
      <c r="C744" s="172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2"/>
      <c r="AT744" s="172"/>
      <c r="AU744" s="172"/>
      <c r="AV744" s="172"/>
      <c r="AW744" s="172"/>
      <c r="AX744" s="172"/>
      <c r="AY744" s="172"/>
      <c r="AZ744" s="172"/>
      <c r="BA744" s="172"/>
      <c r="BB744" s="172"/>
      <c r="BC744" s="172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  <c r="BT744" s="172"/>
      <c r="BU744" s="172"/>
      <c r="BV744" s="172"/>
      <c r="BW744" s="172"/>
      <c r="BX744" s="172"/>
      <c r="BY744" s="174"/>
      <c r="BZ744" s="172"/>
      <c r="CA744" s="172"/>
      <c r="CD744" s="194"/>
      <c r="CE744" s="194"/>
      <c r="CF744" s="194"/>
      <c r="CG744" s="194"/>
      <c r="CH744" s="195"/>
      <c r="CI744" s="194"/>
      <c r="CJ744" s="194"/>
      <c r="CK744" s="194"/>
      <c r="CL744" s="196"/>
      <c r="CM744" s="196"/>
      <c r="CN744" s="194"/>
      <c r="CO744" s="197"/>
      <c r="CP744" s="196"/>
      <c r="CQ744" s="196"/>
      <c r="CR744" s="196"/>
      <c r="CS744" s="196"/>
      <c r="CT744" s="196"/>
      <c r="CU744" s="196"/>
      <c r="CV744" s="194"/>
      <c r="CW744" s="194"/>
      <c r="CX744" s="194"/>
      <c r="CY744" s="194"/>
      <c r="CZ744" s="194"/>
      <c r="DA744" s="194"/>
      <c r="DB744" s="194"/>
      <c r="DC744" s="194"/>
      <c r="DD744" s="194"/>
      <c r="DE744" s="194"/>
      <c r="DF744" s="196"/>
      <c r="DG744" s="198"/>
      <c r="DH744" s="194"/>
      <c r="DI744" s="282"/>
      <c r="DJ744" s="282"/>
      <c r="DK744" s="282"/>
      <c r="DL744" s="282"/>
    </row>
    <row r="745" spans="1:116" s="24" customFormat="1" x14ac:dyDescent="0.3">
      <c r="A745" s="172"/>
      <c r="B745" s="172"/>
      <c r="C745" s="172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2"/>
      <c r="AT745" s="172"/>
      <c r="AU745" s="172"/>
      <c r="AV745" s="172"/>
      <c r="AW745" s="172"/>
      <c r="AX745" s="172"/>
      <c r="AY745" s="172"/>
      <c r="AZ745" s="172"/>
      <c r="BA745" s="172"/>
      <c r="BB745" s="172"/>
      <c r="BC745" s="172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  <c r="BT745" s="172"/>
      <c r="BU745" s="172"/>
      <c r="BV745" s="172"/>
      <c r="BW745" s="172"/>
      <c r="BX745" s="172"/>
      <c r="BY745" s="174"/>
      <c r="BZ745" s="172"/>
      <c r="CA745" s="172"/>
      <c r="CD745" s="194"/>
      <c r="CE745" s="194"/>
      <c r="CF745" s="194"/>
      <c r="CG745" s="194"/>
      <c r="CH745" s="195"/>
      <c r="CI745" s="194"/>
      <c r="CJ745" s="194"/>
      <c r="CK745" s="194"/>
      <c r="CL745" s="196"/>
      <c r="CM745" s="196"/>
      <c r="CN745" s="194"/>
      <c r="CO745" s="197"/>
      <c r="CP745" s="196"/>
      <c r="CQ745" s="196"/>
      <c r="CR745" s="196"/>
      <c r="CS745" s="196"/>
      <c r="CT745" s="196"/>
      <c r="CU745" s="196"/>
      <c r="CV745" s="194"/>
      <c r="CW745" s="194"/>
      <c r="CX745" s="194"/>
      <c r="CY745" s="194"/>
      <c r="CZ745" s="194"/>
      <c r="DA745" s="194"/>
      <c r="DB745" s="194"/>
      <c r="DC745" s="194"/>
      <c r="DD745" s="194"/>
      <c r="DE745" s="194"/>
      <c r="DF745" s="196"/>
      <c r="DG745" s="198"/>
      <c r="DH745" s="194"/>
      <c r="DI745" s="282"/>
      <c r="DJ745" s="282"/>
      <c r="DK745" s="282"/>
      <c r="DL745" s="282"/>
    </row>
    <row r="746" spans="1:116" s="24" customFormat="1" x14ac:dyDescent="0.3">
      <c r="A746" s="172"/>
      <c r="B746" s="172"/>
      <c r="C746" s="172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2"/>
      <c r="AT746" s="172"/>
      <c r="AU746" s="172"/>
      <c r="AV746" s="172"/>
      <c r="AW746" s="172"/>
      <c r="AX746" s="172"/>
      <c r="AY746" s="172"/>
      <c r="AZ746" s="172"/>
      <c r="BA746" s="172"/>
      <c r="BB746" s="172"/>
      <c r="BC746" s="172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  <c r="BT746" s="172"/>
      <c r="BU746" s="172"/>
      <c r="BV746" s="172"/>
      <c r="BW746" s="172"/>
      <c r="BX746" s="172"/>
      <c r="BY746" s="174"/>
      <c r="BZ746" s="172"/>
      <c r="CA746" s="172"/>
      <c r="CD746" s="194"/>
      <c r="CE746" s="194"/>
      <c r="CF746" s="194"/>
      <c r="CG746" s="194"/>
      <c r="CH746" s="195"/>
      <c r="CI746" s="194"/>
      <c r="CJ746" s="194"/>
      <c r="CK746" s="194"/>
      <c r="CL746" s="196"/>
      <c r="CM746" s="196"/>
      <c r="CN746" s="194"/>
      <c r="CO746" s="197"/>
      <c r="CP746" s="196"/>
      <c r="CQ746" s="196"/>
      <c r="CR746" s="196"/>
      <c r="CS746" s="196"/>
      <c r="CT746" s="196"/>
      <c r="CU746" s="196"/>
      <c r="CV746" s="194"/>
      <c r="CW746" s="194"/>
      <c r="CX746" s="194"/>
      <c r="CY746" s="194"/>
      <c r="CZ746" s="194"/>
      <c r="DA746" s="194"/>
      <c r="DB746" s="194"/>
      <c r="DC746" s="194"/>
      <c r="DD746" s="194"/>
      <c r="DE746" s="194"/>
      <c r="DF746" s="196"/>
      <c r="DG746" s="198"/>
      <c r="DH746" s="194"/>
      <c r="DI746" s="282"/>
      <c r="DJ746" s="282"/>
      <c r="DK746" s="282"/>
      <c r="DL746" s="282"/>
    </row>
    <row r="747" spans="1:116" s="24" customFormat="1" x14ac:dyDescent="0.3">
      <c r="A747" s="172"/>
      <c r="B747" s="172"/>
      <c r="C747" s="172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2"/>
      <c r="AT747" s="172"/>
      <c r="AU747" s="172"/>
      <c r="AV747" s="172"/>
      <c r="AW747" s="172"/>
      <c r="AX747" s="172"/>
      <c r="AY747" s="172"/>
      <c r="AZ747" s="172"/>
      <c r="BA747" s="172"/>
      <c r="BB747" s="172"/>
      <c r="BC747" s="172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  <c r="BT747" s="172"/>
      <c r="BU747" s="172"/>
      <c r="BV747" s="172"/>
      <c r="BW747" s="172"/>
      <c r="BX747" s="172"/>
      <c r="BY747" s="174"/>
      <c r="BZ747" s="172"/>
      <c r="CA747" s="172"/>
      <c r="CD747" s="194"/>
      <c r="CE747" s="194"/>
      <c r="CF747" s="194"/>
      <c r="CG747" s="194"/>
      <c r="CH747" s="195"/>
      <c r="CI747" s="194"/>
      <c r="CJ747" s="194"/>
      <c r="CK747" s="194"/>
      <c r="CL747" s="196"/>
      <c r="CM747" s="196"/>
      <c r="CN747" s="194"/>
      <c r="CO747" s="197"/>
      <c r="CP747" s="196"/>
      <c r="CQ747" s="196"/>
      <c r="CR747" s="196"/>
      <c r="CS747" s="196"/>
      <c r="CT747" s="196"/>
      <c r="CU747" s="196"/>
      <c r="CV747" s="194"/>
      <c r="CW747" s="194"/>
      <c r="CX747" s="194"/>
      <c r="CY747" s="194"/>
      <c r="CZ747" s="194"/>
      <c r="DA747" s="194"/>
      <c r="DB747" s="194"/>
      <c r="DC747" s="194"/>
      <c r="DD747" s="194"/>
      <c r="DE747" s="194"/>
      <c r="DF747" s="196"/>
      <c r="DG747" s="198"/>
      <c r="DH747" s="194"/>
      <c r="DI747" s="282"/>
      <c r="DJ747" s="282"/>
      <c r="DK747" s="282"/>
      <c r="DL747" s="282"/>
    </row>
    <row r="748" spans="1:116" s="24" customFormat="1" x14ac:dyDescent="0.3">
      <c r="A748" s="172"/>
      <c r="B748" s="172"/>
      <c r="C748" s="172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2"/>
      <c r="AT748" s="172"/>
      <c r="AU748" s="172"/>
      <c r="AV748" s="172"/>
      <c r="AW748" s="172"/>
      <c r="AX748" s="172"/>
      <c r="AY748" s="172"/>
      <c r="AZ748" s="172"/>
      <c r="BA748" s="172"/>
      <c r="BB748" s="172"/>
      <c r="BC748" s="172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  <c r="BT748" s="172"/>
      <c r="BU748" s="172"/>
      <c r="BV748" s="172"/>
      <c r="BW748" s="172"/>
      <c r="BX748" s="172"/>
      <c r="BY748" s="174"/>
      <c r="BZ748" s="172"/>
      <c r="CA748" s="172"/>
      <c r="CD748" s="194"/>
      <c r="CE748" s="194"/>
      <c r="CF748" s="194"/>
      <c r="CG748" s="194"/>
      <c r="CH748" s="195"/>
      <c r="CI748" s="194"/>
      <c r="CJ748" s="194"/>
      <c r="CK748" s="194"/>
      <c r="CL748" s="196"/>
      <c r="CM748" s="196"/>
      <c r="CN748" s="194"/>
      <c r="CO748" s="197"/>
      <c r="CP748" s="196"/>
      <c r="CQ748" s="196"/>
      <c r="CR748" s="196"/>
      <c r="CS748" s="196"/>
      <c r="CT748" s="196"/>
      <c r="CU748" s="196"/>
      <c r="CV748" s="194"/>
      <c r="CW748" s="194"/>
      <c r="CX748" s="194"/>
      <c r="CY748" s="194"/>
      <c r="CZ748" s="194"/>
      <c r="DA748" s="194"/>
      <c r="DB748" s="194"/>
      <c r="DC748" s="194"/>
      <c r="DD748" s="194"/>
      <c r="DE748" s="194"/>
      <c r="DF748" s="196"/>
      <c r="DG748" s="198"/>
      <c r="DH748" s="194"/>
      <c r="DI748" s="282"/>
      <c r="DJ748" s="282"/>
      <c r="DK748" s="282"/>
      <c r="DL748" s="282"/>
    </row>
    <row r="749" spans="1:116" s="24" customFormat="1" x14ac:dyDescent="0.3">
      <c r="A749" s="172"/>
      <c r="B749" s="172"/>
      <c r="C749" s="172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2"/>
      <c r="AT749" s="172"/>
      <c r="AU749" s="172"/>
      <c r="AV749" s="172"/>
      <c r="AW749" s="172"/>
      <c r="AX749" s="172"/>
      <c r="AY749" s="172"/>
      <c r="AZ749" s="172"/>
      <c r="BA749" s="172"/>
      <c r="BB749" s="172"/>
      <c r="BC749" s="172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  <c r="BT749" s="172"/>
      <c r="BU749" s="172"/>
      <c r="BV749" s="172"/>
      <c r="BW749" s="172"/>
      <c r="BX749" s="172"/>
      <c r="BY749" s="174"/>
      <c r="BZ749" s="172"/>
      <c r="CA749" s="172"/>
      <c r="CD749" s="194"/>
      <c r="CE749" s="194"/>
      <c r="CF749" s="194"/>
      <c r="CG749" s="194"/>
      <c r="CH749" s="195"/>
      <c r="CI749" s="194"/>
      <c r="CJ749" s="194"/>
      <c r="CK749" s="194"/>
      <c r="CL749" s="196"/>
      <c r="CM749" s="196"/>
      <c r="CN749" s="194"/>
      <c r="CO749" s="197"/>
      <c r="CP749" s="196"/>
      <c r="CQ749" s="196"/>
      <c r="CR749" s="196"/>
      <c r="CS749" s="196"/>
      <c r="CT749" s="196"/>
      <c r="CU749" s="196"/>
      <c r="CV749" s="194"/>
      <c r="CW749" s="194"/>
      <c r="CX749" s="194"/>
      <c r="CY749" s="194"/>
      <c r="CZ749" s="194"/>
      <c r="DA749" s="194"/>
      <c r="DB749" s="194"/>
      <c r="DC749" s="194"/>
      <c r="DD749" s="194"/>
      <c r="DE749" s="194"/>
      <c r="DF749" s="196"/>
      <c r="DG749" s="198"/>
      <c r="DH749" s="194"/>
      <c r="DI749" s="282"/>
      <c r="DJ749" s="282"/>
      <c r="DK749" s="282"/>
      <c r="DL749" s="282"/>
    </row>
    <row r="750" spans="1:116" s="24" customFormat="1" x14ac:dyDescent="0.3">
      <c r="A750" s="172"/>
      <c r="B750" s="172"/>
      <c r="C750" s="172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2"/>
      <c r="AT750" s="172"/>
      <c r="AU750" s="172"/>
      <c r="AV750" s="172"/>
      <c r="AW750" s="172"/>
      <c r="AX750" s="172"/>
      <c r="AY750" s="172"/>
      <c r="AZ750" s="172"/>
      <c r="BA750" s="172"/>
      <c r="BB750" s="172"/>
      <c r="BC750" s="172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  <c r="BT750" s="172"/>
      <c r="BU750" s="172"/>
      <c r="BV750" s="172"/>
      <c r="BW750" s="172"/>
      <c r="BX750" s="172"/>
      <c r="BY750" s="174"/>
      <c r="BZ750" s="172"/>
      <c r="CA750" s="172"/>
      <c r="CD750" s="194"/>
      <c r="CE750" s="194"/>
      <c r="CF750" s="194"/>
      <c r="CG750" s="194"/>
      <c r="CH750" s="195"/>
      <c r="CI750" s="194"/>
      <c r="CJ750" s="194"/>
      <c r="CK750" s="194"/>
      <c r="CL750" s="196"/>
      <c r="CM750" s="196"/>
      <c r="CN750" s="194"/>
      <c r="CO750" s="197"/>
      <c r="CP750" s="196"/>
      <c r="CQ750" s="196"/>
      <c r="CR750" s="196"/>
      <c r="CS750" s="196"/>
      <c r="CT750" s="196"/>
      <c r="CU750" s="196"/>
      <c r="CV750" s="194"/>
      <c r="CW750" s="194"/>
      <c r="CX750" s="194"/>
      <c r="CY750" s="194"/>
      <c r="CZ750" s="194"/>
      <c r="DA750" s="194"/>
      <c r="DB750" s="194"/>
      <c r="DC750" s="194"/>
      <c r="DD750" s="194"/>
      <c r="DE750" s="194"/>
      <c r="DF750" s="196"/>
      <c r="DG750" s="198"/>
      <c r="DH750" s="194"/>
      <c r="DI750" s="282"/>
      <c r="DJ750" s="282"/>
      <c r="DK750" s="282"/>
      <c r="DL750" s="282"/>
    </row>
    <row r="751" spans="1:116" s="24" customFormat="1" x14ac:dyDescent="0.3">
      <c r="A751" s="172"/>
      <c r="B751" s="172"/>
      <c r="C751" s="172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2"/>
      <c r="AT751" s="172"/>
      <c r="AU751" s="172"/>
      <c r="AV751" s="172"/>
      <c r="AW751" s="172"/>
      <c r="AX751" s="172"/>
      <c r="AY751" s="172"/>
      <c r="AZ751" s="172"/>
      <c r="BA751" s="172"/>
      <c r="BB751" s="172"/>
      <c r="BC751" s="172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  <c r="BT751" s="172"/>
      <c r="BU751" s="172"/>
      <c r="BV751" s="172"/>
      <c r="BW751" s="172"/>
      <c r="BX751" s="172"/>
      <c r="BY751" s="174"/>
      <c r="BZ751" s="172"/>
      <c r="CA751" s="172"/>
      <c r="CD751" s="194"/>
      <c r="CE751" s="194"/>
      <c r="CF751" s="194"/>
      <c r="CG751" s="194"/>
      <c r="CH751" s="195"/>
      <c r="CI751" s="194"/>
      <c r="CJ751" s="194"/>
      <c r="CK751" s="194"/>
      <c r="CL751" s="196"/>
      <c r="CM751" s="196"/>
      <c r="CN751" s="194"/>
      <c r="CO751" s="197"/>
      <c r="CP751" s="196"/>
      <c r="CQ751" s="196"/>
      <c r="CR751" s="196"/>
      <c r="CS751" s="196"/>
      <c r="CT751" s="196"/>
      <c r="CU751" s="196"/>
      <c r="CV751" s="194"/>
      <c r="CW751" s="194"/>
      <c r="CX751" s="194"/>
      <c r="CY751" s="194"/>
      <c r="CZ751" s="194"/>
      <c r="DA751" s="194"/>
      <c r="DB751" s="194"/>
      <c r="DC751" s="194"/>
      <c r="DD751" s="194"/>
      <c r="DE751" s="194"/>
      <c r="DF751" s="196"/>
      <c r="DG751" s="198"/>
      <c r="DH751" s="194"/>
      <c r="DI751" s="282"/>
      <c r="DJ751" s="282"/>
      <c r="DK751" s="282"/>
      <c r="DL751" s="282"/>
    </row>
    <row r="752" spans="1:116" s="24" customFormat="1" x14ac:dyDescent="0.3">
      <c r="A752" s="172"/>
      <c r="B752" s="172"/>
      <c r="C752" s="172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2"/>
      <c r="AT752" s="172"/>
      <c r="AU752" s="172"/>
      <c r="AV752" s="172"/>
      <c r="AW752" s="172"/>
      <c r="AX752" s="172"/>
      <c r="AY752" s="172"/>
      <c r="AZ752" s="172"/>
      <c r="BA752" s="172"/>
      <c r="BB752" s="172"/>
      <c r="BC752" s="172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  <c r="BT752" s="172"/>
      <c r="BU752" s="172"/>
      <c r="BV752" s="172"/>
      <c r="BW752" s="172"/>
      <c r="BX752" s="172"/>
      <c r="BY752" s="174"/>
      <c r="BZ752" s="172"/>
      <c r="CA752" s="172"/>
      <c r="CD752" s="194"/>
      <c r="CE752" s="194"/>
      <c r="CF752" s="194"/>
      <c r="CG752" s="194"/>
      <c r="CH752" s="195"/>
      <c r="CI752" s="194"/>
      <c r="CJ752" s="194"/>
      <c r="CK752" s="194"/>
      <c r="CL752" s="196"/>
      <c r="CM752" s="196"/>
      <c r="CN752" s="194"/>
      <c r="CO752" s="197"/>
      <c r="CP752" s="196"/>
      <c r="CQ752" s="196"/>
      <c r="CR752" s="196"/>
      <c r="CS752" s="196"/>
      <c r="CT752" s="196"/>
      <c r="CU752" s="196"/>
      <c r="CV752" s="194"/>
      <c r="CW752" s="194"/>
      <c r="CX752" s="194"/>
      <c r="CY752" s="194"/>
      <c r="CZ752" s="194"/>
      <c r="DA752" s="194"/>
      <c r="DB752" s="194"/>
      <c r="DC752" s="194"/>
      <c r="DD752" s="194"/>
      <c r="DE752" s="194"/>
      <c r="DF752" s="196"/>
      <c r="DG752" s="198"/>
      <c r="DH752" s="194"/>
      <c r="DI752" s="282"/>
      <c r="DJ752" s="282"/>
      <c r="DK752" s="282"/>
      <c r="DL752" s="282"/>
    </row>
    <row r="753" spans="1:116" s="24" customFormat="1" x14ac:dyDescent="0.3">
      <c r="A753" s="172"/>
      <c r="B753" s="172"/>
      <c r="C753" s="172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2"/>
      <c r="AT753" s="172"/>
      <c r="AU753" s="172"/>
      <c r="AV753" s="172"/>
      <c r="AW753" s="172"/>
      <c r="AX753" s="172"/>
      <c r="AY753" s="172"/>
      <c r="AZ753" s="172"/>
      <c r="BA753" s="172"/>
      <c r="BB753" s="172"/>
      <c r="BC753" s="172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  <c r="BT753" s="172"/>
      <c r="BU753" s="172"/>
      <c r="BV753" s="172"/>
      <c r="BW753" s="172"/>
      <c r="BX753" s="172"/>
      <c r="BY753" s="174"/>
      <c r="BZ753" s="172"/>
      <c r="CA753" s="172"/>
      <c r="CD753" s="194"/>
      <c r="CE753" s="194"/>
      <c r="CF753" s="194"/>
      <c r="CG753" s="194"/>
      <c r="CH753" s="195"/>
      <c r="CI753" s="194"/>
      <c r="CJ753" s="194"/>
      <c r="CK753" s="194"/>
      <c r="CL753" s="196"/>
      <c r="CM753" s="196"/>
      <c r="CN753" s="194"/>
      <c r="CO753" s="197"/>
      <c r="CP753" s="196"/>
      <c r="CQ753" s="196"/>
      <c r="CR753" s="196"/>
      <c r="CS753" s="196"/>
      <c r="CT753" s="196"/>
      <c r="CU753" s="196"/>
      <c r="CV753" s="194"/>
      <c r="CW753" s="194"/>
      <c r="CX753" s="194"/>
      <c r="CY753" s="194"/>
      <c r="CZ753" s="194"/>
      <c r="DA753" s="194"/>
      <c r="DB753" s="194"/>
      <c r="DC753" s="194"/>
      <c r="DD753" s="194"/>
      <c r="DE753" s="194"/>
      <c r="DF753" s="196"/>
      <c r="DG753" s="198"/>
      <c r="DH753" s="194"/>
      <c r="DI753" s="282"/>
      <c r="DJ753" s="282"/>
      <c r="DK753" s="282"/>
      <c r="DL753" s="282"/>
    </row>
    <row r="754" spans="1:116" s="24" customFormat="1" x14ac:dyDescent="0.3">
      <c r="A754" s="172"/>
      <c r="B754" s="172"/>
      <c r="C754" s="172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2"/>
      <c r="AT754" s="172"/>
      <c r="AU754" s="172"/>
      <c r="AV754" s="172"/>
      <c r="AW754" s="172"/>
      <c r="AX754" s="172"/>
      <c r="AY754" s="172"/>
      <c r="AZ754" s="172"/>
      <c r="BA754" s="172"/>
      <c r="BB754" s="172"/>
      <c r="BC754" s="172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  <c r="BT754" s="172"/>
      <c r="BU754" s="172"/>
      <c r="BV754" s="172"/>
      <c r="BW754" s="172"/>
      <c r="BX754" s="172"/>
      <c r="BY754" s="174"/>
      <c r="BZ754" s="172"/>
      <c r="CA754" s="172"/>
      <c r="CD754" s="194"/>
      <c r="CE754" s="194"/>
      <c r="CF754" s="194"/>
      <c r="CG754" s="194"/>
      <c r="CH754" s="195"/>
      <c r="CI754" s="194"/>
      <c r="CJ754" s="194"/>
      <c r="CK754" s="194"/>
      <c r="CL754" s="196"/>
      <c r="CM754" s="196"/>
      <c r="CN754" s="194"/>
      <c r="CO754" s="197"/>
      <c r="CP754" s="196"/>
      <c r="CQ754" s="196"/>
      <c r="CR754" s="196"/>
      <c r="CS754" s="196"/>
      <c r="CT754" s="196"/>
      <c r="CU754" s="196"/>
      <c r="CV754" s="194"/>
      <c r="CW754" s="194"/>
      <c r="CX754" s="194"/>
      <c r="CY754" s="194"/>
      <c r="CZ754" s="194"/>
      <c r="DA754" s="194"/>
      <c r="DB754" s="194"/>
      <c r="DC754" s="194"/>
      <c r="DD754" s="194"/>
      <c r="DE754" s="194"/>
      <c r="DF754" s="196"/>
      <c r="DG754" s="198"/>
      <c r="DH754" s="194"/>
      <c r="DI754" s="282"/>
      <c r="DJ754" s="282"/>
      <c r="DK754" s="282"/>
      <c r="DL754" s="282"/>
    </row>
    <row r="755" spans="1:116" s="24" customFormat="1" x14ac:dyDescent="0.3">
      <c r="A755" s="172"/>
      <c r="B755" s="172"/>
      <c r="C755" s="172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2"/>
      <c r="AT755" s="172"/>
      <c r="AU755" s="172"/>
      <c r="AV755" s="172"/>
      <c r="AW755" s="172"/>
      <c r="AX755" s="172"/>
      <c r="AY755" s="172"/>
      <c r="AZ755" s="172"/>
      <c r="BA755" s="172"/>
      <c r="BB755" s="172"/>
      <c r="BC755" s="172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  <c r="BT755" s="172"/>
      <c r="BU755" s="172"/>
      <c r="BV755" s="172"/>
      <c r="BW755" s="172"/>
      <c r="BX755" s="172"/>
      <c r="BY755" s="174"/>
      <c r="BZ755" s="172"/>
      <c r="CA755" s="172"/>
      <c r="CD755" s="194"/>
      <c r="CE755" s="194"/>
      <c r="CF755" s="194"/>
      <c r="CG755" s="194"/>
      <c r="CH755" s="195"/>
      <c r="CI755" s="194"/>
      <c r="CJ755" s="194"/>
      <c r="CK755" s="194"/>
      <c r="CL755" s="196"/>
      <c r="CM755" s="196"/>
      <c r="CN755" s="194"/>
      <c r="CO755" s="197"/>
      <c r="CP755" s="196"/>
      <c r="CQ755" s="196"/>
      <c r="CR755" s="196"/>
      <c r="CS755" s="196"/>
      <c r="CT755" s="196"/>
      <c r="CU755" s="196"/>
      <c r="CV755" s="194"/>
      <c r="CW755" s="194"/>
      <c r="CX755" s="194"/>
      <c r="CY755" s="194"/>
      <c r="CZ755" s="194"/>
      <c r="DA755" s="194"/>
      <c r="DB755" s="194"/>
      <c r="DC755" s="194"/>
      <c r="DD755" s="194"/>
      <c r="DE755" s="194"/>
      <c r="DF755" s="196"/>
      <c r="DG755" s="198"/>
      <c r="DH755" s="194"/>
      <c r="DI755" s="282"/>
      <c r="DJ755" s="282"/>
      <c r="DK755" s="282"/>
      <c r="DL755" s="282"/>
    </row>
    <row r="756" spans="1:116" s="24" customFormat="1" x14ac:dyDescent="0.3">
      <c r="A756" s="172"/>
      <c r="B756" s="172"/>
      <c r="C756" s="172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2"/>
      <c r="AT756" s="172"/>
      <c r="AU756" s="172"/>
      <c r="AV756" s="172"/>
      <c r="AW756" s="172"/>
      <c r="AX756" s="172"/>
      <c r="AY756" s="172"/>
      <c r="AZ756" s="172"/>
      <c r="BA756" s="172"/>
      <c r="BB756" s="172"/>
      <c r="BC756" s="172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  <c r="BT756" s="172"/>
      <c r="BU756" s="172"/>
      <c r="BV756" s="172"/>
      <c r="BW756" s="172"/>
      <c r="BX756" s="172"/>
      <c r="BY756" s="174"/>
      <c r="BZ756" s="172"/>
      <c r="CA756" s="172"/>
      <c r="CD756" s="194"/>
      <c r="CE756" s="194"/>
      <c r="CF756" s="194"/>
      <c r="CG756" s="194"/>
      <c r="CH756" s="195"/>
      <c r="CI756" s="194"/>
      <c r="CJ756" s="194"/>
      <c r="CK756" s="194"/>
      <c r="CL756" s="196"/>
      <c r="CM756" s="196"/>
      <c r="CN756" s="194"/>
      <c r="CO756" s="197"/>
      <c r="CP756" s="196"/>
      <c r="CQ756" s="196"/>
      <c r="CR756" s="196"/>
      <c r="CS756" s="196"/>
      <c r="CT756" s="196"/>
      <c r="CU756" s="196"/>
      <c r="CV756" s="194"/>
      <c r="CW756" s="194"/>
      <c r="CX756" s="194"/>
      <c r="CY756" s="194"/>
      <c r="CZ756" s="194"/>
      <c r="DA756" s="194"/>
      <c r="DB756" s="194"/>
      <c r="DC756" s="194"/>
      <c r="DD756" s="194"/>
      <c r="DE756" s="194"/>
      <c r="DF756" s="196"/>
      <c r="DG756" s="198"/>
      <c r="DH756" s="194"/>
      <c r="DI756" s="282"/>
      <c r="DJ756" s="282"/>
      <c r="DK756" s="282"/>
      <c r="DL756" s="282"/>
    </row>
    <row r="757" spans="1:116" s="24" customFormat="1" x14ac:dyDescent="0.3">
      <c r="A757" s="172"/>
      <c r="B757" s="172"/>
      <c r="C757" s="172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2"/>
      <c r="AT757" s="172"/>
      <c r="AU757" s="172"/>
      <c r="AV757" s="172"/>
      <c r="AW757" s="172"/>
      <c r="AX757" s="172"/>
      <c r="AY757" s="172"/>
      <c r="AZ757" s="172"/>
      <c r="BA757" s="172"/>
      <c r="BB757" s="172"/>
      <c r="BC757" s="172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  <c r="BT757" s="172"/>
      <c r="BU757" s="172"/>
      <c r="BV757" s="172"/>
      <c r="BW757" s="172"/>
      <c r="BX757" s="172"/>
      <c r="BY757" s="174"/>
      <c r="BZ757" s="172"/>
      <c r="CA757" s="172"/>
      <c r="CD757" s="194"/>
      <c r="CE757" s="194"/>
      <c r="CF757" s="194"/>
      <c r="CG757" s="194"/>
      <c r="CH757" s="195"/>
      <c r="CI757" s="194"/>
      <c r="CJ757" s="194"/>
      <c r="CK757" s="194"/>
      <c r="CL757" s="196"/>
      <c r="CM757" s="196"/>
      <c r="CN757" s="194"/>
      <c r="CO757" s="197"/>
      <c r="CP757" s="196"/>
      <c r="CQ757" s="196"/>
      <c r="CR757" s="196"/>
      <c r="CS757" s="196"/>
      <c r="CT757" s="196"/>
      <c r="CU757" s="196"/>
      <c r="CV757" s="194"/>
      <c r="CW757" s="194"/>
      <c r="CX757" s="194"/>
      <c r="CY757" s="194"/>
      <c r="CZ757" s="194"/>
      <c r="DA757" s="194"/>
      <c r="DB757" s="194"/>
      <c r="DC757" s="194"/>
      <c r="DD757" s="194"/>
      <c r="DE757" s="194"/>
      <c r="DF757" s="196"/>
      <c r="DG757" s="198"/>
      <c r="DH757" s="194"/>
      <c r="DI757" s="282"/>
      <c r="DJ757" s="282"/>
      <c r="DK757" s="282"/>
      <c r="DL757" s="282"/>
    </row>
    <row r="758" spans="1:116" s="24" customFormat="1" x14ac:dyDescent="0.3">
      <c r="A758" s="172"/>
      <c r="B758" s="172"/>
      <c r="C758" s="172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2"/>
      <c r="AT758" s="172"/>
      <c r="AU758" s="172"/>
      <c r="AV758" s="172"/>
      <c r="AW758" s="172"/>
      <c r="AX758" s="172"/>
      <c r="AY758" s="172"/>
      <c r="AZ758" s="172"/>
      <c r="BA758" s="172"/>
      <c r="BB758" s="172"/>
      <c r="BC758" s="172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  <c r="BT758" s="172"/>
      <c r="BU758" s="172"/>
      <c r="BV758" s="172"/>
      <c r="BW758" s="172"/>
      <c r="BX758" s="172"/>
      <c r="BY758" s="174"/>
      <c r="BZ758" s="172"/>
      <c r="CA758" s="172"/>
      <c r="CD758" s="194"/>
      <c r="CE758" s="194"/>
      <c r="CF758" s="194"/>
      <c r="CG758" s="194"/>
      <c r="CH758" s="195"/>
      <c r="CI758" s="194"/>
      <c r="CJ758" s="194"/>
      <c r="CK758" s="194"/>
      <c r="CL758" s="196"/>
      <c r="CM758" s="196"/>
      <c r="CN758" s="194"/>
      <c r="CO758" s="197"/>
      <c r="CP758" s="196"/>
      <c r="CQ758" s="196"/>
      <c r="CR758" s="196"/>
      <c r="CS758" s="196"/>
      <c r="CT758" s="196"/>
      <c r="CU758" s="196"/>
      <c r="CV758" s="194"/>
      <c r="CW758" s="194"/>
      <c r="CX758" s="194"/>
      <c r="CY758" s="194"/>
      <c r="CZ758" s="194"/>
      <c r="DA758" s="194"/>
      <c r="DB758" s="194"/>
      <c r="DC758" s="194"/>
      <c r="DD758" s="194"/>
      <c r="DE758" s="194"/>
      <c r="DF758" s="196"/>
      <c r="DG758" s="198"/>
      <c r="DH758" s="194"/>
      <c r="DI758" s="282"/>
      <c r="DJ758" s="282"/>
      <c r="DK758" s="282"/>
      <c r="DL758" s="282"/>
    </row>
    <row r="759" spans="1:116" s="24" customFormat="1" x14ac:dyDescent="0.3">
      <c r="A759" s="172"/>
      <c r="B759" s="172"/>
      <c r="C759" s="172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  <c r="BT759" s="172"/>
      <c r="BU759" s="172"/>
      <c r="BV759" s="172"/>
      <c r="BW759" s="172"/>
      <c r="BX759" s="172"/>
      <c r="BY759" s="174"/>
      <c r="BZ759" s="172"/>
      <c r="CA759" s="172"/>
      <c r="CD759" s="194"/>
      <c r="CE759" s="194"/>
      <c r="CF759" s="194"/>
      <c r="CG759" s="194"/>
      <c r="CH759" s="195"/>
      <c r="CI759" s="194"/>
      <c r="CJ759" s="194"/>
      <c r="CK759" s="194"/>
      <c r="CL759" s="196"/>
      <c r="CM759" s="196"/>
      <c r="CN759" s="194"/>
      <c r="CO759" s="197"/>
      <c r="CP759" s="196"/>
      <c r="CQ759" s="196"/>
      <c r="CR759" s="196"/>
      <c r="CS759" s="196"/>
      <c r="CT759" s="196"/>
      <c r="CU759" s="196"/>
      <c r="CV759" s="194"/>
      <c r="CW759" s="194"/>
      <c r="CX759" s="194"/>
      <c r="CY759" s="194"/>
      <c r="CZ759" s="194"/>
      <c r="DA759" s="194"/>
      <c r="DB759" s="194"/>
      <c r="DC759" s="194"/>
      <c r="DD759" s="194"/>
      <c r="DE759" s="194"/>
      <c r="DF759" s="196"/>
      <c r="DG759" s="198"/>
      <c r="DH759" s="194"/>
      <c r="DI759" s="282"/>
      <c r="DJ759" s="282"/>
      <c r="DK759" s="282"/>
      <c r="DL759" s="282"/>
    </row>
    <row r="760" spans="1:116" s="24" customFormat="1" x14ac:dyDescent="0.3">
      <c r="A760" s="172"/>
      <c r="B760" s="172"/>
      <c r="C760" s="172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2"/>
      <c r="AT760" s="172"/>
      <c r="AU760" s="172"/>
      <c r="AV760" s="172"/>
      <c r="AW760" s="172"/>
      <c r="AX760" s="172"/>
      <c r="AY760" s="172"/>
      <c r="AZ760" s="172"/>
      <c r="BA760" s="172"/>
      <c r="BB760" s="172"/>
      <c r="BC760" s="172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  <c r="BT760" s="172"/>
      <c r="BU760" s="172"/>
      <c r="BV760" s="172"/>
      <c r="BW760" s="172"/>
      <c r="BX760" s="172"/>
      <c r="BY760" s="174"/>
      <c r="BZ760" s="172"/>
      <c r="CA760" s="172"/>
      <c r="CD760" s="194"/>
      <c r="CE760" s="194"/>
      <c r="CF760" s="194"/>
      <c r="CG760" s="194"/>
      <c r="CH760" s="195"/>
      <c r="CI760" s="194"/>
      <c r="CJ760" s="194"/>
      <c r="CK760" s="194"/>
      <c r="CL760" s="196"/>
      <c r="CM760" s="196"/>
      <c r="CN760" s="194"/>
      <c r="CO760" s="197"/>
      <c r="CP760" s="196"/>
      <c r="CQ760" s="196"/>
      <c r="CR760" s="196"/>
      <c r="CS760" s="196"/>
      <c r="CT760" s="196"/>
      <c r="CU760" s="196"/>
      <c r="CV760" s="194"/>
      <c r="CW760" s="194"/>
      <c r="CX760" s="194"/>
      <c r="CY760" s="194"/>
      <c r="CZ760" s="194"/>
      <c r="DA760" s="194"/>
      <c r="DB760" s="194"/>
      <c r="DC760" s="194"/>
      <c r="DD760" s="194"/>
      <c r="DE760" s="194"/>
      <c r="DF760" s="196"/>
      <c r="DG760" s="198"/>
      <c r="DH760" s="194"/>
      <c r="DI760" s="282"/>
      <c r="DJ760" s="282"/>
      <c r="DK760" s="282"/>
      <c r="DL760" s="282"/>
    </row>
    <row r="761" spans="1:116" s="24" customFormat="1" x14ac:dyDescent="0.3">
      <c r="A761" s="172"/>
      <c r="B761" s="172"/>
      <c r="C761" s="172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2"/>
      <c r="AT761" s="172"/>
      <c r="AU761" s="172"/>
      <c r="AV761" s="172"/>
      <c r="AW761" s="172"/>
      <c r="AX761" s="172"/>
      <c r="AY761" s="172"/>
      <c r="AZ761" s="172"/>
      <c r="BA761" s="172"/>
      <c r="BB761" s="172"/>
      <c r="BC761" s="172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  <c r="BT761" s="172"/>
      <c r="BU761" s="172"/>
      <c r="BV761" s="172"/>
      <c r="BW761" s="172"/>
      <c r="BX761" s="172"/>
      <c r="BY761" s="174"/>
      <c r="BZ761" s="172"/>
      <c r="CA761" s="172"/>
      <c r="CD761" s="194"/>
      <c r="CE761" s="194"/>
      <c r="CF761" s="194"/>
      <c r="CG761" s="194"/>
      <c r="CH761" s="195"/>
      <c r="CI761" s="194"/>
      <c r="CJ761" s="194"/>
      <c r="CK761" s="194"/>
      <c r="CL761" s="196"/>
      <c r="CM761" s="196"/>
      <c r="CN761" s="194"/>
      <c r="CO761" s="197"/>
      <c r="CP761" s="196"/>
      <c r="CQ761" s="196"/>
      <c r="CR761" s="196"/>
      <c r="CS761" s="196"/>
      <c r="CT761" s="196"/>
      <c r="CU761" s="196"/>
      <c r="CV761" s="194"/>
      <c r="CW761" s="194"/>
      <c r="CX761" s="194"/>
      <c r="CY761" s="194"/>
      <c r="CZ761" s="194"/>
      <c r="DA761" s="194"/>
      <c r="DB761" s="194"/>
      <c r="DC761" s="194"/>
      <c r="DD761" s="194"/>
      <c r="DE761" s="194"/>
      <c r="DF761" s="196"/>
      <c r="DG761" s="198"/>
      <c r="DH761" s="194"/>
      <c r="DI761" s="282"/>
      <c r="DJ761" s="282"/>
      <c r="DK761" s="282"/>
      <c r="DL761" s="282"/>
    </row>
    <row r="762" spans="1:116" s="24" customFormat="1" x14ac:dyDescent="0.3">
      <c r="A762" s="172"/>
      <c r="B762" s="172"/>
      <c r="C762" s="172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2"/>
      <c r="AT762" s="172"/>
      <c r="AU762" s="172"/>
      <c r="AV762" s="172"/>
      <c r="AW762" s="172"/>
      <c r="AX762" s="172"/>
      <c r="AY762" s="172"/>
      <c r="AZ762" s="172"/>
      <c r="BA762" s="172"/>
      <c r="BB762" s="172"/>
      <c r="BC762" s="172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  <c r="BT762" s="172"/>
      <c r="BU762" s="172"/>
      <c r="BV762" s="172"/>
      <c r="BW762" s="172"/>
      <c r="BX762" s="172"/>
      <c r="BY762" s="174"/>
      <c r="BZ762" s="172"/>
      <c r="CA762" s="172"/>
      <c r="CD762" s="194"/>
      <c r="CE762" s="194"/>
      <c r="CF762" s="194"/>
      <c r="CG762" s="194"/>
      <c r="CH762" s="195"/>
      <c r="CI762" s="194"/>
      <c r="CJ762" s="194"/>
      <c r="CK762" s="194"/>
      <c r="CL762" s="196"/>
      <c r="CM762" s="196"/>
      <c r="CN762" s="194"/>
      <c r="CO762" s="197"/>
      <c r="CP762" s="196"/>
      <c r="CQ762" s="196"/>
      <c r="CR762" s="196"/>
      <c r="CS762" s="196"/>
      <c r="CT762" s="196"/>
      <c r="CU762" s="196"/>
      <c r="CV762" s="194"/>
      <c r="CW762" s="194"/>
      <c r="CX762" s="194"/>
      <c r="CY762" s="194"/>
      <c r="CZ762" s="194"/>
      <c r="DA762" s="194"/>
      <c r="DB762" s="194"/>
      <c r="DC762" s="194"/>
      <c r="DD762" s="194"/>
      <c r="DE762" s="194"/>
      <c r="DF762" s="196"/>
      <c r="DG762" s="198"/>
      <c r="DH762" s="194"/>
      <c r="DI762" s="282"/>
      <c r="DJ762" s="282"/>
      <c r="DK762" s="282"/>
      <c r="DL762" s="282"/>
    </row>
    <row r="763" spans="1:116" s="24" customFormat="1" x14ac:dyDescent="0.3">
      <c r="A763" s="172"/>
      <c r="B763" s="172"/>
      <c r="C763" s="172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2"/>
      <c r="AT763" s="172"/>
      <c r="AU763" s="172"/>
      <c r="AV763" s="172"/>
      <c r="AW763" s="172"/>
      <c r="AX763" s="172"/>
      <c r="AY763" s="172"/>
      <c r="AZ763" s="172"/>
      <c r="BA763" s="172"/>
      <c r="BB763" s="172"/>
      <c r="BC763" s="172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  <c r="BT763" s="172"/>
      <c r="BU763" s="172"/>
      <c r="BV763" s="172"/>
      <c r="BW763" s="172"/>
      <c r="BX763" s="172"/>
      <c r="BY763" s="174"/>
      <c r="BZ763" s="172"/>
      <c r="CA763" s="172"/>
      <c r="CD763" s="194"/>
      <c r="CE763" s="194"/>
      <c r="CF763" s="194"/>
      <c r="CG763" s="194"/>
      <c r="CH763" s="195"/>
      <c r="CI763" s="194"/>
      <c r="CJ763" s="194"/>
      <c r="CK763" s="194"/>
      <c r="CL763" s="196"/>
      <c r="CM763" s="196"/>
      <c r="CN763" s="194"/>
      <c r="CO763" s="197"/>
      <c r="CP763" s="196"/>
      <c r="CQ763" s="196"/>
      <c r="CR763" s="196"/>
      <c r="CS763" s="196"/>
      <c r="CT763" s="196"/>
      <c r="CU763" s="196"/>
      <c r="CV763" s="194"/>
      <c r="CW763" s="194"/>
      <c r="CX763" s="194"/>
      <c r="CY763" s="194"/>
      <c r="CZ763" s="194"/>
      <c r="DA763" s="194"/>
      <c r="DB763" s="194"/>
      <c r="DC763" s="194"/>
      <c r="DD763" s="194"/>
      <c r="DE763" s="194"/>
      <c r="DF763" s="196"/>
      <c r="DG763" s="198"/>
      <c r="DH763" s="194"/>
      <c r="DI763" s="282"/>
      <c r="DJ763" s="282"/>
      <c r="DK763" s="282"/>
      <c r="DL763" s="282"/>
    </row>
    <row r="764" spans="1:116" s="24" customFormat="1" x14ac:dyDescent="0.3">
      <c r="A764" s="172"/>
      <c r="B764" s="172"/>
      <c r="C764" s="172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2"/>
      <c r="AT764" s="172"/>
      <c r="AU764" s="172"/>
      <c r="AV764" s="172"/>
      <c r="AW764" s="172"/>
      <c r="AX764" s="172"/>
      <c r="AY764" s="172"/>
      <c r="AZ764" s="172"/>
      <c r="BA764" s="172"/>
      <c r="BB764" s="172"/>
      <c r="BC764" s="172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  <c r="BT764" s="172"/>
      <c r="BU764" s="172"/>
      <c r="BV764" s="172"/>
      <c r="BW764" s="172"/>
      <c r="BX764" s="172"/>
      <c r="BY764" s="174"/>
      <c r="BZ764" s="172"/>
      <c r="CA764" s="172"/>
      <c r="CD764" s="194"/>
      <c r="CE764" s="194"/>
      <c r="CF764" s="194"/>
      <c r="CG764" s="194"/>
      <c r="CH764" s="195"/>
      <c r="CI764" s="194"/>
      <c r="CJ764" s="194"/>
      <c r="CK764" s="194"/>
      <c r="CL764" s="196"/>
      <c r="CM764" s="196"/>
      <c r="CN764" s="194"/>
      <c r="CO764" s="197"/>
      <c r="CP764" s="196"/>
      <c r="CQ764" s="196"/>
      <c r="CR764" s="196"/>
      <c r="CS764" s="196"/>
      <c r="CT764" s="196"/>
      <c r="CU764" s="196"/>
      <c r="CV764" s="194"/>
      <c r="CW764" s="194"/>
      <c r="CX764" s="194"/>
      <c r="CY764" s="194"/>
      <c r="CZ764" s="194"/>
      <c r="DA764" s="194"/>
      <c r="DB764" s="194"/>
      <c r="DC764" s="194"/>
      <c r="DD764" s="194"/>
      <c r="DE764" s="194"/>
      <c r="DF764" s="196"/>
      <c r="DG764" s="198"/>
      <c r="DH764" s="194"/>
      <c r="DI764" s="282"/>
      <c r="DJ764" s="282"/>
      <c r="DK764" s="282"/>
      <c r="DL764" s="282"/>
    </row>
    <row r="765" spans="1:116" s="24" customFormat="1" x14ac:dyDescent="0.3">
      <c r="A765" s="172"/>
      <c r="B765" s="172"/>
      <c r="C765" s="172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2"/>
      <c r="AT765" s="172"/>
      <c r="AU765" s="172"/>
      <c r="AV765" s="172"/>
      <c r="AW765" s="172"/>
      <c r="AX765" s="172"/>
      <c r="AY765" s="172"/>
      <c r="AZ765" s="172"/>
      <c r="BA765" s="172"/>
      <c r="BB765" s="172"/>
      <c r="BC765" s="172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  <c r="BT765" s="172"/>
      <c r="BU765" s="172"/>
      <c r="BV765" s="172"/>
      <c r="BW765" s="172"/>
      <c r="BX765" s="172"/>
      <c r="BY765" s="174"/>
      <c r="BZ765" s="172"/>
      <c r="CA765" s="172"/>
      <c r="CD765" s="194"/>
      <c r="CE765" s="194"/>
      <c r="CF765" s="194"/>
      <c r="CG765" s="194"/>
      <c r="CH765" s="195"/>
      <c r="CI765" s="194"/>
      <c r="CJ765" s="194"/>
      <c r="CK765" s="194"/>
      <c r="CL765" s="196"/>
      <c r="CM765" s="196"/>
      <c r="CN765" s="194"/>
      <c r="CO765" s="197"/>
      <c r="CP765" s="196"/>
      <c r="CQ765" s="196"/>
      <c r="CR765" s="196"/>
      <c r="CS765" s="196"/>
      <c r="CT765" s="196"/>
      <c r="CU765" s="196"/>
      <c r="CV765" s="194"/>
      <c r="CW765" s="194"/>
      <c r="CX765" s="194"/>
      <c r="CY765" s="194"/>
      <c r="CZ765" s="194"/>
      <c r="DA765" s="194"/>
      <c r="DB765" s="194"/>
      <c r="DC765" s="194"/>
      <c r="DD765" s="194"/>
      <c r="DE765" s="194"/>
      <c r="DF765" s="196"/>
      <c r="DG765" s="198"/>
      <c r="DH765" s="194"/>
      <c r="DI765" s="282"/>
      <c r="DJ765" s="282"/>
      <c r="DK765" s="282"/>
      <c r="DL765" s="282"/>
    </row>
    <row r="766" spans="1:116" s="24" customFormat="1" x14ac:dyDescent="0.3">
      <c r="A766" s="172"/>
      <c r="B766" s="172"/>
      <c r="C766" s="172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2"/>
      <c r="AT766" s="172"/>
      <c r="AU766" s="172"/>
      <c r="AV766" s="172"/>
      <c r="AW766" s="172"/>
      <c r="AX766" s="172"/>
      <c r="AY766" s="172"/>
      <c r="AZ766" s="172"/>
      <c r="BA766" s="172"/>
      <c r="BB766" s="172"/>
      <c r="BC766" s="172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  <c r="BT766" s="172"/>
      <c r="BU766" s="172"/>
      <c r="BV766" s="172"/>
      <c r="BW766" s="172"/>
      <c r="BX766" s="172"/>
      <c r="BY766" s="174"/>
      <c r="BZ766" s="172"/>
      <c r="CA766" s="172"/>
      <c r="CD766" s="194"/>
      <c r="CE766" s="194"/>
      <c r="CF766" s="194"/>
      <c r="CG766" s="194"/>
      <c r="CH766" s="195"/>
      <c r="CI766" s="194"/>
      <c r="CJ766" s="194"/>
      <c r="CK766" s="194"/>
      <c r="CL766" s="196"/>
      <c r="CM766" s="196"/>
      <c r="CN766" s="194"/>
      <c r="CO766" s="197"/>
      <c r="CP766" s="196"/>
      <c r="CQ766" s="196"/>
      <c r="CR766" s="196"/>
      <c r="CS766" s="196"/>
      <c r="CT766" s="196"/>
      <c r="CU766" s="196"/>
      <c r="CV766" s="194"/>
      <c r="CW766" s="194"/>
      <c r="CX766" s="194"/>
      <c r="CY766" s="194"/>
      <c r="CZ766" s="194"/>
      <c r="DA766" s="194"/>
      <c r="DB766" s="194"/>
      <c r="DC766" s="194"/>
      <c r="DD766" s="194"/>
      <c r="DE766" s="194"/>
      <c r="DF766" s="196"/>
      <c r="DG766" s="198"/>
      <c r="DH766" s="194"/>
      <c r="DI766" s="282"/>
      <c r="DJ766" s="282"/>
      <c r="DK766" s="282"/>
      <c r="DL766" s="282"/>
    </row>
    <row r="767" spans="1:116" s="24" customFormat="1" x14ac:dyDescent="0.3">
      <c r="A767" s="172"/>
      <c r="B767" s="172"/>
      <c r="C767" s="172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2"/>
      <c r="AT767" s="172"/>
      <c r="AU767" s="172"/>
      <c r="AV767" s="172"/>
      <c r="AW767" s="172"/>
      <c r="AX767" s="172"/>
      <c r="AY767" s="172"/>
      <c r="AZ767" s="172"/>
      <c r="BA767" s="172"/>
      <c r="BB767" s="172"/>
      <c r="BC767" s="172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  <c r="BT767" s="172"/>
      <c r="BU767" s="172"/>
      <c r="BV767" s="172"/>
      <c r="BW767" s="172"/>
      <c r="BX767" s="172"/>
      <c r="BY767" s="174"/>
      <c r="BZ767" s="172"/>
      <c r="CA767" s="172"/>
      <c r="CD767" s="194"/>
      <c r="CE767" s="194"/>
      <c r="CF767" s="194"/>
      <c r="CG767" s="194"/>
      <c r="CH767" s="195"/>
      <c r="CI767" s="194"/>
      <c r="CJ767" s="194"/>
      <c r="CK767" s="194"/>
      <c r="CL767" s="196"/>
      <c r="CM767" s="196"/>
      <c r="CN767" s="194"/>
      <c r="CO767" s="197"/>
      <c r="CP767" s="196"/>
      <c r="CQ767" s="196"/>
      <c r="CR767" s="196"/>
      <c r="CS767" s="196"/>
      <c r="CT767" s="196"/>
      <c r="CU767" s="196"/>
      <c r="CV767" s="194"/>
      <c r="CW767" s="194"/>
      <c r="CX767" s="194"/>
      <c r="CY767" s="194"/>
      <c r="CZ767" s="194"/>
      <c r="DA767" s="194"/>
      <c r="DB767" s="194"/>
      <c r="DC767" s="194"/>
      <c r="DD767" s="194"/>
      <c r="DE767" s="194"/>
      <c r="DF767" s="196"/>
      <c r="DG767" s="198"/>
      <c r="DH767" s="194"/>
      <c r="DI767" s="282"/>
      <c r="DJ767" s="282"/>
      <c r="DK767" s="282"/>
      <c r="DL767" s="282"/>
    </row>
    <row r="768" spans="1:116" s="24" customFormat="1" x14ac:dyDescent="0.3">
      <c r="A768" s="172"/>
      <c r="B768" s="172"/>
      <c r="C768" s="172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2"/>
      <c r="AT768" s="172"/>
      <c r="AU768" s="172"/>
      <c r="AV768" s="172"/>
      <c r="AW768" s="172"/>
      <c r="AX768" s="172"/>
      <c r="AY768" s="172"/>
      <c r="AZ768" s="172"/>
      <c r="BA768" s="172"/>
      <c r="BB768" s="172"/>
      <c r="BC768" s="172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  <c r="BT768" s="172"/>
      <c r="BU768" s="172"/>
      <c r="BV768" s="172"/>
      <c r="BW768" s="172"/>
      <c r="BX768" s="172"/>
      <c r="BY768" s="174"/>
      <c r="BZ768" s="172"/>
      <c r="CA768" s="172"/>
      <c r="CD768" s="194"/>
      <c r="CE768" s="194"/>
      <c r="CF768" s="194"/>
      <c r="CG768" s="194"/>
      <c r="CH768" s="195"/>
      <c r="CI768" s="194"/>
      <c r="CJ768" s="194"/>
      <c r="CK768" s="194"/>
      <c r="CL768" s="196"/>
      <c r="CM768" s="196"/>
      <c r="CN768" s="194"/>
      <c r="CO768" s="197"/>
      <c r="CP768" s="196"/>
      <c r="CQ768" s="196"/>
      <c r="CR768" s="196"/>
      <c r="CS768" s="196"/>
      <c r="CT768" s="196"/>
      <c r="CU768" s="196"/>
      <c r="CV768" s="194"/>
      <c r="CW768" s="194"/>
      <c r="CX768" s="194"/>
      <c r="CY768" s="194"/>
      <c r="CZ768" s="194"/>
      <c r="DA768" s="194"/>
      <c r="DB768" s="194"/>
      <c r="DC768" s="194"/>
      <c r="DD768" s="194"/>
      <c r="DE768" s="194"/>
      <c r="DF768" s="196"/>
      <c r="DG768" s="198"/>
      <c r="DH768" s="194"/>
      <c r="DI768" s="282"/>
      <c r="DJ768" s="282"/>
      <c r="DK768" s="282"/>
      <c r="DL768" s="282"/>
    </row>
    <row r="769" spans="1:116" s="24" customFormat="1" x14ac:dyDescent="0.3">
      <c r="A769" s="172"/>
      <c r="B769" s="172"/>
      <c r="C769" s="172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2"/>
      <c r="AT769" s="172"/>
      <c r="AU769" s="172"/>
      <c r="AV769" s="172"/>
      <c r="AW769" s="172"/>
      <c r="AX769" s="172"/>
      <c r="AY769" s="172"/>
      <c r="AZ769" s="172"/>
      <c r="BA769" s="172"/>
      <c r="BB769" s="172"/>
      <c r="BC769" s="172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  <c r="BT769" s="172"/>
      <c r="BU769" s="172"/>
      <c r="BV769" s="172"/>
      <c r="BW769" s="172"/>
      <c r="BX769" s="172"/>
      <c r="BY769" s="174"/>
      <c r="BZ769" s="172"/>
      <c r="CA769" s="172"/>
      <c r="CD769" s="194"/>
      <c r="CE769" s="194"/>
      <c r="CF769" s="194"/>
      <c r="CG769" s="194"/>
      <c r="CH769" s="195"/>
      <c r="CI769" s="194"/>
      <c r="CJ769" s="194"/>
      <c r="CK769" s="194"/>
      <c r="CL769" s="196"/>
      <c r="CM769" s="196"/>
      <c r="CN769" s="194"/>
      <c r="CO769" s="197"/>
      <c r="CP769" s="196"/>
      <c r="CQ769" s="196"/>
      <c r="CR769" s="196"/>
      <c r="CS769" s="196"/>
      <c r="CT769" s="196"/>
      <c r="CU769" s="196"/>
      <c r="CV769" s="194"/>
      <c r="CW769" s="194"/>
      <c r="CX769" s="194"/>
      <c r="CY769" s="194"/>
      <c r="CZ769" s="194"/>
      <c r="DA769" s="194"/>
      <c r="DB769" s="194"/>
      <c r="DC769" s="194"/>
      <c r="DD769" s="194"/>
      <c r="DE769" s="194"/>
      <c r="DF769" s="196"/>
      <c r="DG769" s="198"/>
      <c r="DH769" s="194"/>
      <c r="DI769" s="282"/>
      <c r="DJ769" s="282"/>
      <c r="DK769" s="282"/>
      <c r="DL769" s="282"/>
    </row>
    <row r="770" spans="1:116" s="24" customFormat="1" x14ac:dyDescent="0.3">
      <c r="A770" s="172"/>
      <c r="B770" s="172"/>
      <c r="C770" s="172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2"/>
      <c r="AT770" s="172"/>
      <c r="AU770" s="172"/>
      <c r="AV770" s="172"/>
      <c r="AW770" s="172"/>
      <c r="AX770" s="172"/>
      <c r="AY770" s="172"/>
      <c r="AZ770" s="172"/>
      <c r="BA770" s="172"/>
      <c r="BB770" s="172"/>
      <c r="BC770" s="172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  <c r="BT770" s="172"/>
      <c r="BU770" s="172"/>
      <c r="BV770" s="172"/>
      <c r="BW770" s="172"/>
      <c r="BX770" s="172"/>
      <c r="BY770" s="174"/>
      <c r="BZ770" s="172"/>
      <c r="CA770" s="172"/>
      <c r="CD770" s="194"/>
      <c r="CE770" s="194"/>
      <c r="CF770" s="194"/>
      <c r="CG770" s="194"/>
      <c r="CH770" s="195"/>
      <c r="CI770" s="194"/>
      <c r="CJ770" s="194"/>
      <c r="CK770" s="194"/>
      <c r="CL770" s="196"/>
      <c r="CM770" s="196"/>
      <c r="CN770" s="194"/>
      <c r="CO770" s="197"/>
      <c r="CP770" s="196"/>
      <c r="CQ770" s="196"/>
      <c r="CR770" s="196"/>
      <c r="CS770" s="196"/>
      <c r="CT770" s="196"/>
      <c r="CU770" s="196"/>
      <c r="CV770" s="194"/>
      <c r="CW770" s="194"/>
      <c r="CX770" s="194"/>
      <c r="CY770" s="194"/>
      <c r="CZ770" s="194"/>
      <c r="DA770" s="194"/>
      <c r="DB770" s="194"/>
      <c r="DC770" s="194"/>
      <c r="DD770" s="194"/>
      <c r="DE770" s="194"/>
      <c r="DF770" s="196"/>
      <c r="DG770" s="198"/>
      <c r="DH770" s="194"/>
      <c r="DI770" s="282"/>
      <c r="DJ770" s="282"/>
      <c r="DK770" s="282"/>
      <c r="DL770" s="282"/>
    </row>
    <row r="771" spans="1:116" s="24" customFormat="1" x14ac:dyDescent="0.3">
      <c r="A771" s="172"/>
      <c r="B771" s="172"/>
      <c r="C771" s="172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2"/>
      <c r="AT771" s="172"/>
      <c r="AU771" s="172"/>
      <c r="AV771" s="172"/>
      <c r="AW771" s="172"/>
      <c r="AX771" s="172"/>
      <c r="AY771" s="172"/>
      <c r="AZ771" s="172"/>
      <c r="BA771" s="172"/>
      <c r="BB771" s="172"/>
      <c r="BC771" s="172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  <c r="BT771" s="172"/>
      <c r="BU771" s="172"/>
      <c r="BV771" s="172"/>
      <c r="BW771" s="172"/>
      <c r="BX771" s="172"/>
      <c r="BY771" s="174"/>
      <c r="BZ771" s="172"/>
      <c r="CA771" s="172"/>
      <c r="CD771" s="194"/>
      <c r="CE771" s="194"/>
      <c r="CF771" s="194"/>
      <c r="CG771" s="194"/>
      <c r="CH771" s="195"/>
      <c r="CI771" s="194"/>
      <c r="CJ771" s="194"/>
      <c r="CK771" s="194"/>
      <c r="CL771" s="196"/>
      <c r="CM771" s="196"/>
      <c r="CN771" s="194"/>
      <c r="CO771" s="197"/>
      <c r="CP771" s="196"/>
      <c r="CQ771" s="196"/>
      <c r="CR771" s="196"/>
      <c r="CS771" s="196"/>
      <c r="CT771" s="196"/>
      <c r="CU771" s="196"/>
      <c r="CV771" s="194"/>
      <c r="CW771" s="194"/>
      <c r="CX771" s="194"/>
      <c r="CY771" s="194"/>
      <c r="CZ771" s="194"/>
      <c r="DA771" s="194"/>
      <c r="DB771" s="194"/>
      <c r="DC771" s="194"/>
      <c r="DD771" s="194"/>
      <c r="DE771" s="194"/>
      <c r="DF771" s="196"/>
      <c r="DG771" s="198"/>
      <c r="DH771" s="194"/>
      <c r="DI771" s="282"/>
      <c r="DJ771" s="282"/>
      <c r="DK771" s="282"/>
      <c r="DL771" s="282"/>
    </row>
    <row r="772" spans="1:116" s="24" customFormat="1" x14ac:dyDescent="0.3">
      <c r="A772" s="172"/>
      <c r="B772" s="172"/>
      <c r="C772" s="172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2"/>
      <c r="AT772" s="172"/>
      <c r="AU772" s="172"/>
      <c r="AV772" s="172"/>
      <c r="AW772" s="172"/>
      <c r="AX772" s="172"/>
      <c r="AY772" s="172"/>
      <c r="AZ772" s="172"/>
      <c r="BA772" s="172"/>
      <c r="BB772" s="172"/>
      <c r="BC772" s="172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  <c r="BT772" s="172"/>
      <c r="BU772" s="172"/>
      <c r="BV772" s="172"/>
      <c r="BW772" s="172"/>
      <c r="BX772" s="172"/>
      <c r="BY772" s="174"/>
      <c r="BZ772" s="172"/>
      <c r="CA772" s="172"/>
      <c r="CD772" s="194"/>
      <c r="CE772" s="194"/>
      <c r="CF772" s="194"/>
      <c r="CG772" s="194"/>
      <c r="CH772" s="195"/>
      <c r="CI772" s="194"/>
      <c r="CJ772" s="194"/>
      <c r="CK772" s="194"/>
      <c r="CL772" s="196"/>
      <c r="CM772" s="196"/>
      <c r="CN772" s="194"/>
      <c r="CO772" s="197"/>
      <c r="CP772" s="196"/>
      <c r="CQ772" s="196"/>
      <c r="CR772" s="196"/>
      <c r="CS772" s="196"/>
      <c r="CT772" s="196"/>
      <c r="CU772" s="196"/>
      <c r="CV772" s="194"/>
      <c r="CW772" s="194"/>
      <c r="CX772" s="194"/>
      <c r="CY772" s="194"/>
      <c r="CZ772" s="194"/>
      <c r="DA772" s="194"/>
      <c r="DB772" s="194"/>
      <c r="DC772" s="194"/>
      <c r="DD772" s="194"/>
      <c r="DE772" s="194"/>
      <c r="DF772" s="196"/>
      <c r="DG772" s="198"/>
      <c r="DH772" s="194"/>
      <c r="DI772" s="282"/>
      <c r="DJ772" s="282"/>
      <c r="DK772" s="282"/>
      <c r="DL772" s="282"/>
    </row>
    <row r="773" spans="1:116" s="24" customFormat="1" x14ac:dyDescent="0.3">
      <c r="A773" s="172"/>
      <c r="B773" s="172"/>
      <c r="C773" s="172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2"/>
      <c r="AT773" s="172"/>
      <c r="AU773" s="172"/>
      <c r="AV773" s="172"/>
      <c r="AW773" s="172"/>
      <c r="AX773" s="172"/>
      <c r="AY773" s="172"/>
      <c r="AZ773" s="172"/>
      <c r="BA773" s="172"/>
      <c r="BB773" s="172"/>
      <c r="BC773" s="172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  <c r="BT773" s="172"/>
      <c r="BU773" s="172"/>
      <c r="BV773" s="172"/>
      <c r="BW773" s="172"/>
      <c r="BX773" s="172"/>
      <c r="BY773" s="174"/>
      <c r="BZ773" s="172"/>
      <c r="CA773" s="172"/>
      <c r="CD773" s="194"/>
      <c r="CE773" s="194"/>
      <c r="CF773" s="194"/>
      <c r="CG773" s="194"/>
      <c r="CH773" s="195"/>
      <c r="CI773" s="194"/>
      <c r="CJ773" s="194"/>
      <c r="CK773" s="194"/>
      <c r="CL773" s="196"/>
      <c r="CM773" s="196"/>
      <c r="CN773" s="194"/>
      <c r="CO773" s="197"/>
      <c r="CP773" s="196"/>
      <c r="CQ773" s="196"/>
      <c r="CR773" s="196"/>
      <c r="CS773" s="196"/>
      <c r="CT773" s="196"/>
      <c r="CU773" s="196"/>
      <c r="CV773" s="194"/>
      <c r="CW773" s="194"/>
      <c r="CX773" s="194"/>
      <c r="CY773" s="194"/>
      <c r="CZ773" s="194"/>
      <c r="DA773" s="194"/>
      <c r="DB773" s="194"/>
      <c r="DC773" s="194"/>
      <c r="DD773" s="194"/>
      <c r="DE773" s="194"/>
      <c r="DF773" s="196"/>
      <c r="DG773" s="198"/>
      <c r="DH773" s="194"/>
      <c r="DI773" s="282"/>
      <c r="DJ773" s="282"/>
      <c r="DK773" s="282"/>
      <c r="DL773" s="282"/>
    </row>
    <row r="774" spans="1:116" s="24" customFormat="1" x14ac:dyDescent="0.3">
      <c r="A774" s="172"/>
      <c r="B774" s="172"/>
      <c r="C774" s="172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2"/>
      <c r="AT774" s="172"/>
      <c r="AU774" s="172"/>
      <c r="AV774" s="172"/>
      <c r="AW774" s="172"/>
      <c r="AX774" s="172"/>
      <c r="AY774" s="172"/>
      <c r="AZ774" s="172"/>
      <c r="BA774" s="172"/>
      <c r="BB774" s="172"/>
      <c r="BC774" s="172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  <c r="BT774" s="172"/>
      <c r="BU774" s="172"/>
      <c r="BV774" s="172"/>
      <c r="BW774" s="172"/>
      <c r="BX774" s="172"/>
      <c r="BY774" s="174"/>
      <c r="BZ774" s="172"/>
      <c r="CA774" s="172"/>
      <c r="CD774" s="194"/>
      <c r="CE774" s="194"/>
      <c r="CF774" s="194"/>
      <c r="CG774" s="194"/>
      <c r="CH774" s="195"/>
      <c r="CI774" s="194"/>
      <c r="CJ774" s="194"/>
      <c r="CK774" s="194"/>
      <c r="CL774" s="196"/>
      <c r="CM774" s="196"/>
      <c r="CN774" s="194"/>
      <c r="CO774" s="197"/>
      <c r="CP774" s="196"/>
      <c r="CQ774" s="196"/>
      <c r="CR774" s="196"/>
      <c r="CS774" s="196"/>
      <c r="CT774" s="196"/>
      <c r="CU774" s="196"/>
      <c r="CV774" s="194"/>
      <c r="CW774" s="194"/>
      <c r="CX774" s="194"/>
      <c r="CY774" s="194"/>
      <c r="CZ774" s="194"/>
      <c r="DA774" s="194"/>
      <c r="DB774" s="194"/>
      <c r="DC774" s="194"/>
      <c r="DD774" s="194"/>
      <c r="DE774" s="194"/>
      <c r="DF774" s="196"/>
      <c r="DG774" s="198"/>
      <c r="DH774" s="194"/>
      <c r="DI774" s="282"/>
      <c r="DJ774" s="282"/>
      <c r="DK774" s="282"/>
      <c r="DL774" s="282"/>
    </row>
    <row r="775" spans="1:116" s="24" customFormat="1" x14ac:dyDescent="0.3">
      <c r="A775" s="172"/>
      <c r="B775" s="172"/>
      <c r="C775" s="172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2"/>
      <c r="AT775" s="172"/>
      <c r="AU775" s="172"/>
      <c r="AV775" s="172"/>
      <c r="AW775" s="172"/>
      <c r="AX775" s="172"/>
      <c r="AY775" s="172"/>
      <c r="AZ775" s="172"/>
      <c r="BA775" s="172"/>
      <c r="BB775" s="172"/>
      <c r="BC775" s="172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  <c r="BT775" s="172"/>
      <c r="BU775" s="172"/>
      <c r="BV775" s="172"/>
      <c r="BW775" s="172"/>
      <c r="BX775" s="172"/>
      <c r="BY775" s="174"/>
      <c r="BZ775" s="172"/>
      <c r="CA775" s="172"/>
      <c r="CD775" s="194"/>
      <c r="CE775" s="194"/>
      <c r="CF775" s="194"/>
      <c r="CG775" s="194"/>
      <c r="CH775" s="195"/>
      <c r="CI775" s="194"/>
      <c r="CJ775" s="194"/>
      <c r="CK775" s="194"/>
      <c r="CL775" s="196"/>
      <c r="CM775" s="196"/>
      <c r="CN775" s="194"/>
      <c r="CO775" s="197"/>
      <c r="CP775" s="196"/>
      <c r="CQ775" s="196"/>
      <c r="CR775" s="196"/>
      <c r="CS775" s="196"/>
      <c r="CT775" s="196"/>
      <c r="CU775" s="196"/>
      <c r="CV775" s="194"/>
      <c r="CW775" s="194"/>
      <c r="CX775" s="194"/>
      <c r="CY775" s="194"/>
      <c r="CZ775" s="194"/>
      <c r="DA775" s="194"/>
      <c r="DB775" s="194"/>
      <c r="DC775" s="194"/>
      <c r="DD775" s="194"/>
      <c r="DE775" s="194"/>
      <c r="DF775" s="196"/>
      <c r="DG775" s="198"/>
      <c r="DH775" s="194"/>
      <c r="DI775" s="282"/>
      <c r="DJ775" s="282"/>
      <c r="DK775" s="282"/>
      <c r="DL775" s="282"/>
    </row>
    <row r="776" spans="1:116" s="24" customFormat="1" x14ac:dyDescent="0.3">
      <c r="A776" s="172"/>
      <c r="B776" s="172"/>
      <c r="C776" s="172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2"/>
      <c r="AT776" s="172"/>
      <c r="AU776" s="172"/>
      <c r="AV776" s="172"/>
      <c r="AW776" s="172"/>
      <c r="AX776" s="172"/>
      <c r="AY776" s="172"/>
      <c r="AZ776" s="172"/>
      <c r="BA776" s="172"/>
      <c r="BB776" s="172"/>
      <c r="BC776" s="172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  <c r="BT776" s="172"/>
      <c r="BU776" s="172"/>
      <c r="BV776" s="172"/>
      <c r="BW776" s="172"/>
      <c r="BX776" s="172"/>
      <c r="BY776" s="174"/>
      <c r="BZ776" s="172"/>
      <c r="CA776" s="172"/>
      <c r="CD776" s="194"/>
      <c r="CE776" s="194"/>
      <c r="CF776" s="194"/>
      <c r="CG776" s="194"/>
      <c r="CH776" s="195"/>
      <c r="CI776" s="194"/>
      <c r="CJ776" s="194"/>
      <c r="CK776" s="194"/>
      <c r="CL776" s="196"/>
      <c r="CM776" s="196"/>
      <c r="CN776" s="194"/>
      <c r="CO776" s="197"/>
      <c r="CP776" s="196"/>
      <c r="CQ776" s="196"/>
      <c r="CR776" s="196"/>
      <c r="CS776" s="196"/>
      <c r="CT776" s="196"/>
      <c r="CU776" s="196"/>
      <c r="CV776" s="194"/>
      <c r="CW776" s="194"/>
      <c r="CX776" s="194"/>
      <c r="CY776" s="194"/>
      <c r="CZ776" s="194"/>
      <c r="DA776" s="194"/>
      <c r="DB776" s="194"/>
      <c r="DC776" s="194"/>
      <c r="DD776" s="194"/>
      <c r="DE776" s="194"/>
      <c r="DF776" s="196"/>
      <c r="DG776" s="198"/>
      <c r="DH776" s="194"/>
      <c r="DI776" s="282"/>
      <c r="DJ776" s="282"/>
      <c r="DK776" s="282"/>
      <c r="DL776" s="282"/>
    </row>
    <row r="777" spans="1:116" s="24" customFormat="1" x14ac:dyDescent="0.3">
      <c r="A777" s="172"/>
      <c r="B777" s="172"/>
      <c r="C777" s="172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2"/>
      <c r="AT777" s="172"/>
      <c r="AU777" s="172"/>
      <c r="AV777" s="172"/>
      <c r="AW777" s="172"/>
      <c r="AX777" s="172"/>
      <c r="AY777" s="172"/>
      <c r="AZ777" s="172"/>
      <c r="BA777" s="172"/>
      <c r="BB777" s="172"/>
      <c r="BC777" s="172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  <c r="BT777" s="172"/>
      <c r="BU777" s="172"/>
      <c r="BV777" s="172"/>
      <c r="BW777" s="172"/>
      <c r="BX777" s="172"/>
      <c r="BY777" s="174"/>
      <c r="BZ777" s="172"/>
      <c r="CA777" s="172"/>
      <c r="CD777" s="194"/>
      <c r="CE777" s="194"/>
      <c r="CF777" s="194"/>
      <c r="CG777" s="194"/>
      <c r="CH777" s="195"/>
      <c r="CI777" s="194"/>
      <c r="CJ777" s="194"/>
      <c r="CK777" s="194"/>
      <c r="CL777" s="196"/>
      <c r="CM777" s="196"/>
      <c r="CN777" s="194"/>
      <c r="CO777" s="197"/>
      <c r="CP777" s="196"/>
      <c r="CQ777" s="196"/>
      <c r="CR777" s="196"/>
      <c r="CS777" s="196"/>
      <c r="CT777" s="196"/>
      <c r="CU777" s="196"/>
      <c r="CV777" s="194"/>
      <c r="CW777" s="194"/>
      <c r="CX777" s="194"/>
      <c r="CY777" s="194"/>
      <c r="CZ777" s="194"/>
      <c r="DA777" s="194"/>
      <c r="DB777" s="194"/>
      <c r="DC777" s="194"/>
      <c r="DD777" s="194"/>
      <c r="DE777" s="194"/>
      <c r="DF777" s="196"/>
      <c r="DG777" s="198"/>
      <c r="DH777" s="194"/>
      <c r="DI777" s="282"/>
      <c r="DJ777" s="282"/>
      <c r="DK777" s="282"/>
      <c r="DL777" s="282"/>
    </row>
    <row r="778" spans="1:116" s="24" customFormat="1" x14ac:dyDescent="0.3">
      <c r="A778" s="172"/>
      <c r="B778" s="172"/>
      <c r="C778" s="172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2"/>
      <c r="AT778" s="172"/>
      <c r="AU778" s="172"/>
      <c r="AV778" s="172"/>
      <c r="AW778" s="172"/>
      <c r="AX778" s="172"/>
      <c r="AY778" s="172"/>
      <c r="AZ778" s="172"/>
      <c r="BA778" s="172"/>
      <c r="BB778" s="172"/>
      <c r="BC778" s="172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  <c r="BT778" s="172"/>
      <c r="BU778" s="172"/>
      <c r="BV778" s="172"/>
      <c r="BW778" s="172"/>
      <c r="BX778" s="172"/>
      <c r="BY778" s="174"/>
      <c r="BZ778" s="172"/>
      <c r="CA778" s="172"/>
      <c r="CD778" s="194"/>
      <c r="CE778" s="194"/>
      <c r="CF778" s="194"/>
      <c r="CG778" s="194"/>
      <c r="CH778" s="195"/>
      <c r="CI778" s="194"/>
      <c r="CJ778" s="194"/>
      <c r="CK778" s="194"/>
      <c r="CL778" s="196"/>
      <c r="CM778" s="196"/>
      <c r="CN778" s="194"/>
      <c r="CO778" s="197"/>
      <c r="CP778" s="196"/>
      <c r="CQ778" s="196"/>
      <c r="CR778" s="196"/>
      <c r="CS778" s="196"/>
      <c r="CT778" s="196"/>
      <c r="CU778" s="196"/>
      <c r="CV778" s="194"/>
      <c r="CW778" s="194"/>
      <c r="CX778" s="194"/>
      <c r="CY778" s="194"/>
      <c r="CZ778" s="194"/>
      <c r="DA778" s="194"/>
      <c r="DB778" s="194"/>
      <c r="DC778" s="194"/>
      <c r="DD778" s="194"/>
      <c r="DE778" s="194"/>
      <c r="DF778" s="196"/>
      <c r="DG778" s="198"/>
      <c r="DH778" s="194"/>
      <c r="DI778" s="282"/>
      <c r="DJ778" s="282"/>
      <c r="DK778" s="282"/>
      <c r="DL778" s="282"/>
    </row>
    <row r="779" spans="1:116" s="24" customFormat="1" x14ac:dyDescent="0.3">
      <c r="A779" s="172"/>
      <c r="B779" s="172"/>
      <c r="C779" s="172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2"/>
      <c r="AT779" s="172"/>
      <c r="AU779" s="172"/>
      <c r="AV779" s="172"/>
      <c r="AW779" s="172"/>
      <c r="AX779" s="172"/>
      <c r="AY779" s="172"/>
      <c r="AZ779" s="172"/>
      <c r="BA779" s="172"/>
      <c r="BB779" s="172"/>
      <c r="BC779" s="172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  <c r="BT779" s="172"/>
      <c r="BU779" s="172"/>
      <c r="BV779" s="172"/>
      <c r="BW779" s="172"/>
      <c r="BX779" s="172"/>
      <c r="BY779" s="174"/>
      <c r="BZ779" s="172"/>
      <c r="CA779" s="172"/>
      <c r="CD779" s="194"/>
      <c r="CE779" s="194"/>
      <c r="CF779" s="194"/>
      <c r="CG779" s="194"/>
      <c r="CH779" s="195"/>
      <c r="CI779" s="194"/>
      <c r="CJ779" s="194"/>
      <c r="CK779" s="194"/>
      <c r="CL779" s="196"/>
      <c r="CM779" s="196"/>
      <c r="CN779" s="194"/>
      <c r="CO779" s="197"/>
      <c r="CP779" s="196"/>
      <c r="CQ779" s="196"/>
      <c r="CR779" s="196"/>
      <c r="CS779" s="196"/>
      <c r="CT779" s="196"/>
      <c r="CU779" s="196"/>
      <c r="CV779" s="194"/>
      <c r="CW779" s="194"/>
      <c r="CX779" s="194"/>
      <c r="CY779" s="194"/>
      <c r="CZ779" s="194"/>
      <c r="DA779" s="194"/>
      <c r="DB779" s="194"/>
      <c r="DC779" s="194"/>
      <c r="DD779" s="194"/>
      <c r="DE779" s="194"/>
      <c r="DF779" s="196"/>
      <c r="DG779" s="198"/>
      <c r="DH779" s="194"/>
      <c r="DI779" s="282"/>
      <c r="DJ779" s="282"/>
      <c r="DK779" s="282"/>
      <c r="DL779" s="282"/>
    </row>
    <row r="780" spans="1:116" s="24" customFormat="1" x14ac:dyDescent="0.3">
      <c r="A780" s="172"/>
      <c r="B780" s="172"/>
      <c r="C780" s="172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2"/>
      <c r="AT780" s="172"/>
      <c r="AU780" s="172"/>
      <c r="AV780" s="172"/>
      <c r="AW780" s="172"/>
      <c r="AX780" s="172"/>
      <c r="AY780" s="172"/>
      <c r="AZ780" s="172"/>
      <c r="BA780" s="172"/>
      <c r="BB780" s="172"/>
      <c r="BC780" s="172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  <c r="BT780" s="172"/>
      <c r="BU780" s="172"/>
      <c r="BV780" s="172"/>
      <c r="BW780" s="172"/>
      <c r="BX780" s="172"/>
      <c r="BY780" s="174"/>
      <c r="BZ780" s="172"/>
      <c r="CA780" s="172"/>
      <c r="CD780" s="194"/>
      <c r="CE780" s="194"/>
      <c r="CF780" s="194"/>
      <c r="CG780" s="194"/>
      <c r="CH780" s="195"/>
      <c r="CI780" s="194"/>
      <c r="CJ780" s="194"/>
      <c r="CK780" s="194"/>
      <c r="CL780" s="196"/>
      <c r="CM780" s="196"/>
      <c r="CN780" s="194"/>
      <c r="CO780" s="197"/>
      <c r="CP780" s="196"/>
      <c r="CQ780" s="196"/>
      <c r="CR780" s="196"/>
      <c r="CS780" s="196"/>
      <c r="CT780" s="196"/>
      <c r="CU780" s="196"/>
      <c r="CV780" s="194"/>
      <c r="CW780" s="194"/>
      <c r="CX780" s="194"/>
      <c r="CY780" s="194"/>
      <c r="CZ780" s="194"/>
      <c r="DA780" s="194"/>
      <c r="DB780" s="194"/>
      <c r="DC780" s="194"/>
      <c r="DD780" s="194"/>
      <c r="DE780" s="194"/>
      <c r="DF780" s="196"/>
      <c r="DG780" s="198"/>
      <c r="DH780" s="194"/>
      <c r="DI780" s="282"/>
      <c r="DJ780" s="282"/>
      <c r="DK780" s="282"/>
      <c r="DL780" s="282"/>
    </row>
    <row r="781" spans="1:116" s="24" customFormat="1" x14ac:dyDescent="0.3">
      <c r="A781" s="172"/>
      <c r="B781" s="172"/>
      <c r="C781" s="172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2"/>
      <c r="AT781" s="172"/>
      <c r="AU781" s="172"/>
      <c r="AV781" s="172"/>
      <c r="AW781" s="172"/>
      <c r="AX781" s="172"/>
      <c r="AY781" s="172"/>
      <c r="AZ781" s="172"/>
      <c r="BA781" s="172"/>
      <c r="BB781" s="172"/>
      <c r="BC781" s="172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  <c r="BT781" s="172"/>
      <c r="BU781" s="172"/>
      <c r="BV781" s="172"/>
      <c r="BW781" s="172"/>
      <c r="BX781" s="172"/>
      <c r="BY781" s="174"/>
      <c r="BZ781" s="172"/>
      <c r="CA781" s="172"/>
      <c r="CD781" s="194"/>
      <c r="CE781" s="194"/>
      <c r="CF781" s="194"/>
      <c r="CG781" s="194"/>
      <c r="CH781" s="195"/>
      <c r="CI781" s="194"/>
      <c r="CJ781" s="194"/>
      <c r="CK781" s="194"/>
      <c r="CL781" s="196"/>
      <c r="CM781" s="196"/>
      <c r="CN781" s="194"/>
      <c r="CO781" s="197"/>
      <c r="CP781" s="196"/>
      <c r="CQ781" s="196"/>
      <c r="CR781" s="196"/>
      <c r="CS781" s="196"/>
      <c r="CT781" s="196"/>
      <c r="CU781" s="196"/>
      <c r="CV781" s="194"/>
      <c r="CW781" s="194"/>
      <c r="CX781" s="194"/>
      <c r="CY781" s="194"/>
      <c r="CZ781" s="194"/>
      <c r="DA781" s="194"/>
      <c r="DB781" s="194"/>
      <c r="DC781" s="194"/>
      <c r="DD781" s="194"/>
      <c r="DE781" s="194"/>
      <c r="DF781" s="196"/>
      <c r="DG781" s="198"/>
      <c r="DH781" s="194"/>
      <c r="DI781" s="282"/>
      <c r="DJ781" s="282"/>
      <c r="DK781" s="282"/>
      <c r="DL781" s="282"/>
    </row>
    <row r="782" spans="1:116" s="24" customFormat="1" x14ac:dyDescent="0.3">
      <c r="A782" s="172"/>
      <c r="B782" s="172"/>
      <c r="C782" s="172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2"/>
      <c r="AT782" s="172"/>
      <c r="AU782" s="172"/>
      <c r="AV782" s="172"/>
      <c r="AW782" s="172"/>
      <c r="AX782" s="172"/>
      <c r="AY782" s="172"/>
      <c r="AZ782" s="172"/>
      <c r="BA782" s="172"/>
      <c r="BB782" s="172"/>
      <c r="BC782" s="172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  <c r="BT782" s="172"/>
      <c r="BU782" s="172"/>
      <c r="BV782" s="172"/>
      <c r="BW782" s="172"/>
      <c r="BX782" s="172"/>
      <c r="BY782" s="174"/>
      <c r="BZ782" s="172"/>
      <c r="CA782" s="172"/>
      <c r="CD782" s="194"/>
      <c r="CE782" s="194"/>
      <c r="CF782" s="194"/>
      <c r="CG782" s="194"/>
      <c r="CH782" s="195"/>
      <c r="CI782" s="194"/>
      <c r="CJ782" s="194"/>
      <c r="CK782" s="194"/>
      <c r="CL782" s="196"/>
      <c r="CM782" s="196"/>
      <c r="CN782" s="194"/>
      <c r="CO782" s="197"/>
      <c r="CP782" s="196"/>
      <c r="CQ782" s="196"/>
      <c r="CR782" s="196"/>
      <c r="CS782" s="196"/>
      <c r="CT782" s="196"/>
      <c r="CU782" s="196"/>
      <c r="CV782" s="194"/>
      <c r="CW782" s="194"/>
      <c r="CX782" s="194"/>
      <c r="CY782" s="194"/>
      <c r="CZ782" s="194"/>
      <c r="DA782" s="194"/>
      <c r="DB782" s="194"/>
      <c r="DC782" s="194"/>
      <c r="DD782" s="194"/>
      <c r="DE782" s="194"/>
      <c r="DF782" s="196"/>
      <c r="DG782" s="198"/>
      <c r="DH782" s="194"/>
      <c r="DI782" s="282"/>
      <c r="DJ782" s="282"/>
      <c r="DK782" s="282"/>
      <c r="DL782" s="282"/>
    </row>
    <row r="783" spans="1:116" s="24" customFormat="1" x14ac:dyDescent="0.3">
      <c r="A783" s="172"/>
      <c r="B783" s="172"/>
      <c r="C783" s="172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2"/>
      <c r="AT783" s="172"/>
      <c r="AU783" s="172"/>
      <c r="AV783" s="172"/>
      <c r="AW783" s="172"/>
      <c r="AX783" s="172"/>
      <c r="AY783" s="172"/>
      <c r="AZ783" s="172"/>
      <c r="BA783" s="172"/>
      <c r="BB783" s="172"/>
      <c r="BC783" s="172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  <c r="BT783" s="172"/>
      <c r="BU783" s="172"/>
      <c r="BV783" s="172"/>
      <c r="BW783" s="172"/>
      <c r="BX783" s="172"/>
      <c r="BY783" s="174"/>
      <c r="BZ783" s="172"/>
      <c r="CA783" s="172"/>
      <c r="CD783" s="194"/>
      <c r="CE783" s="194"/>
      <c r="CF783" s="194"/>
      <c r="CG783" s="194"/>
      <c r="CH783" s="195"/>
      <c r="CI783" s="194"/>
      <c r="CJ783" s="194"/>
      <c r="CK783" s="194"/>
      <c r="CL783" s="196"/>
      <c r="CM783" s="196"/>
      <c r="CN783" s="194"/>
      <c r="CO783" s="197"/>
      <c r="CP783" s="196"/>
      <c r="CQ783" s="196"/>
      <c r="CR783" s="196"/>
      <c r="CS783" s="196"/>
      <c r="CT783" s="196"/>
      <c r="CU783" s="196"/>
      <c r="CV783" s="194"/>
      <c r="CW783" s="194"/>
      <c r="CX783" s="194"/>
      <c r="CY783" s="194"/>
      <c r="CZ783" s="194"/>
      <c r="DA783" s="194"/>
      <c r="DB783" s="194"/>
      <c r="DC783" s="194"/>
      <c r="DD783" s="194"/>
      <c r="DE783" s="194"/>
      <c r="DF783" s="196"/>
      <c r="DG783" s="198"/>
      <c r="DH783" s="194"/>
      <c r="DI783" s="282"/>
      <c r="DJ783" s="282"/>
      <c r="DK783" s="282"/>
      <c r="DL783" s="282"/>
    </row>
    <row r="784" spans="1:116" s="24" customFormat="1" x14ac:dyDescent="0.3">
      <c r="A784" s="172"/>
      <c r="B784" s="172"/>
      <c r="C784" s="172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2"/>
      <c r="AT784" s="172"/>
      <c r="AU784" s="172"/>
      <c r="AV784" s="172"/>
      <c r="AW784" s="172"/>
      <c r="AX784" s="172"/>
      <c r="AY784" s="172"/>
      <c r="AZ784" s="172"/>
      <c r="BA784" s="172"/>
      <c r="BB784" s="172"/>
      <c r="BC784" s="172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  <c r="BT784" s="172"/>
      <c r="BU784" s="172"/>
      <c r="BV784" s="172"/>
      <c r="BW784" s="172"/>
      <c r="BX784" s="172"/>
      <c r="BY784" s="174"/>
      <c r="BZ784" s="172"/>
      <c r="CA784" s="172"/>
      <c r="CD784" s="194"/>
      <c r="CE784" s="194"/>
      <c r="CF784" s="194"/>
      <c r="CG784" s="194"/>
      <c r="CH784" s="195"/>
      <c r="CI784" s="194"/>
      <c r="CJ784" s="194"/>
      <c r="CK784" s="194"/>
      <c r="CL784" s="196"/>
      <c r="CM784" s="196"/>
      <c r="CN784" s="194"/>
      <c r="CO784" s="197"/>
      <c r="CP784" s="196"/>
      <c r="CQ784" s="196"/>
      <c r="CR784" s="196"/>
      <c r="CS784" s="196"/>
      <c r="CT784" s="196"/>
      <c r="CU784" s="196"/>
      <c r="CV784" s="194"/>
      <c r="CW784" s="194"/>
      <c r="CX784" s="194"/>
      <c r="CY784" s="194"/>
      <c r="CZ784" s="194"/>
      <c r="DA784" s="194"/>
      <c r="DB784" s="194"/>
      <c r="DC784" s="194"/>
      <c r="DD784" s="194"/>
      <c r="DE784" s="194"/>
      <c r="DF784" s="196"/>
      <c r="DG784" s="198"/>
      <c r="DH784" s="194"/>
      <c r="DI784" s="282"/>
      <c r="DJ784" s="282"/>
      <c r="DK784" s="282"/>
      <c r="DL784" s="282"/>
    </row>
    <row r="785" spans="1:116" s="24" customFormat="1" x14ac:dyDescent="0.3">
      <c r="A785" s="172"/>
      <c r="B785" s="172"/>
      <c r="C785" s="172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2"/>
      <c r="AT785" s="172"/>
      <c r="AU785" s="172"/>
      <c r="AV785" s="172"/>
      <c r="AW785" s="172"/>
      <c r="AX785" s="172"/>
      <c r="AY785" s="172"/>
      <c r="AZ785" s="172"/>
      <c r="BA785" s="172"/>
      <c r="BB785" s="172"/>
      <c r="BC785" s="172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  <c r="BT785" s="172"/>
      <c r="BU785" s="172"/>
      <c r="BV785" s="172"/>
      <c r="BW785" s="172"/>
      <c r="BX785" s="172"/>
      <c r="BY785" s="174"/>
      <c r="BZ785" s="172"/>
      <c r="CA785" s="172"/>
      <c r="CD785" s="194"/>
      <c r="CE785" s="194"/>
      <c r="CF785" s="194"/>
      <c r="CG785" s="194"/>
      <c r="CH785" s="195"/>
      <c r="CI785" s="194"/>
      <c r="CJ785" s="194"/>
      <c r="CK785" s="194"/>
      <c r="CL785" s="196"/>
      <c r="CM785" s="196"/>
      <c r="CN785" s="194"/>
      <c r="CO785" s="197"/>
      <c r="CP785" s="196"/>
      <c r="CQ785" s="196"/>
      <c r="CR785" s="196"/>
      <c r="CS785" s="196"/>
      <c r="CT785" s="196"/>
      <c r="CU785" s="196"/>
      <c r="CV785" s="194"/>
      <c r="CW785" s="194"/>
      <c r="CX785" s="194"/>
      <c r="CY785" s="194"/>
      <c r="CZ785" s="194"/>
      <c r="DA785" s="194"/>
      <c r="DB785" s="194"/>
      <c r="DC785" s="194"/>
      <c r="DD785" s="194"/>
      <c r="DE785" s="194"/>
      <c r="DF785" s="196"/>
      <c r="DG785" s="198"/>
      <c r="DH785" s="194"/>
      <c r="DI785" s="282"/>
      <c r="DJ785" s="282"/>
      <c r="DK785" s="282"/>
      <c r="DL785" s="282"/>
    </row>
    <row r="786" spans="1:116" s="24" customFormat="1" x14ac:dyDescent="0.3">
      <c r="A786" s="172"/>
      <c r="B786" s="172"/>
      <c r="C786" s="172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2"/>
      <c r="AT786" s="172"/>
      <c r="AU786" s="172"/>
      <c r="AV786" s="172"/>
      <c r="AW786" s="172"/>
      <c r="AX786" s="172"/>
      <c r="AY786" s="172"/>
      <c r="AZ786" s="172"/>
      <c r="BA786" s="172"/>
      <c r="BB786" s="172"/>
      <c r="BC786" s="172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  <c r="BT786" s="172"/>
      <c r="BU786" s="172"/>
      <c r="BV786" s="172"/>
      <c r="BW786" s="172"/>
      <c r="BX786" s="172"/>
      <c r="BY786" s="174"/>
      <c r="BZ786" s="172"/>
      <c r="CA786" s="172"/>
      <c r="CD786" s="194"/>
      <c r="CE786" s="194"/>
      <c r="CF786" s="194"/>
      <c r="CG786" s="194"/>
      <c r="CH786" s="195"/>
      <c r="CI786" s="194"/>
      <c r="CJ786" s="194"/>
      <c r="CK786" s="194"/>
      <c r="CL786" s="196"/>
      <c r="CM786" s="196"/>
      <c r="CN786" s="194"/>
      <c r="CO786" s="197"/>
      <c r="CP786" s="196"/>
      <c r="CQ786" s="196"/>
      <c r="CR786" s="196"/>
      <c r="CS786" s="196"/>
      <c r="CT786" s="196"/>
      <c r="CU786" s="196"/>
      <c r="CV786" s="194"/>
      <c r="CW786" s="194"/>
      <c r="CX786" s="194"/>
      <c r="CY786" s="194"/>
      <c r="CZ786" s="194"/>
      <c r="DA786" s="194"/>
      <c r="DB786" s="194"/>
      <c r="DC786" s="194"/>
      <c r="DD786" s="194"/>
      <c r="DE786" s="194"/>
      <c r="DF786" s="196"/>
      <c r="DG786" s="198"/>
      <c r="DH786" s="194"/>
      <c r="DI786" s="282"/>
      <c r="DJ786" s="282"/>
      <c r="DK786" s="282"/>
      <c r="DL786" s="282"/>
    </row>
    <row r="787" spans="1:116" s="24" customFormat="1" x14ac:dyDescent="0.3">
      <c r="A787" s="172"/>
      <c r="B787" s="172"/>
      <c r="C787" s="172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2"/>
      <c r="AT787" s="172"/>
      <c r="AU787" s="172"/>
      <c r="AV787" s="172"/>
      <c r="AW787" s="172"/>
      <c r="AX787" s="172"/>
      <c r="AY787" s="172"/>
      <c r="AZ787" s="172"/>
      <c r="BA787" s="172"/>
      <c r="BB787" s="172"/>
      <c r="BC787" s="172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  <c r="BT787" s="172"/>
      <c r="BU787" s="172"/>
      <c r="BV787" s="172"/>
      <c r="BW787" s="172"/>
      <c r="BX787" s="172"/>
      <c r="BY787" s="174"/>
      <c r="BZ787" s="172"/>
      <c r="CA787" s="172"/>
      <c r="CD787" s="194"/>
      <c r="CE787" s="194"/>
      <c r="CF787" s="194"/>
      <c r="CG787" s="194"/>
      <c r="CH787" s="195"/>
      <c r="CI787" s="194"/>
      <c r="CJ787" s="194"/>
      <c r="CK787" s="194"/>
      <c r="CL787" s="196"/>
      <c r="CM787" s="196"/>
      <c r="CN787" s="194"/>
      <c r="CO787" s="197"/>
      <c r="CP787" s="196"/>
      <c r="CQ787" s="196"/>
      <c r="CR787" s="196"/>
      <c r="CS787" s="196"/>
      <c r="CT787" s="196"/>
      <c r="CU787" s="196"/>
      <c r="CV787" s="194"/>
      <c r="CW787" s="194"/>
      <c r="CX787" s="194"/>
      <c r="CY787" s="194"/>
      <c r="CZ787" s="194"/>
      <c r="DA787" s="194"/>
      <c r="DB787" s="194"/>
      <c r="DC787" s="194"/>
      <c r="DD787" s="194"/>
      <c r="DE787" s="194"/>
      <c r="DF787" s="196"/>
      <c r="DG787" s="198"/>
      <c r="DH787" s="194"/>
      <c r="DI787" s="282"/>
      <c r="DJ787" s="282"/>
      <c r="DK787" s="282"/>
      <c r="DL787" s="282"/>
    </row>
    <row r="788" spans="1:116" s="24" customFormat="1" x14ac:dyDescent="0.3">
      <c r="A788" s="172"/>
      <c r="B788" s="172"/>
      <c r="C788" s="172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2"/>
      <c r="AT788" s="172"/>
      <c r="AU788" s="172"/>
      <c r="AV788" s="172"/>
      <c r="AW788" s="172"/>
      <c r="AX788" s="172"/>
      <c r="AY788" s="172"/>
      <c r="AZ788" s="172"/>
      <c r="BA788" s="172"/>
      <c r="BB788" s="172"/>
      <c r="BC788" s="172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  <c r="BT788" s="172"/>
      <c r="BU788" s="172"/>
      <c r="BV788" s="172"/>
      <c r="BW788" s="172"/>
      <c r="BX788" s="172"/>
      <c r="BY788" s="174"/>
      <c r="BZ788" s="172"/>
      <c r="CA788" s="172"/>
      <c r="CD788" s="194"/>
      <c r="CE788" s="194"/>
      <c r="CF788" s="194"/>
      <c r="CG788" s="194"/>
      <c r="CH788" s="195"/>
      <c r="CI788" s="194"/>
      <c r="CJ788" s="194"/>
      <c r="CK788" s="194"/>
      <c r="CL788" s="196"/>
      <c r="CM788" s="196"/>
      <c r="CN788" s="194"/>
      <c r="CO788" s="197"/>
      <c r="CP788" s="196"/>
      <c r="CQ788" s="196"/>
      <c r="CR788" s="196"/>
      <c r="CS788" s="196"/>
      <c r="CT788" s="196"/>
      <c r="CU788" s="196"/>
      <c r="CV788" s="194"/>
      <c r="CW788" s="194"/>
      <c r="CX788" s="194"/>
      <c r="CY788" s="194"/>
      <c r="CZ788" s="194"/>
      <c r="DA788" s="194"/>
      <c r="DB788" s="194"/>
      <c r="DC788" s="194"/>
      <c r="DD788" s="194"/>
      <c r="DE788" s="194"/>
      <c r="DF788" s="196"/>
      <c r="DG788" s="198"/>
      <c r="DH788" s="194"/>
      <c r="DI788" s="282"/>
      <c r="DJ788" s="282"/>
      <c r="DK788" s="282"/>
      <c r="DL788" s="282"/>
    </row>
    <row r="789" spans="1:116" x14ac:dyDescent="0.3">
      <c r="A789" s="172"/>
      <c r="B789" s="172"/>
      <c r="C789" s="172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2"/>
      <c r="AT789" s="172"/>
      <c r="AU789" s="172"/>
      <c r="AV789" s="172"/>
      <c r="AW789" s="172"/>
      <c r="AX789" s="172"/>
      <c r="AY789" s="172"/>
      <c r="AZ789" s="172"/>
      <c r="BA789" s="172"/>
      <c r="BB789" s="172"/>
      <c r="BC789" s="172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  <c r="BT789" s="172"/>
      <c r="BU789" s="172"/>
      <c r="BV789" s="172"/>
      <c r="BW789" s="172"/>
      <c r="BX789" s="172"/>
      <c r="BY789" s="174"/>
      <c r="BZ789" s="172"/>
      <c r="CA789" s="172"/>
      <c r="CH789" s="195"/>
      <c r="CI789" s="194"/>
    </row>
    <row r="790" spans="1:116" x14ac:dyDescent="0.3">
      <c r="A790" s="172"/>
      <c r="B790" s="172"/>
      <c r="C790" s="172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2"/>
      <c r="AT790" s="172"/>
      <c r="AU790" s="172"/>
      <c r="AV790" s="172"/>
      <c r="AW790" s="172"/>
      <c r="AX790" s="172"/>
      <c r="AY790" s="172"/>
      <c r="AZ790" s="172"/>
      <c r="BA790" s="172"/>
      <c r="BB790" s="172"/>
      <c r="BC790" s="172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  <c r="BT790" s="172"/>
      <c r="BU790" s="172"/>
      <c r="BV790" s="172"/>
      <c r="BW790" s="172"/>
      <c r="BX790" s="172"/>
      <c r="BY790" s="174"/>
      <c r="BZ790" s="172"/>
      <c r="CA790" s="172"/>
      <c r="CH790" s="195"/>
      <c r="CI790" s="194"/>
    </row>
    <row r="791" spans="1:116" x14ac:dyDescent="0.3">
      <c r="A791" s="172"/>
      <c r="B791" s="172"/>
      <c r="C791" s="172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2"/>
      <c r="AT791" s="172"/>
      <c r="AU791" s="172"/>
      <c r="AV791" s="172"/>
      <c r="AW791" s="172"/>
      <c r="AX791" s="172"/>
      <c r="AY791" s="172"/>
      <c r="AZ791" s="172"/>
      <c r="BA791" s="172"/>
      <c r="BB791" s="172"/>
      <c r="BC791" s="172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  <c r="BT791" s="172"/>
      <c r="BU791" s="172"/>
      <c r="BV791" s="172"/>
      <c r="BW791" s="172"/>
      <c r="BX791" s="172"/>
      <c r="BY791" s="174"/>
      <c r="BZ791" s="172"/>
      <c r="CA791" s="172"/>
    </row>
    <row r="792" spans="1:116" x14ac:dyDescent="0.3">
      <c r="A792" s="172"/>
      <c r="B792" s="172"/>
      <c r="C792" s="172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2"/>
      <c r="AT792" s="172"/>
      <c r="AU792" s="172"/>
      <c r="AV792" s="172"/>
      <c r="AW792" s="172"/>
      <c r="AX792" s="172"/>
      <c r="AY792" s="172"/>
      <c r="AZ792" s="172"/>
      <c r="BA792" s="172"/>
      <c r="BB792" s="172"/>
      <c r="BC792" s="172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  <c r="BT792" s="172"/>
      <c r="BU792" s="172"/>
      <c r="BV792" s="172"/>
      <c r="BW792" s="172"/>
      <c r="BX792" s="172"/>
      <c r="BY792" s="174"/>
      <c r="BZ792" s="172"/>
      <c r="CA792" s="172"/>
    </row>
    <row r="793" spans="1:116" x14ac:dyDescent="0.3">
      <c r="A793" s="172"/>
      <c r="B793" s="172"/>
      <c r="C793" s="172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2"/>
      <c r="AT793" s="172"/>
      <c r="AU793" s="172"/>
      <c r="AV793" s="172"/>
      <c r="AW793" s="172"/>
      <c r="AX793" s="172"/>
      <c r="AY793" s="172"/>
      <c r="AZ793" s="172"/>
      <c r="BA793" s="172"/>
      <c r="BB793" s="172"/>
      <c r="BC793" s="172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  <c r="BT793" s="172"/>
      <c r="BU793" s="172"/>
      <c r="BV793" s="172"/>
      <c r="BW793" s="172"/>
      <c r="BX793" s="172"/>
      <c r="BY793" s="174"/>
      <c r="BZ793" s="172"/>
      <c r="CA793" s="172"/>
    </row>
    <row r="794" spans="1:116" x14ac:dyDescent="0.3">
      <c r="A794" s="172"/>
      <c r="B794" s="172"/>
      <c r="C794" s="172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2"/>
      <c r="AT794" s="172"/>
      <c r="AU794" s="172"/>
      <c r="AV794" s="172"/>
      <c r="AW794" s="172"/>
      <c r="AX794" s="172"/>
      <c r="AY794" s="172"/>
      <c r="AZ794" s="172"/>
      <c r="BA794" s="172"/>
      <c r="BB794" s="172"/>
      <c r="BC794" s="172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  <c r="BT794" s="172"/>
      <c r="BU794" s="172"/>
      <c r="BV794" s="172"/>
      <c r="BW794" s="172"/>
      <c r="BX794" s="172"/>
      <c r="BY794" s="174"/>
      <c r="BZ794" s="172"/>
      <c r="CA794" s="172"/>
    </row>
    <row r="795" spans="1:116" x14ac:dyDescent="0.3">
      <c r="A795" s="172"/>
      <c r="B795" s="172"/>
      <c r="C795" s="172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2"/>
      <c r="AT795" s="172"/>
      <c r="AU795" s="172"/>
      <c r="AV795" s="172"/>
      <c r="AW795" s="172"/>
      <c r="AX795" s="172"/>
      <c r="AY795" s="172"/>
      <c r="AZ795" s="172"/>
      <c r="BA795" s="172"/>
      <c r="BB795" s="172"/>
      <c r="BC795" s="172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  <c r="BT795" s="172"/>
      <c r="BU795" s="172"/>
      <c r="BV795" s="172"/>
      <c r="BW795" s="172"/>
      <c r="BX795" s="172"/>
      <c r="BY795" s="174"/>
      <c r="BZ795" s="172"/>
      <c r="CA795" s="172"/>
    </row>
    <row r="796" spans="1:116" x14ac:dyDescent="0.3">
      <c r="A796" s="172"/>
      <c r="B796" s="172"/>
      <c r="C796" s="172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2"/>
      <c r="AT796" s="172"/>
      <c r="AU796" s="172"/>
      <c r="AV796" s="172"/>
      <c r="AW796" s="172"/>
      <c r="AX796" s="172"/>
      <c r="AY796" s="172"/>
      <c r="AZ796" s="172"/>
      <c r="BA796" s="172"/>
      <c r="BB796" s="172"/>
      <c r="BC796" s="172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  <c r="BT796" s="172"/>
      <c r="BU796" s="172"/>
      <c r="BV796" s="172"/>
      <c r="BW796" s="172"/>
      <c r="BX796" s="172"/>
      <c r="BY796" s="174"/>
      <c r="BZ796" s="172"/>
      <c r="CA796" s="172"/>
    </row>
    <row r="797" spans="1:116" x14ac:dyDescent="0.3">
      <c r="A797" s="172"/>
      <c r="B797" s="172"/>
      <c r="C797" s="172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2"/>
      <c r="AT797" s="172"/>
      <c r="AU797" s="172"/>
      <c r="AV797" s="172"/>
      <c r="AW797" s="172"/>
      <c r="AX797" s="172"/>
      <c r="AY797" s="172"/>
      <c r="AZ797" s="172"/>
      <c r="BA797" s="172"/>
      <c r="BB797" s="172"/>
      <c r="BC797" s="172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  <c r="BT797" s="172"/>
      <c r="BU797" s="172"/>
      <c r="BV797" s="172"/>
      <c r="BW797" s="172"/>
      <c r="BX797" s="172"/>
      <c r="BY797" s="174"/>
      <c r="BZ797" s="172"/>
      <c r="CA797" s="172"/>
    </row>
    <row r="798" spans="1:116" x14ac:dyDescent="0.3">
      <c r="A798" s="172"/>
      <c r="B798" s="172"/>
      <c r="C798" s="172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  <c r="AS798" s="172"/>
      <c r="AT798" s="172"/>
      <c r="AU798" s="172"/>
      <c r="AV798" s="172"/>
      <c r="AW798" s="172"/>
      <c r="AX798" s="172"/>
      <c r="AY798" s="172"/>
      <c r="AZ798" s="172"/>
      <c r="BA798" s="172"/>
      <c r="BB798" s="172"/>
      <c r="BC798" s="172"/>
      <c r="BD798" s="172"/>
      <c r="BE798" s="172"/>
      <c r="BF798" s="172"/>
      <c r="BG798" s="172"/>
      <c r="BH798" s="172"/>
      <c r="BI798" s="172"/>
      <c r="BJ798" s="172"/>
      <c r="BK798" s="172"/>
      <c r="BL798" s="172"/>
      <c r="BM798" s="172"/>
      <c r="BN798" s="172"/>
      <c r="BO798" s="172"/>
      <c r="BP798" s="172"/>
      <c r="BQ798" s="172"/>
      <c r="BR798" s="172"/>
      <c r="BS798" s="172"/>
      <c r="BT798" s="172"/>
      <c r="BU798" s="172"/>
      <c r="BV798" s="172"/>
      <c r="BW798" s="172"/>
      <c r="BX798" s="172"/>
      <c r="BY798" s="174"/>
      <c r="BZ798" s="172"/>
      <c r="CA798" s="172"/>
    </row>
    <row r="799" spans="1:116" x14ac:dyDescent="0.3">
      <c r="C799" s="172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  <c r="AQ799" s="173"/>
      <c r="AT799" s="172"/>
      <c r="AU799" s="172"/>
      <c r="AV799" s="172"/>
      <c r="AW799" s="172"/>
      <c r="AX799" s="172"/>
      <c r="AY799" s="172"/>
      <c r="AZ799" s="172"/>
      <c r="BA799" s="172"/>
      <c r="BB799" s="172"/>
      <c r="BC799" s="172"/>
      <c r="BD799" s="172"/>
      <c r="BE799" s="172"/>
      <c r="BF799" s="172"/>
      <c r="BG799" s="172"/>
      <c r="BH799" s="172"/>
      <c r="BI799" s="172"/>
      <c r="BJ799" s="172"/>
      <c r="BK799" s="172"/>
      <c r="BL799" s="172"/>
      <c r="BM799" s="172"/>
      <c r="BN799" s="172"/>
      <c r="BO799" s="172"/>
      <c r="BP799" s="172"/>
      <c r="BQ799" s="172"/>
      <c r="BR799" s="172"/>
      <c r="BS799" s="172"/>
      <c r="BT799" s="172"/>
      <c r="BU799" s="172"/>
      <c r="BV799" s="172"/>
      <c r="BW799" s="172"/>
    </row>
    <row r="800" spans="1:116" x14ac:dyDescent="0.3">
      <c r="C800" s="172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  <c r="AE800" s="173"/>
      <c r="AF800" s="173"/>
      <c r="AG800" s="173"/>
      <c r="AH800" s="173"/>
      <c r="AI800" s="173"/>
      <c r="AJ800" s="173"/>
      <c r="AK800" s="173"/>
      <c r="AL800" s="173"/>
      <c r="AM800" s="173"/>
      <c r="AN800" s="173"/>
      <c r="AO800" s="173"/>
      <c r="AP800" s="173"/>
      <c r="AQ800" s="173"/>
    </row>
    <row r="801" spans="3:43" x14ac:dyDescent="0.3">
      <c r="C801" s="172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  <c r="AE801" s="173"/>
      <c r="AF801" s="173"/>
      <c r="AG801" s="173"/>
      <c r="AH801" s="173"/>
      <c r="AI801" s="173"/>
      <c r="AJ801" s="173"/>
      <c r="AK801" s="173"/>
      <c r="AL801" s="173"/>
      <c r="AM801" s="173"/>
      <c r="AN801" s="173"/>
      <c r="AO801" s="173"/>
      <c r="AP801" s="173"/>
      <c r="AQ801" s="173"/>
    </row>
  </sheetData>
  <sheetProtection algorithmName="SHA-512" hashValue="zWPo+MLSlhyq40xAy4FcC+BH3U15l/57Y8gkYAPGQZbJZ2PGL8fJ5CWmv6loBq9/svDUI8tUIJ3t+DBcLmeY9g==" saltValue="EUY0wO8JwiobIyNz4InCVg==" spinCount="100000" sheet="1" objects="1" scenarios="1"/>
  <mergeCells count="204">
    <mergeCell ref="DM2:DX41"/>
    <mergeCell ref="D5:P5"/>
    <mergeCell ref="AI5:AP5"/>
    <mergeCell ref="AI6:AP6"/>
    <mergeCell ref="D24:AP24"/>
    <mergeCell ref="AF7:AI7"/>
    <mergeCell ref="AJ7:AP7"/>
    <mergeCell ref="E15:J15"/>
    <mergeCell ref="E16:J16"/>
    <mergeCell ref="E17:J17"/>
    <mergeCell ref="E18:J18"/>
    <mergeCell ref="D19:J19"/>
    <mergeCell ref="AJ18:AP18"/>
    <mergeCell ref="AG18:AI18"/>
    <mergeCell ref="U18:V18"/>
    <mergeCell ref="AG19:AP19"/>
    <mergeCell ref="BY19:BZ19"/>
    <mergeCell ref="BY18:BZ18"/>
    <mergeCell ref="AZ16:BC16"/>
    <mergeCell ref="AT8:BC8"/>
    <mergeCell ref="Z15:AF15"/>
    <mergeCell ref="Z16:AF16"/>
    <mergeCell ref="AT15:BC15"/>
    <mergeCell ref="K14:T14"/>
    <mergeCell ref="K15:T15"/>
    <mergeCell ref="K16:T16"/>
    <mergeCell ref="K17:T17"/>
    <mergeCell ref="AA10:AF10"/>
    <mergeCell ref="AA11:AF11"/>
    <mergeCell ref="AA13:AF13"/>
    <mergeCell ref="Z14:AF14"/>
    <mergeCell ref="U16:V16"/>
    <mergeCell ref="U17:V17"/>
    <mergeCell ref="K11:T11"/>
    <mergeCell ref="K12:T12"/>
    <mergeCell ref="K13:T13"/>
    <mergeCell ref="AG14:AP14"/>
    <mergeCell ref="AG15:AP15"/>
    <mergeCell ref="AA12:AF12"/>
    <mergeCell ref="Z8:AP8"/>
    <mergeCell ref="K19:T19"/>
    <mergeCell ref="AA18:AF18"/>
    <mergeCell ref="K18:T18"/>
    <mergeCell ref="BD6:BW6"/>
    <mergeCell ref="BD8:BJ8"/>
    <mergeCell ref="BK7:BP7"/>
    <mergeCell ref="BK8:BP8"/>
    <mergeCell ref="BD11:BW11"/>
    <mergeCell ref="BD7:BJ7"/>
    <mergeCell ref="BQ7:BW7"/>
    <mergeCell ref="BD17:BM17"/>
    <mergeCell ref="BD9:BW9"/>
    <mergeCell ref="AT7:BC7"/>
    <mergeCell ref="BQ8:BW8"/>
    <mergeCell ref="K9:T9"/>
    <mergeCell ref="AA17:AF17"/>
    <mergeCell ref="AG9:AP9"/>
    <mergeCell ref="AG10:AP10"/>
    <mergeCell ref="AG11:AP11"/>
    <mergeCell ref="AG12:AP12"/>
    <mergeCell ref="AT33:BC33"/>
    <mergeCell ref="BD33:BW33"/>
    <mergeCell ref="AT34:BC34"/>
    <mergeCell ref="BD34:BW34"/>
    <mergeCell ref="AT32:BC32"/>
    <mergeCell ref="BN30:BO30"/>
    <mergeCell ref="AT31:BC31"/>
    <mergeCell ref="BD31:BM31"/>
    <mergeCell ref="BN31:BO31"/>
    <mergeCell ref="BP30:BW31"/>
    <mergeCell ref="BD32:BJ32"/>
    <mergeCell ref="AU10:BC10"/>
    <mergeCell ref="AU11:BC11"/>
    <mergeCell ref="BY5:BZ5"/>
    <mergeCell ref="BY10:BZ10"/>
    <mergeCell ref="BY11:BZ11"/>
    <mergeCell ref="BY12:BZ12"/>
    <mergeCell ref="BY6:BZ6"/>
    <mergeCell ref="BN15:BW15"/>
    <mergeCell ref="BD10:BW10"/>
    <mergeCell ref="BD14:BW14"/>
    <mergeCell ref="BY8:BZ8"/>
    <mergeCell ref="BY9:BZ9"/>
    <mergeCell ref="BD15:BM15"/>
    <mergeCell ref="AT5:BC5"/>
    <mergeCell ref="AU12:BC12"/>
    <mergeCell ref="AT9:BC9"/>
    <mergeCell ref="AU13:BC13"/>
    <mergeCell ref="BD5:BW5"/>
    <mergeCell ref="BY22:BZ22"/>
    <mergeCell ref="BY23:BZ23"/>
    <mergeCell ref="BY20:BZ20"/>
    <mergeCell ref="BK27:BP27"/>
    <mergeCell ref="BY14:BZ14"/>
    <mergeCell ref="BY15:BZ15"/>
    <mergeCell ref="AT16:AX16"/>
    <mergeCell ref="BD30:BM30"/>
    <mergeCell ref="BQ32:BW32"/>
    <mergeCell ref="BK32:BP32"/>
    <mergeCell ref="BD29:BJ29"/>
    <mergeCell ref="BK29:BP29"/>
    <mergeCell ref="BQ29:BW29"/>
    <mergeCell ref="BD28:BJ28"/>
    <mergeCell ref="BK28:BP28"/>
    <mergeCell ref="BQ28:BW28"/>
    <mergeCell ref="BK19:BP19"/>
    <mergeCell ref="BD18:BM18"/>
    <mergeCell ref="BN18:BO18"/>
    <mergeCell ref="BK20:BW20"/>
    <mergeCell ref="BP18:BW18"/>
    <mergeCell ref="BQ19:BW19"/>
    <mergeCell ref="BD19:BJ20"/>
    <mergeCell ref="BD27:BJ27"/>
    <mergeCell ref="J38:AO38"/>
    <mergeCell ref="J37:AO37"/>
    <mergeCell ref="BD37:BW37"/>
    <mergeCell ref="D38:H39"/>
    <mergeCell ref="J39:AO39"/>
    <mergeCell ref="J36:AO36"/>
    <mergeCell ref="D35:AC35"/>
    <mergeCell ref="X41:AQ41"/>
    <mergeCell ref="D41:H41"/>
    <mergeCell ref="AT39:BC39"/>
    <mergeCell ref="BD39:BW39"/>
    <mergeCell ref="AT41:BC41"/>
    <mergeCell ref="BD36:BL36"/>
    <mergeCell ref="AT38:BC38"/>
    <mergeCell ref="BD38:BW38"/>
    <mergeCell ref="AT37:BC37"/>
    <mergeCell ref="BM36:BW36"/>
    <mergeCell ref="AT35:BC35"/>
    <mergeCell ref="BD35:BW35"/>
    <mergeCell ref="D33:AP33"/>
    <mergeCell ref="D36:H37"/>
    <mergeCell ref="AT27:BC29"/>
    <mergeCell ref="AT36:BC36"/>
    <mergeCell ref="D34:AP34"/>
    <mergeCell ref="BQ27:BW27"/>
    <mergeCell ref="AT26:BC26"/>
    <mergeCell ref="AT17:AX17"/>
    <mergeCell ref="AZ17:BC17"/>
    <mergeCell ref="AT18:AX18"/>
    <mergeCell ref="AZ18:BC18"/>
    <mergeCell ref="AT24:BC24"/>
    <mergeCell ref="AT25:BC25"/>
    <mergeCell ref="AT22:BC22"/>
    <mergeCell ref="AT23:BC23"/>
    <mergeCell ref="AT19:BC20"/>
    <mergeCell ref="AD23:AF23"/>
    <mergeCell ref="AG22:AL22"/>
    <mergeCell ref="AG23:AL23"/>
    <mergeCell ref="Z20:AF20"/>
    <mergeCell ref="AG20:AP20"/>
    <mergeCell ref="AA19:AF19"/>
    <mergeCell ref="AD22:AF22"/>
    <mergeCell ref="AT30:BC30"/>
    <mergeCell ref="CW3:DG3"/>
    <mergeCell ref="BD26:BW26"/>
    <mergeCell ref="BK25:BP25"/>
    <mergeCell ref="BQ25:BW25"/>
    <mergeCell ref="BD25:BJ25"/>
    <mergeCell ref="BD12:BJ12"/>
    <mergeCell ref="BK12:BP12"/>
    <mergeCell ref="BQ12:BW12"/>
    <mergeCell ref="BD23:BW23"/>
    <mergeCell ref="BD24:BJ24"/>
    <mergeCell ref="BK24:BP24"/>
    <mergeCell ref="BQ24:BW24"/>
    <mergeCell ref="BD16:BJ16"/>
    <mergeCell ref="BK16:BP16"/>
    <mergeCell ref="BQ16:BW16"/>
    <mergeCell ref="BD13:BW13"/>
    <mergeCell ref="BD22:BW22"/>
    <mergeCell ref="BY17:BZ17"/>
    <mergeCell ref="BN17:BO17"/>
    <mergeCell ref="AT3:BX3"/>
    <mergeCell ref="BY4:BZ4"/>
    <mergeCell ref="AT4:BC4"/>
    <mergeCell ref="BD4:BW4"/>
    <mergeCell ref="AT6:BC6"/>
    <mergeCell ref="CW4:CX4"/>
    <mergeCell ref="CW5:DD5"/>
    <mergeCell ref="BY16:BZ16"/>
    <mergeCell ref="BY13:BZ13"/>
    <mergeCell ref="AT14:BC14"/>
    <mergeCell ref="BP17:BW17"/>
    <mergeCell ref="C1:AQ1"/>
    <mergeCell ref="Z9:AF9"/>
    <mergeCell ref="C2:V2"/>
    <mergeCell ref="X2:AQ2"/>
    <mergeCell ref="D8:T8"/>
    <mergeCell ref="D9:J9"/>
    <mergeCell ref="F10:J10"/>
    <mergeCell ref="F11:J11"/>
    <mergeCell ref="F12:J12"/>
    <mergeCell ref="F13:J13"/>
    <mergeCell ref="E14:J14"/>
    <mergeCell ref="AG16:AI16"/>
    <mergeCell ref="AG17:AI17"/>
    <mergeCell ref="AJ16:AP16"/>
    <mergeCell ref="AJ17:AP17"/>
    <mergeCell ref="C3:AQ3"/>
    <mergeCell ref="AG13:AP13"/>
    <mergeCell ref="K10:T10"/>
  </mergeCells>
  <phoneticPr fontId="2" type="noConversion"/>
  <conditionalFormatting sqref="BQ25:BW25">
    <cfRule type="expression" dxfId="110" priority="19" stopIfTrue="1">
      <formula>$CE$24</formula>
    </cfRule>
  </conditionalFormatting>
  <conditionalFormatting sqref="BZ33">
    <cfRule type="expression" dxfId="109" priority="1">
      <formula>$CE$8</formula>
    </cfRule>
  </conditionalFormatting>
  <dataValidations count="17">
    <dataValidation type="list" allowBlank="1" showInputMessage="1" showErrorMessage="1" sqref="BD5:BW5">
      <formula1>Brand</formula1>
    </dataValidation>
    <dataValidation type="list" allowBlank="1" showInputMessage="1" showErrorMessage="1" sqref="BD6:BW6">
      <formula1>INDIRECT($BD$5)</formula1>
    </dataValidation>
    <dataValidation type="list" allowBlank="1" showInputMessage="1" showErrorMessage="1" sqref="BN15:BW15">
      <formula1>"서울,부산,대구,인천,대전,광주,울산/강원/전남,제주,세종/경북,경기,충남,충북,전북,경남"</formula1>
    </dataValidation>
    <dataValidation type="list" allowBlank="1" showInputMessage="1" showErrorMessage="1" errorTitle="12,24,36,48,60개월만 가능" error="12,24,36,48,60개월만 가능" sqref="BD22:BW22">
      <formula1>"12,24,36,48,60"</formula1>
    </dataValidation>
    <dataValidation type="whole" allowBlank="1" showInputMessage="1" showErrorMessage="1" errorTitle="상한 확인" error="상한 확인" sqref="BD17:BM18">
      <formula1>0</formula1>
      <formula2>BP17</formula2>
    </dataValidation>
    <dataValidation type="list" allowBlank="1" showInputMessage="1" showErrorMessage="1" sqref="BD27:BJ27 BD24:BJ25">
      <formula1>"취득원가비율,차량가비율,금액입력"</formula1>
    </dataValidation>
    <dataValidation type="list" allowBlank="1" showInputMessage="1" showErrorMessage="1" sqref="BD12:BJ12">
      <formula1>"비율입력,금액입력"</formula1>
    </dataValidation>
    <dataValidation type="list" allowBlank="1" showInputMessage="1" showErrorMessage="1" sqref="BD26:BW26">
      <formula1>약정주행거리</formula1>
    </dataValidation>
    <dataValidation type="list" allowBlank="1" showInputMessage="1" showErrorMessage="1" sqref="BQ7:BW7">
      <formula1>"DB자동연결,승용일반,승용SUV(~5인),승용SUV(7~10인),승합(11~15인),화물(1000cc 미만),화물(0.6톤 미만),화물(0.6~1톤 미만),화물(1~2.5톤 미만),화물(2.5~4.6톤 미만),화물(4.6톤 이상)"</formula1>
    </dataValidation>
    <dataValidation type="list" allowBlank="1" showInputMessage="1" showErrorMessage="1" sqref="BD19:BJ20">
      <formula1>"자동반영,비율입력,감면액입력,금액입력"</formula1>
    </dataValidation>
    <dataValidation type="list" allowBlank="1" showInputMessage="1" showErrorMessage="1" sqref="BD32:BJ32">
      <formula1>"리스료포함,미포함(별도청구)"</formula1>
    </dataValidation>
    <dataValidation type="list" allowBlank="1" showInputMessage="1" showErrorMessage="1" sqref="BD35:BW35">
      <formula1>부가서비스</formula1>
    </dataValidation>
    <dataValidation type="list" allowBlank="1" showInputMessage="1" showErrorMessage="1" sqref="CE45">
      <formula1>"TRUE,FALSE"</formula1>
    </dataValidation>
    <dataValidation type="list" allowBlank="1" showInputMessage="1" showErrorMessage="1" sqref="BD38:BW38">
      <formula1>"차량가 기준,취득원가 기준"</formula1>
    </dataValidation>
    <dataValidation type="decimal" errorStyle="information" allowBlank="1" showInputMessage="1" showErrorMessage="1" errorTitle="잔가범위 오류" error="최소/최대잔가 확인 후 입력해주세요" sqref="BK27:BP27">
      <formula1>BK28</formula1>
      <formula2>BK29</formula2>
    </dataValidation>
    <dataValidation type="custom" allowBlank="1" showInputMessage="1" showErrorMessage="1" sqref="BD30:BM30">
      <formula1>BD30+BD31&lt;13.21%</formula1>
    </dataValidation>
    <dataValidation type="custom" allowBlank="1" showInputMessage="1" showErrorMessage="1" sqref="BD31:BM31">
      <formula1>BD30+BD31&lt;13.21%</formula1>
    </dataValidation>
  </dataValidations>
  <printOptions horizontalCentered="1" verticalCentered="1"/>
  <pageMargins left="0.31496062992125984" right="0.15748031496062992" top="0.43307086614173229" bottom="0.23622047244094491" header="0" footer="0"/>
  <pageSetup paperSize="9" scale="8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8" r:id="rId4" name="Check Box 22">
              <controlPr locked="0" defaultSize="0" autoFill="0" autoLine="0" autoPict="0">
                <anchor moveWithCells="1" sizeWithCells="1">
                  <from>
                    <xdr:col>50</xdr:col>
                    <xdr:colOff>19050</xdr:colOff>
                    <xdr:row>15</xdr:row>
                    <xdr:rowOff>19050</xdr:rowOff>
                  </from>
                  <to>
                    <xdr:col>52</xdr:col>
                    <xdr:colOff>38100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5" name="Check Box 24">
              <controlPr locked="0" defaultSize="0" autoFill="0" autoLine="0" autoPict="0">
                <anchor moveWithCells="1" sizeWithCells="1">
                  <from>
                    <xdr:col>50</xdr:col>
                    <xdr:colOff>19050</xdr:colOff>
                    <xdr:row>16</xdr:row>
                    <xdr:rowOff>19050</xdr:rowOff>
                  </from>
                  <to>
                    <xdr:col>52</xdr:col>
                    <xdr:colOff>38100</xdr:colOff>
                    <xdr:row>16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6" name="Check Box 25">
              <controlPr locked="0" defaultSize="0" autoFill="0" autoLine="0" autoPict="0">
                <anchor moveWithCells="1" sizeWithCells="1">
                  <from>
                    <xdr:col>50</xdr:col>
                    <xdr:colOff>19050</xdr:colOff>
                    <xdr:row>17</xdr:row>
                    <xdr:rowOff>19050</xdr:rowOff>
                  </from>
                  <to>
                    <xdr:col>52</xdr:col>
                    <xdr:colOff>38100</xdr:colOff>
                    <xdr:row>17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7" name="Check Box 28">
              <controlPr locked="0" defaultSize="0" autoFill="0" autoLine="0" autoPict="0">
                <anchor moveWithCells="1" sizeWithCells="1">
                  <from>
                    <xdr:col>76</xdr:col>
                    <xdr:colOff>0</xdr:colOff>
                    <xdr:row>6</xdr:row>
                    <xdr:rowOff>28575</xdr:rowOff>
                  </from>
                  <to>
                    <xdr:col>76</xdr:col>
                    <xdr:colOff>266700</xdr:colOff>
                    <xdr:row>6</xdr:row>
                    <xdr:rowOff>190500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견적관리자용!$F$54:$F$56</xm:f>
          </x14:formula1>
          <xm:sqref>BY5:BZ5</xm:sqref>
        </x14:dataValidation>
        <x14:dataValidation type="decimal" allowBlank="1" showInputMessage="1" showErrorMessage="1" errorTitle="상한 확인" error="상한 확인">
          <x14:formula1>
            <xm:f>0</xm:f>
          </x14:formula1>
          <x14:formula2>
            <xm:f>견적관리자용!T37</xm:f>
          </x14:formula2>
          <xm:sqref>BD16:BJ16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">
    <tabColor theme="3"/>
  </sheetPr>
  <dimension ref="A1:KL800"/>
  <sheetViews>
    <sheetView showGridLines="0" zoomScale="85" zoomScaleNormal="85" zoomScaleSheetLayoutView="130" workbookViewId="0">
      <selection activeCell="BD5" sqref="BD5:BW5"/>
    </sheetView>
  </sheetViews>
  <sheetFormatPr defaultColWidth="0" defaultRowHeight="13.5" zeroHeight="1" x14ac:dyDescent="0.3"/>
  <cols>
    <col min="1" max="3" width="1.625" style="22" customWidth="1"/>
    <col min="4" max="44" width="1.625" style="32" customWidth="1"/>
    <col min="45" max="54" width="1.625" style="22" customWidth="1"/>
    <col min="55" max="55" width="1.75" style="22" customWidth="1"/>
    <col min="56" max="75" width="1.625" style="22" customWidth="1"/>
    <col min="76" max="76" width="1.375" style="22" customWidth="1"/>
    <col min="77" max="77" width="10.75" style="168" customWidth="1"/>
    <col min="78" max="78" width="21.125" style="22" customWidth="1"/>
    <col min="79" max="79" width="1.625" style="22" customWidth="1"/>
    <col min="80" max="80" width="3.5" style="24" hidden="1" customWidth="1"/>
    <col min="81" max="81" width="1.625" style="25" hidden="1" customWidth="1"/>
    <col min="82" max="82" width="15.125" style="26" hidden="1" customWidth="1"/>
    <col min="83" max="83" width="12.375" style="26" hidden="1" customWidth="1"/>
    <col min="84" max="84" width="8.625" style="26" hidden="1" customWidth="1"/>
    <col min="85" max="85" width="2.25" style="26" hidden="1" customWidth="1"/>
    <col min="86" max="86" width="20.5" style="27" hidden="1" customWidth="1"/>
    <col min="87" max="87" width="21.125" style="26" hidden="1" customWidth="1"/>
    <col min="88" max="88" width="10.25" style="26" hidden="1" customWidth="1"/>
    <col min="89" max="89" width="2.375" style="26" hidden="1" customWidth="1"/>
    <col min="90" max="90" width="7.75" style="28" hidden="1" customWidth="1"/>
    <col min="91" max="91" width="16.75" style="28" hidden="1" customWidth="1"/>
    <col min="92" max="92" width="3" style="26" hidden="1" customWidth="1"/>
    <col min="93" max="93" width="19.625" style="29" hidden="1" customWidth="1"/>
    <col min="94" max="95" width="14" style="28" hidden="1" customWidth="1"/>
    <col min="96" max="96" width="1.25" style="28" hidden="1" customWidth="1"/>
    <col min="97" max="99" width="14" style="28" hidden="1" customWidth="1"/>
    <col min="100" max="100" width="2.125" style="26" hidden="1" customWidth="1"/>
    <col min="101" max="101" width="5.25" style="26" hidden="1" customWidth="1"/>
    <col min="102" max="102" width="16.5" style="26" hidden="1" customWidth="1"/>
    <col min="103" max="107" width="9.625" style="26" hidden="1" customWidth="1"/>
    <col min="108" max="108" width="11.75" style="26" hidden="1" customWidth="1"/>
    <col min="109" max="109" width="5.125" style="26" hidden="1" customWidth="1"/>
    <col min="110" max="110" width="12.75" style="28" hidden="1" customWidth="1"/>
    <col min="111" max="111" width="12.875" style="30" hidden="1" customWidth="1"/>
    <col min="112" max="112" width="8.625" style="26" hidden="1" customWidth="1"/>
    <col min="113" max="113" width="8.75" style="26" hidden="1" customWidth="1"/>
    <col min="114" max="116" width="8.625" style="25" hidden="1" customWidth="1"/>
    <col min="117" max="117" width="3.625" style="24" hidden="1" customWidth="1"/>
    <col min="118" max="136" width="8.625" style="24" hidden="1" customWidth="1"/>
    <col min="137" max="298" width="9" style="24" hidden="1" customWidth="1"/>
    <col min="299" max="16384" width="9" style="25" hidden="1"/>
  </cols>
  <sheetData>
    <row r="1" spans="1:298" s="26" customFormat="1" ht="15.95" customHeight="1" x14ac:dyDescent="0.3">
      <c r="A1" s="22"/>
      <c r="B1" s="23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23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4"/>
      <c r="CC1" s="25"/>
      <c r="CH1" s="27"/>
      <c r="CL1" s="28"/>
      <c r="CM1" s="28"/>
      <c r="CO1" s="29"/>
      <c r="CP1" s="28"/>
      <c r="CQ1" s="28"/>
      <c r="CR1" s="28"/>
      <c r="CS1" s="28"/>
      <c r="CT1" s="28"/>
      <c r="CU1" s="28"/>
      <c r="DF1" s="28"/>
      <c r="DG1" s="30"/>
      <c r="DJ1" s="25"/>
      <c r="DK1" s="25"/>
      <c r="DL1" s="25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</row>
    <row r="2" spans="1:298" s="26" customFormat="1" ht="15.95" customHeight="1" x14ac:dyDescent="0.3">
      <c r="A2" s="22"/>
      <c r="B2" s="22"/>
      <c r="C2" s="684"/>
      <c r="D2" s="684"/>
      <c r="E2" s="684"/>
      <c r="F2" s="684"/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684"/>
      <c r="T2" s="684"/>
      <c r="U2" s="684"/>
      <c r="V2" s="684"/>
      <c r="W2" s="31"/>
      <c r="X2" s="684"/>
      <c r="Y2" s="684"/>
      <c r="Z2" s="684"/>
      <c r="AA2" s="684"/>
      <c r="AB2" s="684"/>
      <c r="AC2" s="684"/>
      <c r="AD2" s="684"/>
      <c r="AE2" s="684"/>
      <c r="AF2" s="684"/>
      <c r="AG2" s="684"/>
      <c r="AH2" s="684"/>
      <c r="AI2" s="684"/>
      <c r="AJ2" s="684"/>
      <c r="AK2" s="684"/>
      <c r="AL2" s="684"/>
      <c r="AM2" s="684"/>
      <c r="AN2" s="684"/>
      <c r="AO2" s="684"/>
      <c r="AP2" s="684"/>
      <c r="AQ2" s="684"/>
      <c r="AR2" s="3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4"/>
      <c r="CC2" s="25"/>
      <c r="CH2" s="27"/>
      <c r="CL2" s="28"/>
      <c r="CM2" s="28"/>
      <c r="CO2" s="29"/>
      <c r="CP2" s="28"/>
      <c r="CQ2" s="28"/>
      <c r="CR2" s="28"/>
      <c r="CS2" s="28"/>
      <c r="CT2" s="28"/>
      <c r="CU2" s="28"/>
      <c r="DF2" s="28"/>
      <c r="DG2" s="30"/>
      <c r="DJ2" s="25"/>
      <c r="DK2" s="25"/>
      <c r="DL2" s="25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</row>
    <row r="3" spans="1:298" s="26" customFormat="1" ht="30.75" customHeight="1" x14ac:dyDescent="0.3">
      <c r="A3" s="22"/>
      <c r="B3" s="22"/>
      <c r="C3" s="703" t="s">
        <v>388</v>
      </c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  <c r="AA3" s="703"/>
      <c r="AB3" s="703"/>
      <c r="AC3" s="703"/>
      <c r="AD3" s="703"/>
      <c r="AE3" s="703"/>
      <c r="AF3" s="703"/>
      <c r="AG3" s="703"/>
      <c r="AH3" s="703"/>
      <c r="AI3" s="703"/>
      <c r="AJ3" s="703"/>
      <c r="AK3" s="703"/>
      <c r="AL3" s="703"/>
      <c r="AM3" s="703"/>
      <c r="AN3" s="703"/>
      <c r="AO3" s="703"/>
      <c r="AP3" s="703"/>
      <c r="AQ3" s="703"/>
      <c r="AR3" s="316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33"/>
      <c r="BZ3" s="34"/>
      <c r="CA3" s="22"/>
      <c r="CB3" s="24"/>
      <c r="CC3" s="25"/>
      <c r="CH3" s="27"/>
      <c r="CL3" s="28"/>
      <c r="CM3" s="28"/>
      <c r="CO3" s="29"/>
      <c r="CP3" s="28"/>
      <c r="CQ3" s="28"/>
      <c r="CR3" s="28"/>
      <c r="CS3" s="199"/>
      <c r="CT3" s="199"/>
      <c r="CU3" s="199"/>
      <c r="CW3" s="708" t="s">
        <v>112</v>
      </c>
      <c r="CX3" s="709"/>
      <c r="CY3" s="709"/>
      <c r="CZ3" s="709"/>
      <c r="DA3" s="709"/>
      <c r="DB3" s="709"/>
      <c r="DC3" s="709"/>
      <c r="DD3" s="709"/>
      <c r="DE3" s="709"/>
      <c r="DF3" s="709"/>
      <c r="DG3" s="710"/>
      <c r="DJ3" s="25"/>
      <c r="DK3" s="25"/>
      <c r="DL3" s="25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</row>
    <row r="4" spans="1:298" s="26" customFormat="1" ht="15.95" customHeight="1" thickBot="1" x14ac:dyDescent="0.35">
      <c r="A4" s="22"/>
      <c r="B4" s="22"/>
      <c r="C4" s="316"/>
      <c r="D4" s="317"/>
      <c r="E4" s="318"/>
      <c r="F4" s="318"/>
      <c r="G4" s="318"/>
      <c r="H4" s="318"/>
      <c r="I4" s="318"/>
      <c r="J4" s="318"/>
      <c r="K4" s="318"/>
      <c r="L4" s="318"/>
      <c r="M4" s="318"/>
      <c r="N4" s="318"/>
      <c r="O4" s="318"/>
      <c r="P4" s="318"/>
      <c r="Q4" s="318"/>
      <c r="R4" s="318"/>
      <c r="S4" s="318"/>
      <c r="T4" s="318"/>
      <c r="U4" s="318"/>
      <c r="V4" s="318"/>
      <c r="W4" s="318"/>
      <c r="X4" s="318"/>
      <c r="Y4" s="318"/>
      <c r="Z4" s="318"/>
      <c r="AA4" s="318"/>
      <c r="AB4" s="318"/>
      <c r="AC4" s="318"/>
      <c r="AD4" s="318"/>
      <c r="AE4" s="318"/>
      <c r="AF4" s="318"/>
      <c r="AG4" s="318"/>
      <c r="AH4" s="318"/>
      <c r="AI4" s="587">
        <f>운용리스!AJ4</f>
        <v>0</v>
      </c>
      <c r="AJ4" s="587"/>
      <c r="AK4" s="587"/>
      <c r="AL4" s="587"/>
      <c r="AM4" s="587"/>
      <c r="AN4" s="587"/>
      <c r="AO4" s="587"/>
      <c r="AP4" s="587"/>
      <c r="AQ4" s="318"/>
      <c r="AR4" s="316"/>
      <c r="AS4" s="22"/>
      <c r="AT4" s="744" t="s">
        <v>204</v>
      </c>
      <c r="AU4" s="744"/>
      <c r="AV4" s="744"/>
      <c r="AW4" s="744"/>
      <c r="AX4" s="744"/>
      <c r="AY4" s="744"/>
      <c r="AZ4" s="744"/>
      <c r="BA4" s="744"/>
      <c r="BB4" s="744"/>
      <c r="BC4" s="745"/>
      <c r="BD4" s="746" t="s">
        <v>288</v>
      </c>
      <c r="BE4" s="747"/>
      <c r="BF4" s="747"/>
      <c r="BG4" s="747"/>
      <c r="BH4" s="747"/>
      <c r="BI4" s="747"/>
      <c r="BJ4" s="747"/>
      <c r="BK4" s="747"/>
      <c r="BL4" s="747"/>
      <c r="BM4" s="747"/>
      <c r="BN4" s="747"/>
      <c r="BO4" s="747"/>
      <c r="BP4" s="747"/>
      <c r="BQ4" s="747"/>
      <c r="BR4" s="747"/>
      <c r="BS4" s="747"/>
      <c r="BT4" s="747"/>
      <c r="BU4" s="747"/>
      <c r="BV4" s="747"/>
      <c r="BW4" s="747"/>
      <c r="BX4" s="22"/>
      <c r="BY4" s="943"/>
      <c r="BZ4" s="943"/>
      <c r="CA4" s="22"/>
      <c r="CB4" s="24"/>
      <c r="CC4" s="25"/>
      <c r="CH4" s="35" t="s">
        <v>83</v>
      </c>
      <c r="CI4" s="36" t="str">
        <f>IF($BD$15="당사명의","부산",$BN$15)</f>
        <v>부산</v>
      </c>
      <c r="CL4" s="37" t="s">
        <v>206</v>
      </c>
      <c r="CM4" s="38" t="e">
        <f>IRR($CM$5:$CM$65,0)*12</f>
        <v>#VALUE!</v>
      </c>
      <c r="CO4" s="39" t="s">
        <v>68</v>
      </c>
      <c r="CP4" s="40">
        <f>$CI$24</f>
        <v>36</v>
      </c>
      <c r="CQ4" s="41">
        <f>$CP$4</f>
        <v>36</v>
      </c>
      <c r="CR4" s="42"/>
      <c r="CS4" s="200"/>
      <c r="CT4" s="201"/>
      <c r="CU4" s="202"/>
      <c r="CW4" s="670" t="s">
        <v>82</v>
      </c>
      <c r="CX4" s="671"/>
      <c r="CY4" s="43">
        <v>0</v>
      </c>
      <c r="CZ4" s="43">
        <v>1000</v>
      </c>
      <c r="DA4" s="43">
        <v>1500</v>
      </c>
      <c r="DB4" s="43">
        <v>1600</v>
      </c>
      <c r="DC4" s="43">
        <v>2000</v>
      </c>
      <c r="DD4" s="44"/>
      <c r="DE4" s="45">
        <v>1</v>
      </c>
      <c r="DF4" s="46"/>
      <c r="DG4" s="47"/>
      <c r="DJ4" s="25"/>
      <c r="DK4" s="25"/>
      <c r="DL4" s="25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</row>
    <row r="5" spans="1:298" s="26" customFormat="1" ht="15.95" customHeight="1" thickTop="1" thickBot="1" x14ac:dyDescent="0.35">
      <c r="A5" s="22"/>
      <c r="B5" s="22"/>
      <c r="C5" s="316"/>
      <c r="D5" s="920" t="str">
        <f>IF($BD$4="","VVIP 고객님",$BD$4&amp;" 고객님")</f>
        <v>VVIP 고객님</v>
      </c>
      <c r="E5" s="920"/>
      <c r="F5" s="920"/>
      <c r="G5" s="920"/>
      <c r="H5" s="920"/>
      <c r="I5" s="920"/>
      <c r="J5" s="920"/>
      <c r="K5" s="920"/>
      <c r="L5" s="920"/>
      <c r="M5" s="920"/>
      <c r="N5" s="920"/>
      <c r="O5" s="920"/>
      <c r="P5" s="920"/>
      <c r="Q5" s="319"/>
      <c r="R5" s="319"/>
      <c r="S5" s="319"/>
      <c r="T5" s="319"/>
      <c r="U5" s="319"/>
      <c r="V5" s="318"/>
      <c r="W5" s="318"/>
      <c r="X5" s="318"/>
      <c r="Y5" s="318"/>
      <c r="Z5" s="323" t="s">
        <v>378</v>
      </c>
      <c r="AA5" s="323"/>
      <c r="AB5" s="323"/>
      <c r="AC5" s="324"/>
      <c r="AD5" s="323"/>
      <c r="AE5" s="325"/>
      <c r="AF5" s="323"/>
      <c r="AG5" s="325"/>
      <c r="AH5" s="323"/>
      <c r="AI5" s="921">
        <f ca="1">TODAY()</f>
        <v>45946</v>
      </c>
      <c r="AJ5" s="921"/>
      <c r="AK5" s="921"/>
      <c r="AL5" s="921"/>
      <c r="AM5" s="921"/>
      <c r="AN5" s="921"/>
      <c r="AO5" s="921"/>
      <c r="AP5" s="921"/>
      <c r="AQ5" s="318"/>
      <c r="AR5" s="316"/>
      <c r="AS5" s="22"/>
      <c r="AT5" s="827" t="s">
        <v>43</v>
      </c>
      <c r="AU5" s="828"/>
      <c r="AV5" s="828"/>
      <c r="AW5" s="828"/>
      <c r="AX5" s="828"/>
      <c r="AY5" s="828"/>
      <c r="AZ5" s="828"/>
      <c r="BA5" s="828"/>
      <c r="BB5" s="828"/>
      <c r="BC5" s="828"/>
      <c r="BD5" s="832" t="s">
        <v>607</v>
      </c>
      <c r="BE5" s="832"/>
      <c r="BF5" s="832"/>
      <c r="BG5" s="832"/>
      <c r="BH5" s="832"/>
      <c r="BI5" s="832"/>
      <c r="BJ5" s="832"/>
      <c r="BK5" s="832"/>
      <c r="BL5" s="832"/>
      <c r="BM5" s="832"/>
      <c r="BN5" s="832"/>
      <c r="BO5" s="832"/>
      <c r="BP5" s="832"/>
      <c r="BQ5" s="832"/>
      <c r="BR5" s="832"/>
      <c r="BS5" s="832"/>
      <c r="BT5" s="832"/>
      <c r="BU5" s="832"/>
      <c r="BV5" s="832"/>
      <c r="BW5" s="833"/>
      <c r="BX5" s="22"/>
      <c r="BY5" s="815" t="s">
        <v>646</v>
      </c>
      <c r="BZ5" s="816"/>
      <c r="CA5" s="22"/>
      <c r="CB5" s="24"/>
      <c r="CC5" s="25"/>
      <c r="CH5" s="35" t="s">
        <v>46</v>
      </c>
      <c r="CI5" s="48" t="str">
        <f>IF($BQ$7="DB자동연결",$BD$7,$BQ$7)</f>
        <v>승용일반</v>
      </c>
      <c r="CL5" s="49">
        <v>0</v>
      </c>
      <c r="CM5" s="50" t="e">
        <f>-$CP$17+$CP$22</f>
        <v>#N/A</v>
      </c>
      <c r="CO5" s="51" t="s">
        <v>128</v>
      </c>
      <c r="CP5" s="52">
        <f>$CI$25</f>
        <v>0.1</v>
      </c>
      <c r="CQ5" s="53">
        <f>$CP$5</f>
        <v>0.1</v>
      </c>
      <c r="CR5" s="54"/>
      <c r="CS5" s="203"/>
      <c r="CT5" s="204"/>
      <c r="CU5" s="205"/>
      <c r="CW5" s="672"/>
      <c r="CX5" s="673"/>
      <c r="CY5" s="673"/>
      <c r="CZ5" s="673"/>
      <c r="DA5" s="673"/>
      <c r="DB5" s="673"/>
      <c r="DC5" s="673"/>
      <c r="DD5" s="674"/>
      <c r="DE5" s="56">
        <v>2</v>
      </c>
      <c r="DF5" s="46"/>
      <c r="DG5" s="47">
        <f>IF($CI$4="서울",$DG$6,IF($CI$4="부산",$DG$16,IF($CI$4="대구",$DG$26,IF($CI$4="인천",$DG$36,IF($CI$4="대전",$DG$46,IF($CI$4="광주",$DG$56,IF($CI$4="울산/강원/전남",$DG$66,IF($CI$4="제주",$DG$76,IF($CI$4="세종/경북",$DG$86,IF($CI$4="경기",$DG$96,IF($CI$4="충남",$DG$106,IF($CI$4="충북",$DG$116,IF($CI$4="전북",$DG$126,IF($CI$4="경남",$DG$136,0))))))))))))))</f>
        <v>0</v>
      </c>
      <c r="DJ5" s="25"/>
      <c r="DK5" s="25"/>
      <c r="DL5" s="25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</row>
    <row r="6" spans="1:298" s="26" customFormat="1" ht="15.95" customHeight="1" thickBot="1" x14ac:dyDescent="0.25">
      <c r="A6" s="22"/>
      <c r="B6" s="22"/>
      <c r="C6" s="167"/>
      <c r="D6" s="330"/>
      <c r="E6" s="320"/>
      <c r="F6" s="320"/>
      <c r="G6" s="320"/>
      <c r="H6" s="322"/>
      <c r="I6" s="322"/>
      <c r="J6" s="320"/>
      <c r="K6" s="320"/>
      <c r="L6" s="320"/>
      <c r="M6" s="320"/>
      <c r="N6" s="320"/>
      <c r="O6" s="320"/>
      <c r="P6" s="320"/>
      <c r="Q6" s="320"/>
      <c r="R6" s="320"/>
      <c r="S6" s="320"/>
      <c r="T6" s="319"/>
      <c r="U6" s="319"/>
      <c r="V6" s="319"/>
      <c r="W6" s="319"/>
      <c r="X6" s="319"/>
      <c r="Y6" s="319"/>
      <c r="Z6" s="320" t="s">
        <v>376</v>
      </c>
      <c r="AA6" s="320"/>
      <c r="AB6" s="320"/>
      <c r="AC6" s="321"/>
      <c r="AD6" s="320"/>
      <c r="AE6" s="319"/>
      <c r="AF6" s="320"/>
      <c r="AG6" s="319"/>
      <c r="AH6" s="320"/>
      <c r="AI6" s="922">
        <f ca="1">AI5+7</f>
        <v>45953</v>
      </c>
      <c r="AJ6" s="922"/>
      <c r="AK6" s="922"/>
      <c r="AL6" s="922"/>
      <c r="AM6" s="922"/>
      <c r="AN6" s="922"/>
      <c r="AO6" s="922"/>
      <c r="AP6" s="922"/>
      <c r="AQ6" s="313"/>
      <c r="AR6" s="315"/>
      <c r="AS6" s="22"/>
      <c r="AT6" s="748" t="s">
        <v>44</v>
      </c>
      <c r="AU6" s="749"/>
      <c r="AV6" s="749"/>
      <c r="AW6" s="749"/>
      <c r="AX6" s="749"/>
      <c r="AY6" s="749"/>
      <c r="AZ6" s="749"/>
      <c r="BA6" s="749"/>
      <c r="BB6" s="749"/>
      <c r="BC6" s="749"/>
      <c r="BD6" s="880" t="s">
        <v>943</v>
      </c>
      <c r="BE6" s="880"/>
      <c r="BF6" s="880"/>
      <c r="BG6" s="880"/>
      <c r="BH6" s="880"/>
      <c r="BI6" s="880"/>
      <c r="BJ6" s="880"/>
      <c r="BK6" s="880"/>
      <c r="BL6" s="880"/>
      <c r="BM6" s="880"/>
      <c r="BN6" s="880"/>
      <c r="BO6" s="880"/>
      <c r="BP6" s="880"/>
      <c r="BQ6" s="880"/>
      <c r="BR6" s="880"/>
      <c r="BS6" s="880"/>
      <c r="BT6" s="880"/>
      <c r="BU6" s="880"/>
      <c r="BV6" s="880"/>
      <c r="BW6" s="881"/>
      <c r="BX6" s="22"/>
      <c r="BY6" s="817" t="s">
        <v>701</v>
      </c>
      <c r="BZ6" s="817"/>
      <c r="CA6" s="22"/>
      <c r="CB6" s="24"/>
      <c r="CC6" s="25"/>
      <c r="CH6" s="35" t="s">
        <v>35</v>
      </c>
      <c r="CI6" s="57">
        <f>IF($BQ$8&gt;0,$BQ$8,$BD$8)</f>
        <v>1991</v>
      </c>
      <c r="CL6" s="49">
        <v>1</v>
      </c>
      <c r="CM6" s="50" t="e">
        <f>IF(CL6&lt;$CQ$4,$CQ$28,IF(CL6=$CQ$4,$CQ$28+$CQ$24,0))</f>
        <v>#N/A</v>
      </c>
      <c r="CO6" s="29"/>
      <c r="CP6" s="28"/>
      <c r="CQ6" s="28"/>
      <c r="CR6" s="28"/>
      <c r="CS6" s="199"/>
      <c r="CT6" s="199"/>
      <c r="CU6" s="199"/>
      <c r="CW6" s="58" t="s">
        <v>81</v>
      </c>
      <c r="CX6" s="59" t="str">
        <f>견적관리자용!$S$8</f>
        <v>승용일반</v>
      </c>
      <c r="CY6" s="60">
        <v>0</v>
      </c>
      <c r="CZ6" s="61">
        <v>0.09</v>
      </c>
      <c r="DA6" s="61">
        <v>0.09</v>
      </c>
      <c r="DB6" s="61">
        <v>0.12</v>
      </c>
      <c r="DC6" s="61">
        <v>0.2</v>
      </c>
      <c r="DD6" s="62">
        <f>HLOOKUP($CI$6,$CY$4:$DC$145,DE6,TRUE)</f>
        <v>0.12</v>
      </c>
      <c r="DE6" s="63">
        <v>3</v>
      </c>
      <c r="DF6" s="62">
        <f t="shared" ref="DF6:DF69" si="0">IF($CI$5=CX6,DD6,0)</f>
        <v>0.12</v>
      </c>
      <c r="DG6" s="64">
        <f>SUM(DF6:DF15)</f>
        <v>0.12</v>
      </c>
      <c r="DJ6" s="25"/>
      <c r="DK6" s="25"/>
      <c r="DL6" s="25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</row>
    <row r="7" spans="1:298" s="26" customFormat="1" ht="15.95" customHeight="1" thickTop="1" x14ac:dyDescent="0.2">
      <c r="A7" s="22"/>
      <c r="B7" s="22"/>
      <c r="C7" s="167"/>
      <c r="D7" s="330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26" t="s">
        <v>375</v>
      </c>
      <c r="AA7" s="326"/>
      <c r="AB7" s="326"/>
      <c r="AC7" s="339"/>
      <c r="AD7" s="326"/>
      <c r="AE7" s="328"/>
      <c r="AF7" s="924" t="str">
        <f>IF(BD30=0,"",BD30)</f>
        <v>OOO</v>
      </c>
      <c r="AG7" s="924"/>
      <c r="AH7" s="924"/>
      <c r="AI7" s="924"/>
      <c r="AJ7" s="925" t="str">
        <f>BM30</f>
        <v>010-0000-0000</v>
      </c>
      <c r="AK7" s="925"/>
      <c r="AL7" s="925"/>
      <c r="AM7" s="925"/>
      <c r="AN7" s="925"/>
      <c r="AO7" s="925"/>
      <c r="AP7" s="925"/>
      <c r="AQ7" s="313"/>
      <c r="AR7" s="315"/>
      <c r="AS7" s="22"/>
      <c r="AT7" s="896" t="s">
        <v>46</v>
      </c>
      <c r="AU7" s="897"/>
      <c r="AV7" s="897"/>
      <c r="AW7" s="897"/>
      <c r="AX7" s="897"/>
      <c r="AY7" s="897"/>
      <c r="AZ7" s="897"/>
      <c r="BA7" s="897"/>
      <c r="BB7" s="897"/>
      <c r="BC7" s="897"/>
      <c r="BD7" s="939" t="str">
        <f>VLOOKUP($BD$6,차량DB!$F$5:$P$88845,3,FALSE)</f>
        <v>승용일반</v>
      </c>
      <c r="BE7" s="939"/>
      <c r="BF7" s="939"/>
      <c r="BG7" s="939"/>
      <c r="BH7" s="939"/>
      <c r="BI7" s="939"/>
      <c r="BJ7" s="940"/>
      <c r="BK7" s="884" t="s">
        <v>49</v>
      </c>
      <c r="BL7" s="885"/>
      <c r="BM7" s="885"/>
      <c r="BN7" s="885"/>
      <c r="BO7" s="885"/>
      <c r="BP7" s="885"/>
      <c r="BQ7" s="892" t="s">
        <v>60</v>
      </c>
      <c r="BR7" s="892"/>
      <c r="BS7" s="892"/>
      <c r="BT7" s="892"/>
      <c r="BU7" s="892"/>
      <c r="BV7" s="892"/>
      <c r="BW7" s="893"/>
      <c r="BX7" s="22"/>
      <c r="BY7" s="300" t="s">
        <v>667</v>
      </c>
      <c r="BZ7" s="307"/>
      <c r="CA7" s="22"/>
      <c r="CB7" s="24"/>
      <c r="CC7" s="25"/>
      <c r="CD7" s="301" t="s">
        <v>334</v>
      </c>
      <c r="CE7" s="302" t="b">
        <v>0</v>
      </c>
      <c r="CH7" s="183" t="s">
        <v>327</v>
      </c>
      <c r="CI7" s="67">
        <f>+VLOOKUP(BD6,차량DB!F:Q,12,0)</f>
        <v>0</v>
      </c>
      <c r="CL7" s="49">
        <v>2</v>
      </c>
      <c r="CM7" s="50" t="e">
        <f t="shared" ref="CM7:CM65" si="1">IF(CL7&lt;$CQ$4,$CQ$28,IF(CL7=$CQ$4,$CQ$28+$CQ$24,0))</f>
        <v>#N/A</v>
      </c>
      <c r="CO7" s="39"/>
      <c r="CP7" s="40" t="s">
        <v>178</v>
      </c>
      <c r="CQ7" s="41" t="s">
        <v>179</v>
      </c>
      <c r="CR7" s="42"/>
      <c r="CS7" s="200"/>
      <c r="CT7" s="201"/>
      <c r="CU7" s="202"/>
      <c r="CW7" s="68"/>
      <c r="CX7" s="69" t="str">
        <f>견적관리자용!$S$9</f>
        <v>승용SUV(~5인)</v>
      </c>
      <c r="CY7" s="70">
        <v>0</v>
      </c>
      <c r="CZ7" s="71">
        <v>0.05</v>
      </c>
      <c r="DA7" s="71">
        <v>0.05</v>
      </c>
      <c r="DB7" s="71">
        <v>0.05</v>
      </c>
      <c r="DC7" s="71">
        <v>0.05</v>
      </c>
      <c r="DD7" s="72">
        <f>HLOOKUP($CI$6,$CY$4:$DC$145,DE7,TRUE)</f>
        <v>0.05</v>
      </c>
      <c r="DE7" s="73">
        <v>4</v>
      </c>
      <c r="DF7" s="72">
        <f t="shared" si="0"/>
        <v>0</v>
      </c>
      <c r="DG7" s="74"/>
      <c r="DJ7" s="25"/>
      <c r="DK7" s="25"/>
      <c r="DL7" s="25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</row>
    <row r="8" spans="1:298" s="26" customFormat="1" ht="15.95" customHeight="1" x14ac:dyDescent="0.3">
      <c r="A8" s="22"/>
      <c r="B8" s="22"/>
      <c r="C8" s="167"/>
      <c r="D8" s="920" t="str">
        <f>IF(CE7=FALSE,$BD$6,BZ7)</f>
        <v>A 250 4Matic Sedan</v>
      </c>
      <c r="E8" s="920"/>
      <c r="F8" s="920"/>
      <c r="G8" s="920"/>
      <c r="H8" s="920"/>
      <c r="I8" s="920"/>
      <c r="J8" s="920"/>
      <c r="K8" s="920"/>
      <c r="L8" s="920"/>
      <c r="M8" s="920"/>
      <c r="N8" s="920"/>
      <c r="O8" s="920"/>
      <c r="P8" s="920"/>
      <c r="Q8" s="920"/>
      <c r="R8" s="920"/>
      <c r="S8" s="920"/>
      <c r="T8" s="920"/>
      <c r="U8" s="75"/>
      <c r="V8" s="75"/>
      <c r="W8" s="75"/>
      <c r="X8" s="75"/>
      <c r="Y8" s="75"/>
      <c r="Z8" s="944"/>
      <c r="AA8" s="944"/>
      <c r="AB8" s="944"/>
      <c r="AC8" s="944"/>
      <c r="AD8" s="944"/>
      <c r="AE8" s="944"/>
      <c r="AF8" s="944"/>
      <c r="AG8" s="944"/>
      <c r="AH8" s="944"/>
      <c r="AI8" s="944"/>
      <c r="AJ8" s="944"/>
      <c r="AK8" s="944"/>
      <c r="AL8" s="944"/>
      <c r="AM8" s="944"/>
      <c r="AN8" s="944"/>
      <c r="AO8" s="944"/>
      <c r="AP8" s="944"/>
      <c r="AQ8" s="65"/>
      <c r="AR8" s="32"/>
      <c r="AS8" s="22"/>
      <c r="AT8" s="933" t="s">
        <v>35</v>
      </c>
      <c r="AU8" s="934"/>
      <c r="AV8" s="934"/>
      <c r="AW8" s="934"/>
      <c r="AX8" s="934"/>
      <c r="AY8" s="934"/>
      <c r="AZ8" s="934"/>
      <c r="BA8" s="934"/>
      <c r="BB8" s="934"/>
      <c r="BC8" s="934"/>
      <c r="BD8" s="941">
        <f>VLOOKUP($BD$6,차량DB!$F$5:$P$88845,2,FALSE)</f>
        <v>1991</v>
      </c>
      <c r="BE8" s="941"/>
      <c r="BF8" s="941"/>
      <c r="BG8" s="941"/>
      <c r="BH8" s="941"/>
      <c r="BI8" s="941"/>
      <c r="BJ8" s="942"/>
      <c r="BK8" s="886" t="s">
        <v>50</v>
      </c>
      <c r="BL8" s="887"/>
      <c r="BM8" s="887"/>
      <c r="BN8" s="887"/>
      <c r="BO8" s="887"/>
      <c r="BP8" s="887"/>
      <c r="BQ8" s="898">
        <v>0</v>
      </c>
      <c r="BR8" s="898"/>
      <c r="BS8" s="898"/>
      <c r="BT8" s="898"/>
      <c r="BU8" s="898"/>
      <c r="BV8" s="898"/>
      <c r="BW8" s="899"/>
      <c r="BX8" s="22"/>
      <c r="BY8" s="817" t="s">
        <v>666</v>
      </c>
      <c r="BZ8" s="817"/>
      <c r="CA8" s="22"/>
      <c r="CB8" s="24"/>
      <c r="CC8" s="25"/>
      <c r="CD8" s="548" t="s">
        <v>664</v>
      </c>
      <c r="CE8" s="549" t="b">
        <v>0</v>
      </c>
      <c r="CH8" s="35" t="s">
        <v>80</v>
      </c>
      <c r="CI8" s="76" t="str">
        <f>IFERROR(IF($CJ$8="모두가능","Y",IF($CJ$8="모두불가","",VLOOKUP($BD$6,차량DB!$F$5:$P$88845,11,FALSE))),"")</f>
        <v>Y</v>
      </c>
      <c r="CJ8" s="77" t="str">
        <f>견적관리자용!$Q$30</f>
        <v>DB적용</v>
      </c>
      <c r="CK8" s="78"/>
      <c r="CL8" s="49">
        <v>3</v>
      </c>
      <c r="CM8" s="50" t="e">
        <f t="shared" si="1"/>
        <v>#N/A</v>
      </c>
      <c r="CN8" s="78"/>
      <c r="CO8" s="79" t="s">
        <v>239</v>
      </c>
      <c r="CP8" s="42">
        <f>$CI$23</f>
        <v>53381810</v>
      </c>
      <c r="CQ8" s="50">
        <f>$CP$8</f>
        <v>53381810</v>
      </c>
      <c r="CR8" s="42"/>
      <c r="CS8" s="206"/>
      <c r="CT8" s="207"/>
      <c r="CU8" s="202"/>
      <c r="CW8" s="68"/>
      <c r="CX8" s="69" t="str">
        <f>견적관리자용!$S$10</f>
        <v>승용SUV(7~10인)</v>
      </c>
      <c r="CY8" s="70">
        <v>0</v>
      </c>
      <c r="CZ8" s="70">
        <v>390000</v>
      </c>
      <c r="DA8" s="80">
        <v>390000</v>
      </c>
      <c r="DB8" s="80">
        <v>390000</v>
      </c>
      <c r="DC8" s="80">
        <v>390000</v>
      </c>
      <c r="DD8" s="72">
        <f t="shared" ref="DD8:DD71" si="2">HLOOKUP($CI$6,$CY$4:$DC$145,DE8,TRUE)</f>
        <v>390000</v>
      </c>
      <c r="DE8" s="73">
        <v>5</v>
      </c>
      <c r="DF8" s="72">
        <f t="shared" si="0"/>
        <v>0</v>
      </c>
      <c r="DG8" s="74"/>
      <c r="DJ8" s="25"/>
      <c r="DK8" s="25"/>
      <c r="DL8" s="25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</row>
    <row r="9" spans="1:298" s="26" customFormat="1" ht="15.95" customHeight="1" thickBot="1" x14ac:dyDescent="0.35">
      <c r="A9" s="22"/>
      <c r="B9" s="22"/>
      <c r="C9" s="167"/>
      <c r="D9" s="686" t="s">
        <v>226</v>
      </c>
      <c r="E9" s="687"/>
      <c r="F9" s="687"/>
      <c r="G9" s="687"/>
      <c r="H9" s="687"/>
      <c r="I9" s="687"/>
      <c r="J9" s="687"/>
      <c r="K9" s="900">
        <f>$CI$6</f>
        <v>1991</v>
      </c>
      <c r="L9" s="900"/>
      <c r="M9" s="900"/>
      <c r="N9" s="900"/>
      <c r="O9" s="900"/>
      <c r="P9" s="900"/>
      <c r="Q9" s="900"/>
      <c r="R9" s="900"/>
      <c r="S9" s="900"/>
      <c r="T9" s="901"/>
      <c r="U9" s="65"/>
      <c r="V9" s="65"/>
      <c r="W9" s="65"/>
      <c r="X9" s="65"/>
      <c r="Y9" s="65"/>
      <c r="Z9" s="682" t="s">
        <v>259</v>
      </c>
      <c r="AA9" s="683"/>
      <c r="AB9" s="683"/>
      <c r="AC9" s="683"/>
      <c r="AD9" s="683"/>
      <c r="AE9" s="683"/>
      <c r="AF9" s="683"/>
      <c r="AG9" s="988">
        <f>$CI$23</f>
        <v>53381810</v>
      </c>
      <c r="AH9" s="988"/>
      <c r="AI9" s="988"/>
      <c r="AJ9" s="988"/>
      <c r="AK9" s="988"/>
      <c r="AL9" s="988"/>
      <c r="AM9" s="988"/>
      <c r="AN9" s="988"/>
      <c r="AO9" s="988"/>
      <c r="AP9" s="989"/>
      <c r="AQ9" s="65"/>
      <c r="AR9" s="32"/>
      <c r="AS9" s="22"/>
      <c r="AT9" s="829" t="s">
        <v>593</v>
      </c>
      <c r="AU9" s="830"/>
      <c r="AV9" s="830"/>
      <c r="AW9" s="830"/>
      <c r="AX9" s="830"/>
      <c r="AY9" s="830"/>
      <c r="AZ9" s="830"/>
      <c r="BA9" s="830"/>
      <c r="BB9" s="830"/>
      <c r="BC9" s="830"/>
      <c r="BD9" s="894">
        <v>50000000</v>
      </c>
      <c r="BE9" s="895"/>
      <c r="BF9" s="895"/>
      <c r="BG9" s="895"/>
      <c r="BH9" s="895"/>
      <c r="BI9" s="895"/>
      <c r="BJ9" s="895"/>
      <c r="BK9" s="895"/>
      <c r="BL9" s="895"/>
      <c r="BM9" s="895"/>
      <c r="BN9" s="895"/>
      <c r="BO9" s="895"/>
      <c r="BP9" s="895"/>
      <c r="BQ9" s="895"/>
      <c r="BR9" s="895"/>
      <c r="BS9" s="895"/>
      <c r="BT9" s="895"/>
      <c r="BU9" s="895"/>
      <c r="BV9" s="895"/>
      <c r="BW9" s="895"/>
      <c r="BX9" s="22"/>
      <c r="BY9" s="676"/>
      <c r="BZ9" s="676"/>
      <c r="CA9" s="22"/>
      <c r="CB9" s="24"/>
      <c r="CC9" s="25"/>
      <c r="CH9" s="35" t="s">
        <v>54</v>
      </c>
      <c r="CI9" s="57">
        <f>$BD$14</f>
        <v>50000000</v>
      </c>
      <c r="CL9" s="49">
        <v>4</v>
      </c>
      <c r="CM9" s="50" t="e">
        <f t="shared" si="1"/>
        <v>#N/A</v>
      </c>
      <c r="CO9" s="79" t="s">
        <v>180</v>
      </c>
      <c r="CP9" s="42" t="e">
        <f>$CI$56</f>
        <v>#N/A</v>
      </c>
      <c r="CQ9" s="50" t="e">
        <f>$CP$9</f>
        <v>#N/A</v>
      </c>
      <c r="CR9" s="42"/>
      <c r="CS9" s="206"/>
      <c r="CT9" s="207"/>
      <c r="CU9" s="202"/>
      <c r="CW9" s="68"/>
      <c r="CX9" s="69" t="str">
        <f>견적관리자용!$S$11</f>
        <v>승합(11~15인)</v>
      </c>
      <c r="CY9" s="70">
        <v>0</v>
      </c>
      <c r="CZ9" s="70">
        <v>390000</v>
      </c>
      <c r="DA9" s="80">
        <v>390000</v>
      </c>
      <c r="DB9" s="80">
        <v>390000</v>
      </c>
      <c r="DC9" s="80">
        <v>390000</v>
      </c>
      <c r="DD9" s="72">
        <f t="shared" si="2"/>
        <v>390000</v>
      </c>
      <c r="DE9" s="73">
        <v>6</v>
      </c>
      <c r="DF9" s="72">
        <f t="shared" si="0"/>
        <v>0</v>
      </c>
      <c r="DG9" s="74"/>
      <c r="DJ9" s="25"/>
      <c r="DK9" s="25"/>
      <c r="DL9" s="25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</row>
    <row r="10" spans="1:298" s="26" customFormat="1" ht="15.95" customHeight="1" thickTop="1" x14ac:dyDescent="0.3">
      <c r="A10" s="22"/>
      <c r="B10" s="22"/>
      <c r="C10" s="167"/>
      <c r="D10" s="332"/>
      <c r="E10" s="342"/>
      <c r="F10" s="688" t="s">
        <v>207</v>
      </c>
      <c r="G10" s="688"/>
      <c r="H10" s="688"/>
      <c r="I10" s="688"/>
      <c r="J10" s="688"/>
      <c r="K10" s="706">
        <f>$BD$10</f>
        <v>50000000</v>
      </c>
      <c r="L10" s="706"/>
      <c r="M10" s="706"/>
      <c r="N10" s="706"/>
      <c r="O10" s="706"/>
      <c r="P10" s="706"/>
      <c r="Q10" s="706"/>
      <c r="R10" s="706"/>
      <c r="S10" s="706"/>
      <c r="T10" s="707"/>
      <c r="U10" s="65"/>
      <c r="V10" s="65"/>
      <c r="W10" s="65"/>
      <c r="X10" s="65"/>
      <c r="Y10" s="65"/>
      <c r="Z10" s="949" t="s">
        <v>218</v>
      </c>
      <c r="AA10" s="691"/>
      <c r="AB10" s="691"/>
      <c r="AC10" s="691"/>
      <c r="AD10" s="691"/>
      <c r="AE10" s="691"/>
      <c r="AF10" s="691"/>
      <c r="AG10" s="947">
        <f>$CI$24</f>
        <v>36</v>
      </c>
      <c r="AH10" s="947"/>
      <c r="AI10" s="947"/>
      <c r="AJ10" s="947"/>
      <c r="AK10" s="947"/>
      <c r="AL10" s="947"/>
      <c r="AM10" s="947"/>
      <c r="AN10" s="947"/>
      <c r="AO10" s="947"/>
      <c r="AP10" s="948"/>
      <c r="AQ10" s="65"/>
      <c r="AR10" s="32"/>
      <c r="AS10" s="22"/>
      <c r="AT10" s="503"/>
      <c r="AU10" s="813" t="s">
        <v>48</v>
      </c>
      <c r="AV10" s="813"/>
      <c r="AW10" s="813"/>
      <c r="AX10" s="813"/>
      <c r="AY10" s="813"/>
      <c r="AZ10" s="813"/>
      <c r="BA10" s="813"/>
      <c r="BB10" s="813"/>
      <c r="BC10" s="813"/>
      <c r="BD10" s="820">
        <f>BD9</f>
        <v>50000000</v>
      </c>
      <c r="BE10" s="820"/>
      <c r="BF10" s="820"/>
      <c r="BG10" s="820"/>
      <c r="BH10" s="820"/>
      <c r="BI10" s="820"/>
      <c r="BJ10" s="820"/>
      <c r="BK10" s="820"/>
      <c r="BL10" s="820"/>
      <c r="BM10" s="820"/>
      <c r="BN10" s="820"/>
      <c r="BO10" s="820"/>
      <c r="BP10" s="820"/>
      <c r="BQ10" s="820"/>
      <c r="BR10" s="820"/>
      <c r="BS10" s="820"/>
      <c r="BT10" s="820"/>
      <c r="BU10" s="820"/>
      <c r="BV10" s="820"/>
      <c r="BW10" s="821"/>
      <c r="BX10" s="22"/>
      <c r="BY10" s="676"/>
      <c r="BZ10" s="676"/>
      <c r="CA10" s="22"/>
      <c r="CB10" s="24"/>
      <c r="CC10" s="25"/>
      <c r="CH10" s="81" t="s">
        <v>84</v>
      </c>
      <c r="CI10" s="82">
        <f>IF($DG$5&gt;1,$DG$5,$CI$9/1.1*$DG$5)</f>
        <v>0</v>
      </c>
      <c r="CL10" s="49">
        <v>5</v>
      </c>
      <c r="CM10" s="50" t="e">
        <f t="shared" si="1"/>
        <v>#N/A</v>
      </c>
      <c r="CO10" s="79" t="s">
        <v>158</v>
      </c>
      <c r="CP10" s="42">
        <f>$CI$61</f>
        <v>0</v>
      </c>
      <c r="CQ10" s="50">
        <f>$CP$10</f>
        <v>0</v>
      </c>
      <c r="CR10" s="42"/>
      <c r="CS10" s="206"/>
      <c r="CT10" s="207"/>
      <c r="CU10" s="202"/>
      <c r="CW10" s="68"/>
      <c r="CX10" s="69" t="str">
        <f>견적관리자용!$S$12</f>
        <v>화물(1000cc 미만)</v>
      </c>
      <c r="CY10" s="70">
        <v>0</v>
      </c>
      <c r="CZ10" s="70">
        <v>0</v>
      </c>
      <c r="DA10" s="80">
        <v>0</v>
      </c>
      <c r="DB10" s="80">
        <v>0</v>
      </c>
      <c r="DC10" s="80">
        <v>0</v>
      </c>
      <c r="DD10" s="72">
        <f t="shared" si="2"/>
        <v>0</v>
      </c>
      <c r="DE10" s="73">
        <v>7</v>
      </c>
      <c r="DF10" s="72">
        <f t="shared" si="0"/>
        <v>0</v>
      </c>
      <c r="DG10" s="74"/>
      <c r="DJ10" s="25"/>
      <c r="DK10" s="25"/>
      <c r="DL10" s="25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</row>
    <row r="11" spans="1:298" s="26" customFormat="1" ht="15.95" customHeight="1" x14ac:dyDescent="0.3">
      <c r="A11" s="22"/>
      <c r="B11" s="22"/>
      <c r="C11" s="167"/>
      <c r="D11" s="334"/>
      <c r="E11" s="341"/>
      <c r="F11" s="689" t="s">
        <v>51</v>
      </c>
      <c r="G11" s="689"/>
      <c r="H11" s="689"/>
      <c r="I11" s="689"/>
      <c r="J11" s="689"/>
      <c r="K11" s="914">
        <f>$BD$11</f>
        <v>0</v>
      </c>
      <c r="L11" s="914"/>
      <c r="M11" s="914"/>
      <c r="N11" s="914"/>
      <c r="O11" s="914"/>
      <c r="P11" s="914"/>
      <c r="Q11" s="914"/>
      <c r="R11" s="914"/>
      <c r="S11" s="914"/>
      <c r="T11" s="915"/>
      <c r="U11" s="65"/>
      <c r="V11" s="65"/>
      <c r="W11" s="65"/>
      <c r="X11" s="65"/>
      <c r="Y11" s="65"/>
      <c r="Z11" s="332"/>
      <c r="AA11" s="982" t="s">
        <v>258</v>
      </c>
      <c r="AB11" s="983"/>
      <c r="AC11" s="983"/>
      <c r="AD11" s="983"/>
      <c r="AE11" s="983"/>
      <c r="AF11" s="984"/>
      <c r="AG11" s="907" t="e">
        <f>ROUNDUP(IF($CE$34&gt;0,"ERROR",$CQ$28),-2)</f>
        <v>#N/A</v>
      </c>
      <c r="AH11" s="950"/>
      <c r="AI11" s="950"/>
      <c r="AJ11" s="950"/>
      <c r="AK11" s="950"/>
      <c r="AL11" s="950"/>
      <c r="AM11" s="950"/>
      <c r="AN11" s="950"/>
      <c r="AO11" s="950"/>
      <c r="AP11" s="950"/>
      <c r="AQ11" s="65"/>
      <c r="AR11" s="32"/>
      <c r="AS11" s="22"/>
      <c r="AT11" s="504"/>
      <c r="AU11" s="814" t="s">
        <v>51</v>
      </c>
      <c r="AV11" s="814"/>
      <c r="AW11" s="814"/>
      <c r="AX11" s="814"/>
      <c r="AY11" s="814"/>
      <c r="AZ11" s="814"/>
      <c r="BA11" s="814"/>
      <c r="BB11" s="814"/>
      <c r="BC11" s="814"/>
      <c r="BD11" s="888">
        <v>0</v>
      </c>
      <c r="BE11" s="888"/>
      <c r="BF11" s="888"/>
      <c r="BG11" s="888"/>
      <c r="BH11" s="888"/>
      <c r="BI11" s="888"/>
      <c r="BJ11" s="888"/>
      <c r="BK11" s="888"/>
      <c r="BL11" s="888"/>
      <c r="BM11" s="888"/>
      <c r="BN11" s="888"/>
      <c r="BO11" s="888"/>
      <c r="BP11" s="888"/>
      <c r="BQ11" s="888"/>
      <c r="BR11" s="888"/>
      <c r="BS11" s="888"/>
      <c r="BT11" s="888"/>
      <c r="BU11" s="888"/>
      <c r="BV11" s="888"/>
      <c r="BW11" s="889"/>
      <c r="BX11" s="22"/>
      <c r="BY11" s="676"/>
      <c r="BZ11" s="676"/>
      <c r="CA11" s="22"/>
      <c r="CB11" s="24"/>
      <c r="CC11" s="25"/>
      <c r="CD11" s="83" t="s">
        <v>72</v>
      </c>
      <c r="CE11" s="84" t="b">
        <f>IF($BD$12="비율입력",TRUE,FALSE)</f>
        <v>1</v>
      </c>
      <c r="CH11" s="35" t="s">
        <v>85</v>
      </c>
      <c r="CI11" s="57">
        <f>IF($BQ$16&gt;0,$BQ$16,ROUNDDOWN($CI$10*$BD$16,-2))</f>
        <v>0</v>
      </c>
      <c r="CL11" s="49">
        <v>6</v>
      </c>
      <c r="CM11" s="50" t="e">
        <f t="shared" si="1"/>
        <v>#N/A</v>
      </c>
      <c r="CO11" s="79" t="s">
        <v>182</v>
      </c>
      <c r="CP11" s="42">
        <f>$CI$70</f>
        <v>0</v>
      </c>
      <c r="CQ11" s="50">
        <f>IF(견적관리자용!$O$9="반영",$CP$11,0)</f>
        <v>0</v>
      </c>
      <c r="CR11" s="42"/>
      <c r="CS11" s="206"/>
      <c r="CT11" s="207"/>
      <c r="CU11" s="202"/>
      <c r="CW11" s="85"/>
      <c r="CX11" s="69" t="str">
        <f>견적관리자용!$S$13</f>
        <v>화물(0.6톤 미만)</v>
      </c>
      <c r="CY11" s="70">
        <v>0</v>
      </c>
      <c r="CZ11" s="70">
        <v>195000</v>
      </c>
      <c r="DA11" s="70">
        <v>195000</v>
      </c>
      <c r="DB11" s="70">
        <v>195000</v>
      </c>
      <c r="DC11" s="86">
        <v>195000</v>
      </c>
      <c r="DD11" s="72">
        <f t="shared" si="2"/>
        <v>195000</v>
      </c>
      <c r="DE11" s="73">
        <v>8</v>
      </c>
      <c r="DF11" s="72">
        <f t="shared" si="0"/>
        <v>0</v>
      </c>
      <c r="DG11" s="74"/>
      <c r="DJ11" s="25"/>
      <c r="DK11" s="25"/>
      <c r="DL11" s="25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</row>
    <row r="12" spans="1:298" s="26" customFormat="1" ht="15.95" customHeight="1" x14ac:dyDescent="0.3">
      <c r="A12" s="22"/>
      <c r="B12" s="22"/>
      <c r="C12" s="167"/>
      <c r="D12" s="334"/>
      <c r="E12" s="341"/>
      <c r="F12" s="689" t="s">
        <v>52</v>
      </c>
      <c r="G12" s="689"/>
      <c r="H12" s="689"/>
      <c r="I12" s="689"/>
      <c r="J12" s="689"/>
      <c r="K12" s="914">
        <f>-$CE$13</f>
        <v>0</v>
      </c>
      <c r="L12" s="914"/>
      <c r="M12" s="914"/>
      <c r="N12" s="914"/>
      <c r="O12" s="914"/>
      <c r="P12" s="914"/>
      <c r="Q12" s="914"/>
      <c r="R12" s="914"/>
      <c r="S12" s="914"/>
      <c r="T12" s="915"/>
      <c r="U12" s="65"/>
      <c r="V12" s="65"/>
      <c r="W12" s="65"/>
      <c r="X12" s="65"/>
      <c r="Y12" s="65"/>
      <c r="Z12" s="334"/>
      <c r="AA12" s="689" t="s">
        <v>221</v>
      </c>
      <c r="AB12" s="689"/>
      <c r="AC12" s="689"/>
      <c r="AD12" s="689"/>
      <c r="AE12" s="689"/>
      <c r="AF12" s="689"/>
      <c r="AG12" s="704">
        <f>$CQ$30</f>
        <v>0</v>
      </c>
      <c r="AH12" s="704"/>
      <c r="AI12" s="704"/>
      <c r="AJ12" s="704"/>
      <c r="AK12" s="704"/>
      <c r="AL12" s="704"/>
      <c r="AM12" s="704"/>
      <c r="AN12" s="704"/>
      <c r="AO12" s="704"/>
      <c r="AP12" s="705"/>
      <c r="AQ12" s="65"/>
      <c r="AR12" s="32"/>
      <c r="AS12" s="22"/>
      <c r="AT12" s="504"/>
      <c r="AU12" s="814" t="s">
        <v>52</v>
      </c>
      <c r="AV12" s="814"/>
      <c r="AW12" s="814"/>
      <c r="AX12" s="814"/>
      <c r="AY12" s="814"/>
      <c r="AZ12" s="814"/>
      <c r="BA12" s="814"/>
      <c r="BB12" s="814"/>
      <c r="BC12" s="814"/>
      <c r="BD12" s="951" t="s">
        <v>326</v>
      </c>
      <c r="BE12" s="952"/>
      <c r="BF12" s="952"/>
      <c r="BG12" s="952"/>
      <c r="BH12" s="952"/>
      <c r="BI12" s="952"/>
      <c r="BJ12" s="952"/>
      <c r="BK12" s="718">
        <v>0</v>
      </c>
      <c r="BL12" s="718"/>
      <c r="BM12" s="718"/>
      <c r="BN12" s="718"/>
      <c r="BO12" s="718"/>
      <c r="BP12" s="718"/>
      <c r="BQ12" s="719">
        <v>0</v>
      </c>
      <c r="BR12" s="719"/>
      <c r="BS12" s="719"/>
      <c r="BT12" s="719"/>
      <c r="BU12" s="719"/>
      <c r="BV12" s="719"/>
      <c r="BW12" s="720"/>
      <c r="BX12" s="22"/>
      <c r="BY12" s="33"/>
      <c r="BZ12" s="33"/>
      <c r="CA12" s="22"/>
      <c r="CB12" s="24"/>
      <c r="CC12" s="25"/>
      <c r="CD12" s="83" t="s">
        <v>73</v>
      </c>
      <c r="CE12" s="84" t="b">
        <f>IF($BD$12="금액입력",TRUE,FALSE)</f>
        <v>0</v>
      </c>
      <c r="CH12" s="81" t="s">
        <v>99</v>
      </c>
      <c r="CI12" s="87" t="str">
        <f>LEFT($CI$5,2)</f>
        <v>승용</v>
      </c>
      <c r="CL12" s="49">
        <v>7</v>
      </c>
      <c r="CM12" s="50" t="e">
        <f t="shared" si="1"/>
        <v>#N/A</v>
      </c>
      <c r="CO12" s="79" t="s">
        <v>183</v>
      </c>
      <c r="CP12" s="42">
        <f>$CI$79</f>
        <v>0</v>
      </c>
      <c r="CQ12" s="50">
        <f>IF(견적관리자용!$O$17="반영",$CP$12,0)</f>
        <v>0</v>
      </c>
      <c r="CR12" s="42"/>
      <c r="CS12" s="206"/>
      <c r="CT12" s="207"/>
      <c r="CU12" s="202"/>
      <c r="CW12" s="85"/>
      <c r="CX12" s="69" t="str">
        <f>견적관리자용!$S$14</f>
        <v>화물(0.6~1톤 미만)</v>
      </c>
      <c r="CY12" s="70">
        <v>0</v>
      </c>
      <c r="CZ12" s="70">
        <v>195000</v>
      </c>
      <c r="DA12" s="70">
        <v>195000</v>
      </c>
      <c r="DB12" s="70">
        <v>195000</v>
      </c>
      <c r="DC12" s="86">
        <v>195000</v>
      </c>
      <c r="DD12" s="72">
        <f t="shared" si="2"/>
        <v>195000</v>
      </c>
      <c r="DE12" s="73">
        <v>9</v>
      </c>
      <c r="DF12" s="72">
        <f t="shared" si="0"/>
        <v>0</v>
      </c>
      <c r="DG12" s="74"/>
      <c r="DJ12" s="25"/>
      <c r="DK12" s="25"/>
      <c r="DL12" s="25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</row>
    <row r="13" spans="1:298" s="26" customFormat="1" ht="15.95" customHeight="1" thickBot="1" x14ac:dyDescent="0.35">
      <c r="A13" s="22"/>
      <c r="B13" s="22"/>
      <c r="C13" s="167"/>
      <c r="D13" s="334"/>
      <c r="E13" s="341"/>
      <c r="F13" s="690" t="str">
        <f>IF($BD$13&gt;0,"탁송료","")</f>
        <v/>
      </c>
      <c r="G13" s="690"/>
      <c r="H13" s="690"/>
      <c r="I13" s="690"/>
      <c r="J13" s="690"/>
      <c r="K13" s="916" t="str">
        <f>IF($BD$13&gt;0,$BD$13,"")</f>
        <v/>
      </c>
      <c r="L13" s="916"/>
      <c r="M13" s="916"/>
      <c r="N13" s="916"/>
      <c r="O13" s="916"/>
      <c r="P13" s="916"/>
      <c r="Q13" s="916"/>
      <c r="R13" s="916"/>
      <c r="S13" s="916"/>
      <c r="T13" s="917"/>
      <c r="U13" s="65"/>
      <c r="V13" s="65"/>
      <c r="W13" s="65"/>
      <c r="X13" s="65"/>
      <c r="Y13" s="65"/>
      <c r="Z13" s="334"/>
      <c r="AA13" s="689" t="s">
        <v>222</v>
      </c>
      <c r="AB13" s="689"/>
      <c r="AC13" s="689"/>
      <c r="AD13" s="689"/>
      <c r="AE13" s="689"/>
      <c r="AF13" s="689"/>
      <c r="AG13" s="704">
        <f>$CI$86</f>
        <v>0</v>
      </c>
      <c r="AH13" s="704"/>
      <c r="AI13" s="704"/>
      <c r="AJ13" s="704"/>
      <c r="AK13" s="704"/>
      <c r="AL13" s="704"/>
      <c r="AM13" s="704"/>
      <c r="AN13" s="704"/>
      <c r="AO13" s="704"/>
      <c r="AP13" s="705"/>
      <c r="AQ13" s="65"/>
      <c r="AR13" s="32"/>
      <c r="AS13" s="22"/>
      <c r="AT13" s="504"/>
      <c r="AU13" s="981" t="s">
        <v>53</v>
      </c>
      <c r="AV13" s="981"/>
      <c r="AW13" s="981"/>
      <c r="AX13" s="981"/>
      <c r="AY13" s="981"/>
      <c r="AZ13" s="981"/>
      <c r="BA13" s="981"/>
      <c r="BB13" s="981"/>
      <c r="BC13" s="981"/>
      <c r="BD13" s="734">
        <v>0</v>
      </c>
      <c r="BE13" s="734"/>
      <c r="BF13" s="734"/>
      <c r="BG13" s="734"/>
      <c r="BH13" s="734"/>
      <c r="BI13" s="734"/>
      <c r="BJ13" s="734"/>
      <c r="BK13" s="734"/>
      <c r="BL13" s="734"/>
      <c r="BM13" s="734"/>
      <c r="BN13" s="734"/>
      <c r="BO13" s="734"/>
      <c r="BP13" s="734"/>
      <c r="BQ13" s="734"/>
      <c r="BR13" s="734"/>
      <c r="BS13" s="734"/>
      <c r="BT13" s="734"/>
      <c r="BU13" s="734"/>
      <c r="BV13" s="734"/>
      <c r="BW13" s="735"/>
      <c r="BX13" s="22"/>
      <c r="BY13" s="33"/>
      <c r="BZ13" s="33"/>
      <c r="CA13" s="22"/>
      <c r="CB13" s="24"/>
      <c r="CC13" s="25"/>
      <c r="CD13" s="83" t="s">
        <v>78</v>
      </c>
      <c r="CE13" s="82">
        <f>IF($BD$12="금액입력",$BQ$12,TRUNC(($BD$10+$BD$11)*$BK$12,-1))</f>
        <v>0</v>
      </c>
      <c r="CH13" s="66" t="s">
        <v>122</v>
      </c>
      <c r="CI13" s="88">
        <f>IF($CI$12="승용",7%,IF($CI$12="승합",5%,IF($CI$12="화물",5%,7%)))</f>
        <v>7.0000000000000007E-2</v>
      </c>
      <c r="CL13" s="49">
        <v>8</v>
      </c>
      <c r="CM13" s="50" t="e">
        <f t="shared" si="1"/>
        <v>#N/A</v>
      </c>
      <c r="CO13" s="79" t="s">
        <v>184</v>
      </c>
      <c r="CP13" s="42">
        <f>$CI$84</f>
        <v>0</v>
      </c>
      <c r="CQ13" s="50">
        <f>$CP$13</f>
        <v>0</v>
      </c>
      <c r="CR13" s="42"/>
      <c r="CS13" s="206"/>
      <c r="CT13" s="207"/>
      <c r="CU13" s="202"/>
      <c r="CW13" s="85"/>
      <c r="CX13" s="69" t="str">
        <f>견적관리자용!$S$15</f>
        <v>화물(1~2.5톤 미만)</v>
      </c>
      <c r="CY13" s="70">
        <v>0</v>
      </c>
      <c r="CZ13" s="70">
        <v>390000</v>
      </c>
      <c r="DA13" s="80">
        <v>390000</v>
      </c>
      <c r="DB13" s="80">
        <v>390000</v>
      </c>
      <c r="DC13" s="80">
        <v>390000</v>
      </c>
      <c r="DD13" s="72">
        <f t="shared" si="2"/>
        <v>390000</v>
      </c>
      <c r="DE13" s="73">
        <v>10</v>
      </c>
      <c r="DF13" s="72">
        <f t="shared" si="0"/>
        <v>0</v>
      </c>
      <c r="DG13" s="74"/>
      <c r="DJ13" s="25"/>
      <c r="DK13" s="25"/>
      <c r="DL13" s="25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</row>
    <row r="14" spans="1:298" s="26" customFormat="1" ht="15.95" customHeight="1" thickBot="1" x14ac:dyDescent="0.35">
      <c r="A14" s="22"/>
      <c r="B14" s="22"/>
      <c r="C14" s="167"/>
      <c r="D14" s="331"/>
      <c r="E14" s="691" t="s">
        <v>210</v>
      </c>
      <c r="F14" s="692"/>
      <c r="G14" s="692"/>
      <c r="H14" s="692"/>
      <c r="I14" s="692"/>
      <c r="J14" s="692"/>
      <c r="K14" s="937">
        <f>$CI$9</f>
        <v>50000000</v>
      </c>
      <c r="L14" s="937"/>
      <c r="M14" s="937"/>
      <c r="N14" s="937"/>
      <c r="O14" s="937"/>
      <c r="P14" s="937"/>
      <c r="Q14" s="937"/>
      <c r="R14" s="937"/>
      <c r="S14" s="937"/>
      <c r="T14" s="938"/>
      <c r="U14" s="65"/>
      <c r="V14" s="65"/>
      <c r="W14" s="65"/>
      <c r="X14" s="65"/>
      <c r="Y14" s="65"/>
      <c r="Z14" s="911" t="s">
        <v>227</v>
      </c>
      <c r="AA14" s="912"/>
      <c r="AB14" s="912"/>
      <c r="AC14" s="912"/>
      <c r="AD14" s="912"/>
      <c r="AE14" s="912"/>
      <c r="AF14" s="912"/>
      <c r="AG14" s="870" t="e">
        <f>IF(BD31&gt;19.5%,"금리기준초과",$AG$11+$AG$12+$AG$13)</f>
        <v>#N/A</v>
      </c>
      <c r="AH14" s="870"/>
      <c r="AI14" s="870"/>
      <c r="AJ14" s="870"/>
      <c r="AK14" s="870"/>
      <c r="AL14" s="870"/>
      <c r="AM14" s="870"/>
      <c r="AN14" s="870"/>
      <c r="AO14" s="870"/>
      <c r="AP14" s="871"/>
      <c r="AQ14" s="65"/>
      <c r="AR14" s="32"/>
      <c r="AS14" s="22"/>
      <c r="AT14" s="677" t="s">
        <v>54</v>
      </c>
      <c r="AU14" s="678"/>
      <c r="AV14" s="678"/>
      <c r="AW14" s="678"/>
      <c r="AX14" s="678"/>
      <c r="AY14" s="678"/>
      <c r="AZ14" s="678"/>
      <c r="BA14" s="678"/>
      <c r="BB14" s="678"/>
      <c r="BC14" s="679"/>
      <c r="BD14" s="822">
        <f>$BD$10+$BD$11-$CE$13+$BD$13</f>
        <v>50000000</v>
      </c>
      <c r="BE14" s="822"/>
      <c r="BF14" s="822"/>
      <c r="BG14" s="822"/>
      <c r="BH14" s="822"/>
      <c r="BI14" s="822"/>
      <c r="BJ14" s="822"/>
      <c r="BK14" s="822"/>
      <c r="BL14" s="822"/>
      <c r="BM14" s="822"/>
      <c r="BN14" s="822"/>
      <c r="BO14" s="822"/>
      <c r="BP14" s="822"/>
      <c r="BQ14" s="822"/>
      <c r="BR14" s="822"/>
      <c r="BS14" s="822"/>
      <c r="BT14" s="822"/>
      <c r="BU14" s="822"/>
      <c r="BV14" s="822"/>
      <c r="BW14" s="823"/>
      <c r="BX14" s="22"/>
      <c r="BY14" s="33"/>
      <c r="BZ14" s="33"/>
      <c r="CA14" s="22"/>
      <c r="CB14" s="24"/>
      <c r="CC14" s="25"/>
      <c r="CD14" s="83" t="s">
        <v>61</v>
      </c>
      <c r="CE14" s="84" t="b">
        <f>IF($BD$15="당사명의",TRUE,FALSE)</f>
        <v>1</v>
      </c>
      <c r="CH14" s="89" t="s">
        <v>120</v>
      </c>
      <c r="CI14" s="50">
        <f>ROUNDDOWN($CI$9/1.1*$CI$13,-1)</f>
        <v>3181810</v>
      </c>
      <c r="CL14" s="49">
        <v>9</v>
      </c>
      <c r="CM14" s="50" t="e">
        <f t="shared" si="1"/>
        <v>#N/A</v>
      </c>
      <c r="CO14" s="208"/>
      <c r="CP14" s="202"/>
      <c r="CQ14" s="207"/>
      <c r="CR14" s="42"/>
      <c r="CS14" s="206"/>
      <c r="CT14" s="207"/>
      <c r="CU14" s="202"/>
      <c r="CW14" s="85"/>
      <c r="CX14" s="69" t="str">
        <f>견적관리자용!$S$16</f>
        <v>화물(2.5~4.6톤 미만)</v>
      </c>
      <c r="CY14" s="70">
        <v>0</v>
      </c>
      <c r="CZ14" s="70">
        <v>390000</v>
      </c>
      <c r="DA14" s="80">
        <v>390000</v>
      </c>
      <c r="DB14" s="80">
        <v>390000</v>
      </c>
      <c r="DC14" s="80">
        <v>390000</v>
      </c>
      <c r="DD14" s="72">
        <f t="shared" si="2"/>
        <v>390000</v>
      </c>
      <c r="DE14" s="73">
        <v>11</v>
      </c>
      <c r="DF14" s="72">
        <f t="shared" si="0"/>
        <v>0</v>
      </c>
      <c r="DG14" s="74"/>
      <c r="DJ14" s="25"/>
      <c r="DK14" s="25"/>
      <c r="DL14" s="25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</row>
    <row r="15" spans="1:298" s="26" customFormat="1" ht="15.95" customHeight="1" x14ac:dyDescent="0.3">
      <c r="A15" s="22"/>
      <c r="B15" s="22"/>
      <c r="C15" s="167"/>
      <c r="D15" s="331"/>
      <c r="E15" s="926" t="s">
        <v>211</v>
      </c>
      <c r="F15" s="926"/>
      <c r="G15" s="926"/>
      <c r="H15" s="926"/>
      <c r="I15" s="926"/>
      <c r="J15" s="926"/>
      <c r="K15" s="878">
        <f>$CI$21</f>
        <v>3181810</v>
      </c>
      <c r="L15" s="878"/>
      <c r="M15" s="878"/>
      <c r="N15" s="878"/>
      <c r="O15" s="878"/>
      <c r="P15" s="878"/>
      <c r="Q15" s="878"/>
      <c r="R15" s="878"/>
      <c r="S15" s="878"/>
      <c r="T15" s="879"/>
      <c r="U15" s="65"/>
      <c r="V15" s="65"/>
      <c r="W15" s="65"/>
      <c r="X15" s="65"/>
      <c r="Y15" s="65"/>
      <c r="Z15" s="990" t="s">
        <v>260</v>
      </c>
      <c r="AA15" s="990"/>
      <c r="AB15" s="990"/>
      <c r="AC15" s="990"/>
      <c r="AD15" s="990"/>
      <c r="AE15" s="990"/>
      <c r="AF15" s="949"/>
      <c r="AG15" s="945">
        <f>CI36</f>
        <v>0</v>
      </c>
      <c r="AH15" s="946"/>
      <c r="AI15" s="946"/>
      <c r="AJ15" s="946"/>
      <c r="AK15" s="946"/>
      <c r="AL15" s="946"/>
      <c r="AM15" s="946"/>
      <c r="AN15" s="946"/>
      <c r="AO15" s="946"/>
      <c r="AP15" s="946"/>
      <c r="AQ15" s="65"/>
      <c r="AR15" s="32"/>
      <c r="AS15" s="22"/>
      <c r="AT15" s="774" t="s">
        <v>55</v>
      </c>
      <c r="AU15" s="774"/>
      <c r="AV15" s="774"/>
      <c r="AW15" s="774"/>
      <c r="AX15" s="774"/>
      <c r="AY15" s="774"/>
      <c r="AZ15" s="774"/>
      <c r="BA15" s="774"/>
      <c r="BB15" s="774"/>
      <c r="BC15" s="779"/>
      <c r="BD15" s="824" t="s">
        <v>11</v>
      </c>
      <c r="BE15" s="825"/>
      <c r="BF15" s="825"/>
      <c r="BG15" s="825"/>
      <c r="BH15" s="825"/>
      <c r="BI15" s="825"/>
      <c r="BJ15" s="825"/>
      <c r="BK15" s="825"/>
      <c r="BL15" s="825"/>
      <c r="BM15" s="826"/>
      <c r="BN15" s="818" t="s">
        <v>575</v>
      </c>
      <c r="BO15" s="819"/>
      <c r="BP15" s="819"/>
      <c r="BQ15" s="819"/>
      <c r="BR15" s="819"/>
      <c r="BS15" s="819"/>
      <c r="BT15" s="819"/>
      <c r="BU15" s="819"/>
      <c r="BV15" s="819"/>
      <c r="BW15" s="819"/>
      <c r="BX15" s="22"/>
      <c r="BY15" s="33"/>
      <c r="BZ15" s="33"/>
      <c r="CA15" s="22"/>
      <c r="CB15" s="24"/>
      <c r="CC15" s="25"/>
      <c r="CD15" s="83" t="s">
        <v>62</v>
      </c>
      <c r="CE15" s="84" t="b">
        <f>IF($BD$15="이용자명의",TRUE,FALSE)</f>
        <v>0</v>
      </c>
      <c r="CH15" s="89" t="s">
        <v>685</v>
      </c>
      <c r="CI15" s="50">
        <f>IF($CI$14&lt;750000,0,$CI$14-750000)</f>
        <v>2431810</v>
      </c>
      <c r="CL15" s="49">
        <v>10</v>
      </c>
      <c r="CM15" s="50" t="e">
        <f t="shared" si="1"/>
        <v>#N/A</v>
      </c>
      <c r="CO15" s="79" t="s">
        <v>186</v>
      </c>
      <c r="CP15" s="42">
        <f>$CI$83</f>
        <v>0</v>
      </c>
      <c r="CQ15" s="50">
        <f>IF(견적관리자용!$Q$25="반영",$CP$15,0)</f>
        <v>0</v>
      </c>
      <c r="CR15" s="42"/>
      <c r="CS15" s="206"/>
      <c r="CT15" s="207"/>
      <c r="CU15" s="202"/>
      <c r="CW15" s="90"/>
      <c r="CX15" s="91" t="str">
        <f>견적관리자용!$S$17</f>
        <v>화물(4.6톤 이상)</v>
      </c>
      <c r="CY15" s="92">
        <v>0</v>
      </c>
      <c r="CZ15" s="92">
        <v>650000</v>
      </c>
      <c r="DA15" s="92">
        <v>650000</v>
      </c>
      <c r="DB15" s="92">
        <v>650000</v>
      </c>
      <c r="DC15" s="92">
        <v>650000</v>
      </c>
      <c r="DD15" s="93">
        <f t="shared" si="2"/>
        <v>650000</v>
      </c>
      <c r="DE15" s="94">
        <v>12</v>
      </c>
      <c r="DF15" s="93">
        <f t="shared" si="0"/>
        <v>0</v>
      </c>
      <c r="DG15" s="95"/>
      <c r="DJ15" s="25"/>
      <c r="DK15" s="25"/>
      <c r="DL15" s="25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</row>
    <row r="16" spans="1:298" s="26" customFormat="1" ht="15.95" customHeight="1" x14ac:dyDescent="0.3">
      <c r="A16" s="22"/>
      <c r="B16" s="22"/>
      <c r="C16" s="167"/>
      <c r="D16" s="331"/>
      <c r="E16" s="926" t="s">
        <v>85</v>
      </c>
      <c r="F16" s="926"/>
      <c r="G16" s="926"/>
      <c r="H16" s="926"/>
      <c r="I16" s="926"/>
      <c r="J16" s="926"/>
      <c r="K16" s="878">
        <f>$CI$11</f>
        <v>0</v>
      </c>
      <c r="L16" s="878"/>
      <c r="M16" s="878"/>
      <c r="N16" s="878"/>
      <c r="O16" s="878"/>
      <c r="P16" s="878"/>
      <c r="Q16" s="878"/>
      <c r="R16" s="878"/>
      <c r="S16" s="878"/>
      <c r="T16" s="879"/>
      <c r="U16" s="65"/>
      <c r="V16" s="65"/>
      <c r="W16" s="65"/>
      <c r="X16" s="65"/>
      <c r="Y16" s="65"/>
      <c r="Z16" s="775" t="s">
        <v>412</v>
      </c>
      <c r="AA16" s="985"/>
      <c r="AB16" s="985"/>
      <c r="AC16" s="985"/>
      <c r="AD16" s="985"/>
      <c r="AE16" s="985"/>
      <c r="AF16" s="985"/>
      <c r="AG16" s="986">
        <f>$CI$31</f>
        <v>0</v>
      </c>
      <c r="AH16" s="986"/>
      <c r="AI16" s="986"/>
      <c r="AJ16" s="986"/>
      <c r="AK16" s="986"/>
      <c r="AL16" s="986"/>
      <c r="AM16" s="986"/>
      <c r="AN16" s="986"/>
      <c r="AO16" s="986"/>
      <c r="AP16" s="987"/>
      <c r="AQ16" s="65"/>
      <c r="AR16" s="32"/>
      <c r="AS16" s="22"/>
      <c r="AT16" s="764" t="s">
        <v>56</v>
      </c>
      <c r="AU16" s="764"/>
      <c r="AV16" s="764"/>
      <c r="AW16" s="764"/>
      <c r="AX16" s="764"/>
      <c r="AY16" s="764"/>
      <c r="AZ16" s="764"/>
      <c r="BA16" s="764"/>
      <c r="BB16" s="764"/>
      <c r="BC16" s="767"/>
      <c r="BD16" s="728">
        <v>0.05</v>
      </c>
      <c r="BE16" s="728"/>
      <c r="BF16" s="728"/>
      <c r="BG16" s="728"/>
      <c r="BH16" s="728"/>
      <c r="BI16" s="728"/>
      <c r="BJ16" s="729"/>
      <c r="BK16" s="730" t="s">
        <v>50</v>
      </c>
      <c r="BL16" s="731"/>
      <c r="BM16" s="731"/>
      <c r="BN16" s="731"/>
      <c r="BO16" s="731"/>
      <c r="BP16" s="731"/>
      <c r="BQ16" s="732"/>
      <c r="BR16" s="732"/>
      <c r="BS16" s="732"/>
      <c r="BT16" s="732"/>
      <c r="BU16" s="732"/>
      <c r="BV16" s="732"/>
      <c r="BW16" s="733"/>
      <c r="BX16" s="22"/>
      <c r="BY16" s="33"/>
      <c r="BZ16" s="33"/>
      <c r="CA16" s="22"/>
      <c r="CB16" s="24"/>
      <c r="CC16" s="25"/>
      <c r="CH16" s="89" t="s">
        <v>329</v>
      </c>
      <c r="CI16" s="50">
        <f>+IF(AND(CI7="하이브리드",CI14&gt;=400000),CI14-400000,0)</f>
        <v>0</v>
      </c>
      <c r="CL16" s="49">
        <v>11</v>
      </c>
      <c r="CM16" s="50" t="e">
        <f t="shared" si="1"/>
        <v>#N/A</v>
      </c>
      <c r="CO16" s="79" t="s">
        <v>168</v>
      </c>
      <c r="CP16" s="42">
        <f>$CI$80</f>
        <v>10000</v>
      </c>
      <c r="CQ16" s="50">
        <f>IF(견적관리자용!$Q$24="반영",$CP$16,0)</f>
        <v>10000</v>
      </c>
      <c r="CR16" s="42"/>
      <c r="CS16" s="206"/>
      <c r="CT16" s="207"/>
      <c r="CU16" s="202"/>
      <c r="CW16" s="58" t="s">
        <v>93</v>
      </c>
      <c r="CX16" s="59" t="str">
        <f>견적관리자용!$S$8</f>
        <v>승용일반</v>
      </c>
      <c r="CY16" s="60">
        <v>0</v>
      </c>
      <c r="CZ16" s="61">
        <v>0</v>
      </c>
      <c r="DA16" s="61">
        <v>0</v>
      </c>
      <c r="DB16" s="61">
        <v>0</v>
      </c>
      <c r="DC16" s="61">
        <v>0.05</v>
      </c>
      <c r="DD16" s="62">
        <f t="shared" si="2"/>
        <v>0</v>
      </c>
      <c r="DE16" s="63">
        <v>13</v>
      </c>
      <c r="DF16" s="62">
        <f t="shared" si="0"/>
        <v>0</v>
      </c>
      <c r="DG16" s="64">
        <f>SUM(DF16:DF25)</f>
        <v>0</v>
      </c>
      <c r="DJ16" s="25"/>
      <c r="DK16" s="25"/>
      <c r="DL16" s="25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</row>
    <row r="17" spans="1:298" s="26" customFormat="1" ht="15.95" customHeight="1" x14ac:dyDescent="0.2">
      <c r="A17" s="22"/>
      <c r="B17" s="22"/>
      <c r="C17" s="167"/>
      <c r="D17" s="331"/>
      <c r="E17" s="926" t="s">
        <v>63</v>
      </c>
      <c r="F17" s="926"/>
      <c r="G17" s="926"/>
      <c r="H17" s="926"/>
      <c r="I17" s="926"/>
      <c r="J17" s="926"/>
      <c r="K17" s="878">
        <f>$BD$17</f>
        <v>100000</v>
      </c>
      <c r="L17" s="878"/>
      <c r="M17" s="878"/>
      <c r="N17" s="878"/>
      <c r="O17" s="878"/>
      <c r="P17" s="878"/>
      <c r="Q17" s="878"/>
      <c r="R17" s="878"/>
      <c r="S17" s="878"/>
      <c r="T17" s="879"/>
      <c r="U17" s="65"/>
      <c r="V17" s="65"/>
      <c r="W17" s="65"/>
      <c r="X17" s="65"/>
      <c r="Y17" s="977"/>
      <c r="Z17" s="977"/>
      <c r="AA17" s="977"/>
      <c r="AB17" s="977"/>
      <c r="AC17" s="977"/>
      <c r="AD17" s="977"/>
      <c r="AE17" s="977"/>
      <c r="AF17" s="978"/>
      <c r="AG17" s="978"/>
      <c r="AH17" s="978"/>
      <c r="AI17" s="978"/>
      <c r="AJ17" s="978"/>
      <c r="AK17" s="978"/>
      <c r="AL17" s="979"/>
      <c r="AM17" s="979"/>
      <c r="AN17" s="979"/>
      <c r="AO17" s="979"/>
      <c r="AP17" s="979"/>
      <c r="AQ17" s="65"/>
      <c r="AR17" s="32"/>
      <c r="AS17" s="22"/>
      <c r="AT17" s="764" t="s">
        <v>63</v>
      </c>
      <c r="AU17" s="764"/>
      <c r="AV17" s="764"/>
      <c r="AW17" s="764"/>
      <c r="AX17" s="764"/>
      <c r="AY17" s="764"/>
      <c r="AZ17" s="764"/>
      <c r="BA17" s="764"/>
      <c r="BB17" s="764"/>
      <c r="BC17" s="767"/>
      <c r="BD17" s="857">
        <v>100000</v>
      </c>
      <c r="BE17" s="858"/>
      <c r="BF17" s="858"/>
      <c r="BG17" s="858"/>
      <c r="BH17" s="858"/>
      <c r="BI17" s="858"/>
      <c r="BJ17" s="858"/>
      <c r="BK17" s="858"/>
      <c r="BL17" s="858"/>
      <c r="BM17" s="858"/>
      <c r="BN17" s="739" t="s">
        <v>70</v>
      </c>
      <c r="BO17" s="740"/>
      <c r="BP17" s="680">
        <f>견적관리자용!$T$35</f>
        <v>0</v>
      </c>
      <c r="BQ17" s="680"/>
      <c r="BR17" s="680"/>
      <c r="BS17" s="680"/>
      <c r="BT17" s="680"/>
      <c r="BU17" s="680"/>
      <c r="BV17" s="680"/>
      <c r="BW17" s="680"/>
      <c r="BX17" s="22"/>
      <c r="BY17" s="33"/>
      <c r="BZ17" s="33"/>
      <c r="CA17" s="22"/>
      <c r="CB17" s="24"/>
      <c r="CC17" s="25"/>
      <c r="CH17" s="89" t="s">
        <v>121</v>
      </c>
      <c r="CI17" s="50">
        <f>IF($CI$6&lt;1000,$CI$15,IF(CI7="하이브리드",CI16,$CI$14))</f>
        <v>3181810</v>
      </c>
      <c r="CL17" s="49">
        <v>12</v>
      </c>
      <c r="CM17" s="50" t="e">
        <f t="shared" si="1"/>
        <v>#N/A</v>
      </c>
      <c r="CO17" s="51" t="s">
        <v>188</v>
      </c>
      <c r="CP17" s="96" t="e">
        <f>SUM($CP$8:$CP$16)</f>
        <v>#N/A</v>
      </c>
      <c r="CQ17" s="97" t="e">
        <f>SUM($CQ$8:$CQ$16)</f>
        <v>#N/A</v>
      </c>
      <c r="CR17" s="42"/>
      <c r="CS17" s="209"/>
      <c r="CT17" s="210"/>
      <c r="CU17" s="202"/>
      <c r="CW17" s="68"/>
      <c r="CX17" s="69" t="str">
        <f>견적관리자용!$S$9</f>
        <v>승용SUV(~5인)</v>
      </c>
      <c r="CY17" s="70">
        <v>0</v>
      </c>
      <c r="CZ17" s="71">
        <v>0</v>
      </c>
      <c r="DA17" s="71">
        <v>0</v>
      </c>
      <c r="DB17" s="71">
        <v>0</v>
      </c>
      <c r="DC17" s="71">
        <v>0</v>
      </c>
      <c r="DD17" s="72">
        <f t="shared" si="2"/>
        <v>0</v>
      </c>
      <c r="DE17" s="73">
        <v>14</v>
      </c>
      <c r="DF17" s="72">
        <f t="shared" si="0"/>
        <v>0</v>
      </c>
      <c r="DG17" s="74"/>
      <c r="DJ17" s="25"/>
      <c r="DK17" s="25"/>
      <c r="DL17" s="25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</row>
    <row r="18" spans="1:298" s="26" customFormat="1" ht="15.95" customHeight="1" x14ac:dyDescent="0.2">
      <c r="A18" s="22"/>
      <c r="B18" s="22"/>
      <c r="C18" s="167"/>
      <c r="D18" s="331"/>
      <c r="E18" s="926" t="str">
        <f>IF($BD$18&gt;0,"탁송료","")</f>
        <v>탁송료</v>
      </c>
      <c r="F18" s="926"/>
      <c r="G18" s="926"/>
      <c r="H18" s="926"/>
      <c r="I18" s="926"/>
      <c r="J18" s="926"/>
      <c r="K18" s="878">
        <f>IF($BD$18&gt;0,$BD$18,"")</f>
        <v>100000</v>
      </c>
      <c r="L18" s="878"/>
      <c r="M18" s="878"/>
      <c r="N18" s="878"/>
      <c r="O18" s="878"/>
      <c r="P18" s="878"/>
      <c r="Q18" s="878"/>
      <c r="R18" s="878"/>
      <c r="S18" s="878"/>
      <c r="T18" s="879"/>
      <c r="U18" s="65"/>
      <c r="V18" s="65"/>
      <c r="W18" s="65"/>
      <c r="X18" s="65"/>
      <c r="Y18" s="65"/>
      <c r="Z18" s="211"/>
      <c r="AA18" s="211"/>
      <c r="AB18" s="211"/>
      <c r="AC18" s="211"/>
      <c r="AD18" s="211"/>
      <c r="AE18" s="211"/>
      <c r="AF18" s="211"/>
      <c r="AG18" s="976"/>
      <c r="AH18" s="976"/>
      <c r="AI18" s="976"/>
      <c r="AJ18" s="976"/>
      <c r="AK18" s="976"/>
      <c r="AL18" s="976"/>
      <c r="AM18" s="976"/>
      <c r="AN18" s="980"/>
      <c r="AO18" s="980"/>
      <c r="AP18" s="980"/>
      <c r="AQ18" s="65"/>
      <c r="AR18" s="32"/>
      <c r="AS18" s="22"/>
      <c r="AT18" s="956" t="s">
        <v>64</v>
      </c>
      <c r="AU18" s="956"/>
      <c r="AV18" s="956"/>
      <c r="AW18" s="956"/>
      <c r="AX18" s="956"/>
      <c r="AY18" s="956"/>
      <c r="AZ18" s="956"/>
      <c r="BA18" s="956"/>
      <c r="BB18" s="956"/>
      <c r="BC18" s="957"/>
      <c r="BD18" s="857">
        <v>100000</v>
      </c>
      <c r="BE18" s="858"/>
      <c r="BF18" s="858"/>
      <c r="BG18" s="858"/>
      <c r="BH18" s="858"/>
      <c r="BI18" s="858"/>
      <c r="BJ18" s="858"/>
      <c r="BK18" s="858"/>
      <c r="BL18" s="858"/>
      <c r="BM18" s="858"/>
      <c r="BN18" s="739" t="s">
        <v>70</v>
      </c>
      <c r="BO18" s="740"/>
      <c r="BP18" s="680">
        <f>견적관리자용!$T$36</f>
        <v>500000</v>
      </c>
      <c r="BQ18" s="680"/>
      <c r="BR18" s="680"/>
      <c r="BS18" s="680"/>
      <c r="BT18" s="680"/>
      <c r="BU18" s="680"/>
      <c r="BV18" s="680"/>
      <c r="BW18" s="680"/>
      <c r="BX18" s="22"/>
      <c r="BY18" s="33"/>
      <c r="BZ18" s="33"/>
      <c r="CA18" s="22"/>
      <c r="CB18" s="24"/>
      <c r="CC18" s="25"/>
      <c r="CD18" s="83" t="s">
        <v>114</v>
      </c>
      <c r="CE18" s="84" t="b">
        <f>IF($BD$19="비율입력",TRUE,FALSE)</f>
        <v>0</v>
      </c>
      <c r="CH18" s="89" t="s">
        <v>117</v>
      </c>
      <c r="CI18" s="50">
        <f>ROUNDDOWN($CI$9/1.1*$BK$19,-1)</f>
        <v>3181810</v>
      </c>
      <c r="CL18" s="49">
        <v>13</v>
      </c>
      <c r="CM18" s="50" t="e">
        <f t="shared" si="1"/>
        <v>#N/A</v>
      </c>
      <c r="CO18" s="29"/>
      <c r="CP18" s="28"/>
      <c r="CQ18" s="28"/>
      <c r="CR18" s="28"/>
      <c r="CS18" s="199"/>
      <c r="CT18" s="199"/>
      <c r="CU18" s="199"/>
      <c r="CW18" s="68"/>
      <c r="CX18" s="69" t="str">
        <f>견적관리자용!$S$10</f>
        <v>승용SUV(7~10인)</v>
      </c>
      <c r="CY18" s="70">
        <v>0</v>
      </c>
      <c r="CZ18" s="71">
        <v>0</v>
      </c>
      <c r="DA18" s="71">
        <v>0</v>
      </c>
      <c r="DB18" s="71">
        <v>0</v>
      </c>
      <c r="DC18" s="71">
        <v>0</v>
      </c>
      <c r="DD18" s="72">
        <f t="shared" si="2"/>
        <v>0</v>
      </c>
      <c r="DE18" s="73">
        <v>15</v>
      </c>
      <c r="DF18" s="72">
        <f t="shared" si="0"/>
        <v>0</v>
      </c>
      <c r="DG18" s="74"/>
      <c r="DJ18" s="25"/>
      <c r="DK18" s="25"/>
      <c r="DL18" s="25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</row>
    <row r="19" spans="1:298" s="26" customFormat="1" ht="15.95" customHeight="1" x14ac:dyDescent="0.3">
      <c r="A19" s="22"/>
      <c r="B19" s="22"/>
      <c r="C19" s="167"/>
      <c r="D19" s="775" t="s">
        <v>126</v>
      </c>
      <c r="E19" s="972"/>
      <c r="F19" s="972"/>
      <c r="G19" s="972"/>
      <c r="H19" s="972"/>
      <c r="I19" s="972"/>
      <c r="J19" s="972"/>
      <c r="K19" s="973">
        <f>$CI$22</f>
        <v>53381810</v>
      </c>
      <c r="L19" s="973"/>
      <c r="M19" s="973"/>
      <c r="N19" s="973"/>
      <c r="O19" s="973"/>
      <c r="P19" s="973"/>
      <c r="Q19" s="973"/>
      <c r="R19" s="973"/>
      <c r="S19" s="973"/>
      <c r="T19" s="974"/>
      <c r="U19" s="65"/>
      <c r="V19" s="65"/>
      <c r="W19" s="65"/>
      <c r="X19" s="65"/>
      <c r="Y19" s="304" t="str">
        <f>IF(BD29="신차보상보험(1년)"," ※ 신차보상보험 1년 제공",IF(BD29="신차보상보험(3년)"," ※ 신차보상보험 3년 제공",""))</f>
        <v/>
      </c>
      <c r="Z19" s="211"/>
      <c r="AA19" s="211"/>
      <c r="AB19" s="211"/>
      <c r="AC19" s="211"/>
      <c r="AD19" s="211"/>
      <c r="AE19" s="211"/>
      <c r="AF19" s="211"/>
      <c r="AG19" s="211"/>
      <c r="AH19" s="211"/>
      <c r="AI19" s="211"/>
      <c r="AJ19" s="211"/>
      <c r="AK19" s="211"/>
      <c r="AL19" s="211"/>
      <c r="AM19" s="211"/>
      <c r="AN19" s="211"/>
      <c r="AO19" s="211"/>
      <c r="AP19" s="211"/>
      <c r="AQ19" s="65"/>
      <c r="AR19" s="32"/>
      <c r="AS19" s="22"/>
      <c r="AT19" s="769" t="s">
        <v>276</v>
      </c>
      <c r="AU19" s="759"/>
      <c r="AV19" s="759"/>
      <c r="AW19" s="759"/>
      <c r="AX19" s="759"/>
      <c r="AY19" s="759"/>
      <c r="AZ19" s="759"/>
      <c r="BA19" s="759"/>
      <c r="BB19" s="759"/>
      <c r="BC19" s="760"/>
      <c r="BD19" s="863" t="s">
        <v>113</v>
      </c>
      <c r="BE19" s="864"/>
      <c r="BF19" s="864"/>
      <c r="BG19" s="864"/>
      <c r="BH19" s="864"/>
      <c r="BI19" s="864"/>
      <c r="BJ19" s="864"/>
      <c r="BK19" s="856">
        <v>7.0000000000000007E-2</v>
      </c>
      <c r="BL19" s="856"/>
      <c r="BM19" s="856"/>
      <c r="BN19" s="856"/>
      <c r="BO19" s="856"/>
      <c r="BP19" s="856"/>
      <c r="BQ19" s="861">
        <v>0</v>
      </c>
      <c r="BR19" s="861"/>
      <c r="BS19" s="861"/>
      <c r="BT19" s="861"/>
      <c r="BU19" s="861"/>
      <c r="BV19" s="861"/>
      <c r="BW19" s="862"/>
      <c r="BX19" s="22"/>
      <c r="BY19" s="817" t="s">
        <v>687</v>
      </c>
      <c r="BZ19" s="817"/>
      <c r="CA19" s="22"/>
      <c r="CB19" s="24"/>
      <c r="CC19" s="25"/>
      <c r="CD19" s="83" t="s">
        <v>115</v>
      </c>
      <c r="CE19" s="84" t="b">
        <f>IF($BD$19="감면액입력",TRUE,FALSE)</f>
        <v>0</v>
      </c>
      <c r="CH19" s="89" t="s">
        <v>118</v>
      </c>
      <c r="CI19" s="99">
        <f>$CI$17-$BQ$19</f>
        <v>3181810</v>
      </c>
      <c r="CL19" s="49">
        <v>14</v>
      </c>
      <c r="CM19" s="50" t="e">
        <f t="shared" si="1"/>
        <v>#N/A</v>
      </c>
      <c r="CO19" s="212"/>
      <c r="CP19" s="213"/>
      <c r="CQ19" s="201"/>
      <c r="CR19" s="42"/>
      <c r="CS19" s="200"/>
      <c r="CT19" s="201"/>
      <c r="CU19" s="202"/>
      <c r="CW19" s="68"/>
      <c r="CX19" s="69" t="str">
        <f>견적관리자용!$S$11</f>
        <v>승합(11~15인)</v>
      </c>
      <c r="CY19" s="70">
        <v>0</v>
      </c>
      <c r="CZ19" s="71">
        <v>0</v>
      </c>
      <c r="DA19" s="71">
        <v>0</v>
      </c>
      <c r="DB19" s="71">
        <v>0</v>
      </c>
      <c r="DC19" s="71">
        <v>0</v>
      </c>
      <c r="DD19" s="72">
        <f t="shared" si="2"/>
        <v>0</v>
      </c>
      <c r="DE19" s="73">
        <v>16</v>
      </c>
      <c r="DF19" s="72">
        <f t="shared" si="0"/>
        <v>0</v>
      </c>
      <c r="DG19" s="74"/>
      <c r="DJ19" s="25"/>
      <c r="DK19" s="25"/>
      <c r="DL19" s="25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</row>
    <row r="20" spans="1:298" s="26" customFormat="1" ht="15.95" customHeight="1" x14ac:dyDescent="0.35">
      <c r="A20" s="22"/>
      <c r="B20" s="22"/>
      <c r="C20" s="167"/>
      <c r="D20" s="975"/>
      <c r="E20" s="975"/>
      <c r="F20" s="975"/>
      <c r="G20" s="975"/>
      <c r="H20" s="975"/>
      <c r="I20" s="975"/>
      <c r="J20" s="975"/>
      <c r="K20" s="975"/>
      <c r="L20" s="971"/>
      <c r="M20" s="971"/>
      <c r="N20" s="971"/>
      <c r="O20" s="971"/>
      <c r="P20" s="971"/>
      <c r="Q20" s="971"/>
      <c r="R20" s="343"/>
      <c r="S20" s="343"/>
      <c r="T20" s="343"/>
      <c r="U20" s="343"/>
      <c r="V20" s="343"/>
      <c r="W20" s="102"/>
      <c r="X20" s="102"/>
      <c r="Y20" s="211"/>
      <c r="Z20" s="211"/>
      <c r="AA20" s="211"/>
      <c r="AB20" s="211"/>
      <c r="AC20" s="211"/>
      <c r="AD20" s="211"/>
      <c r="AE20" s="211"/>
      <c r="AF20" s="211"/>
      <c r="AG20" s="211"/>
      <c r="AH20" s="211"/>
      <c r="AI20" s="211"/>
      <c r="AJ20" s="211"/>
      <c r="AK20" s="211"/>
      <c r="AL20" s="211"/>
      <c r="AM20" s="211"/>
      <c r="AN20" s="211"/>
      <c r="AO20" s="211"/>
      <c r="AP20" s="211"/>
      <c r="AQ20" s="65"/>
      <c r="AR20" s="32"/>
      <c r="AS20" s="22"/>
      <c r="AT20" s="770"/>
      <c r="AU20" s="770"/>
      <c r="AV20" s="770"/>
      <c r="AW20" s="770"/>
      <c r="AX20" s="770"/>
      <c r="AY20" s="770"/>
      <c r="AZ20" s="770"/>
      <c r="BA20" s="770"/>
      <c r="BB20" s="770"/>
      <c r="BC20" s="771"/>
      <c r="BD20" s="865"/>
      <c r="BE20" s="866"/>
      <c r="BF20" s="866"/>
      <c r="BG20" s="866"/>
      <c r="BH20" s="866"/>
      <c r="BI20" s="866"/>
      <c r="BJ20" s="866"/>
      <c r="BK20" s="859">
        <v>0</v>
      </c>
      <c r="BL20" s="860"/>
      <c r="BM20" s="860"/>
      <c r="BN20" s="860"/>
      <c r="BO20" s="860"/>
      <c r="BP20" s="860"/>
      <c r="BQ20" s="860"/>
      <c r="BR20" s="860"/>
      <c r="BS20" s="860"/>
      <c r="BT20" s="860"/>
      <c r="BU20" s="860"/>
      <c r="BV20" s="860"/>
      <c r="BW20" s="860"/>
      <c r="BX20" s="22"/>
      <c r="BY20" s="33"/>
      <c r="BZ20" s="33"/>
      <c r="CA20" s="22"/>
      <c r="CB20" s="24"/>
      <c r="CC20" s="25"/>
      <c r="CD20" s="83" t="s">
        <v>116</v>
      </c>
      <c r="CE20" s="84" t="b">
        <f>IF($BD$19="금액입력",TRUE,FALSE)</f>
        <v>0</v>
      </c>
      <c r="CH20" s="89" t="s">
        <v>119</v>
      </c>
      <c r="CI20" s="99">
        <f>$BK$20</f>
        <v>0</v>
      </c>
      <c r="CL20" s="49">
        <v>15</v>
      </c>
      <c r="CM20" s="50" t="e">
        <f t="shared" si="1"/>
        <v>#N/A</v>
      </c>
      <c r="CO20" s="208"/>
      <c r="CP20" s="202"/>
      <c r="CQ20" s="207"/>
      <c r="CR20" s="42"/>
      <c r="CS20" s="206"/>
      <c r="CT20" s="207"/>
      <c r="CU20" s="202"/>
      <c r="CW20" s="68"/>
      <c r="CX20" s="69" t="str">
        <f>견적관리자용!$S$12</f>
        <v>화물(1000cc 미만)</v>
      </c>
      <c r="CY20" s="70">
        <v>0</v>
      </c>
      <c r="CZ20" s="70">
        <v>0</v>
      </c>
      <c r="DA20" s="80">
        <v>0</v>
      </c>
      <c r="DB20" s="80">
        <v>0</v>
      </c>
      <c r="DC20" s="80">
        <v>0</v>
      </c>
      <c r="DD20" s="72">
        <f t="shared" si="2"/>
        <v>0</v>
      </c>
      <c r="DE20" s="73">
        <v>17</v>
      </c>
      <c r="DF20" s="72">
        <f t="shared" si="0"/>
        <v>0</v>
      </c>
      <c r="DG20" s="74"/>
      <c r="DJ20" s="25"/>
      <c r="DK20" s="25"/>
      <c r="DL20" s="25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</row>
    <row r="21" spans="1:298" s="26" customFormat="1" ht="0.75" customHeight="1" x14ac:dyDescent="0.35">
      <c r="A21" s="22"/>
      <c r="B21" s="22"/>
      <c r="C21" s="167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106"/>
      <c r="S21" s="106"/>
      <c r="T21" s="106"/>
      <c r="U21" s="107"/>
      <c r="V21" s="107"/>
      <c r="W21" s="107"/>
      <c r="X21" s="107"/>
      <c r="Y21" s="214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6"/>
      <c r="AK21" s="216"/>
      <c r="AL21" s="216"/>
      <c r="AM21" s="216"/>
      <c r="AN21" s="216"/>
      <c r="AO21" s="216"/>
      <c r="AP21" s="216"/>
      <c r="AQ21" s="65"/>
      <c r="AR21" s="32"/>
      <c r="AS21" s="22"/>
      <c r="AT21" s="502"/>
      <c r="AU21" s="502"/>
      <c r="AV21" s="502"/>
      <c r="AW21" s="502"/>
      <c r="AX21" s="502"/>
      <c r="AY21" s="502"/>
      <c r="AZ21" s="502"/>
      <c r="BA21" s="502"/>
      <c r="BB21" s="502"/>
      <c r="BC21" s="502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22"/>
      <c r="BY21" s="33"/>
      <c r="BZ21" s="34"/>
      <c r="CA21" s="22"/>
      <c r="CB21" s="24"/>
      <c r="CC21" s="25"/>
      <c r="CH21" s="103" t="s">
        <v>123</v>
      </c>
      <c r="CI21" s="104">
        <f>VLOOKUP($BD$19,$CH$17:$CI$20,2,FALSE)</f>
        <v>3181810</v>
      </c>
      <c r="CL21" s="49">
        <v>16</v>
      </c>
      <c r="CM21" s="50" t="e">
        <f t="shared" si="1"/>
        <v>#N/A</v>
      </c>
      <c r="CO21" s="79" t="s">
        <v>187</v>
      </c>
      <c r="CP21" s="42">
        <f>$CI$87</f>
        <v>0</v>
      </c>
      <c r="CQ21" s="50">
        <f>$CP$21</f>
        <v>0</v>
      </c>
      <c r="CR21" s="42"/>
      <c r="CS21" s="206"/>
      <c r="CT21" s="207"/>
      <c r="CU21" s="202"/>
      <c r="CW21" s="85"/>
      <c r="CX21" s="69" t="str">
        <f>견적관리자용!$S$13</f>
        <v>화물(0.6톤 미만)</v>
      </c>
      <c r="CY21" s="70">
        <v>0</v>
      </c>
      <c r="CZ21" s="70">
        <v>0</v>
      </c>
      <c r="DA21" s="70">
        <v>0</v>
      </c>
      <c r="DB21" s="70">
        <v>0</v>
      </c>
      <c r="DC21" s="86">
        <v>0</v>
      </c>
      <c r="DD21" s="72">
        <f t="shared" si="2"/>
        <v>0</v>
      </c>
      <c r="DE21" s="73">
        <v>18</v>
      </c>
      <c r="DF21" s="72">
        <f t="shared" si="0"/>
        <v>0</v>
      </c>
      <c r="DG21" s="74"/>
      <c r="DJ21" s="25"/>
      <c r="DK21" s="25"/>
      <c r="DL21" s="25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</row>
    <row r="22" spans="1:298" s="26" customFormat="1" ht="15" customHeight="1" x14ac:dyDescent="0.25">
      <c r="A22" s="22"/>
      <c r="B22" s="22"/>
      <c r="C22" s="16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65"/>
      <c r="AR22" s="32"/>
      <c r="AS22" s="22"/>
      <c r="AT22" s="764" t="s">
        <v>277</v>
      </c>
      <c r="AU22" s="764"/>
      <c r="AV22" s="764"/>
      <c r="AW22" s="764"/>
      <c r="AX22" s="764"/>
      <c r="AY22" s="764"/>
      <c r="AZ22" s="764"/>
      <c r="BA22" s="764"/>
      <c r="BB22" s="764"/>
      <c r="BC22" s="767"/>
      <c r="BD22" s="736">
        <v>36</v>
      </c>
      <c r="BE22" s="737"/>
      <c r="BF22" s="737"/>
      <c r="BG22" s="737"/>
      <c r="BH22" s="737"/>
      <c r="BI22" s="737"/>
      <c r="BJ22" s="737"/>
      <c r="BK22" s="737"/>
      <c r="BL22" s="737"/>
      <c r="BM22" s="737"/>
      <c r="BN22" s="737"/>
      <c r="BO22" s="737"/>
      <c r="BP22" s="737"/>
      <c r="BQ22" s="737"/>
      <c r="BR22" s="737"/>
      <c r="BS22" s="737"/>
      <c r="BT22" s="737"/>
      <c r="BU22" s="737"/>
      <c r="BV22" s="737"/>
      <c r="BW22" s="737"/>
      <c r="BX22" s="22"/>
      <c r="BY22" s="676"/>
      <c r="BZ22" s="676"/>
      <c r="CA22" s="22"/>
      <c r="CB22" s="24"/>
      <c r="CC22" s="25"/>
      <c r="CH22" s="81" t="s">
        <v>238</v>
      </c>
      <c r="CI22" s="77">
        <f>$CI$9+$CI$11+$CI$21+$BD$17+$BD$18</f>
        <v>53381810</v>
      </c>
      <c r="CL22" s="49">
        <v>17</v>
      </c>
      <c r="CM22" s="50" t="e">
        <f t="shared" si="1"/>
        <v>#N/A</v>
      </c>
      <c r="CO22" s="51" t="s">
        <v>189</v>
      </c>
      <c r="CP22" s="96">
        <f>SUM($CP$19:$CP$21)</f>
        <v>0</v>
      </c>
      <c r="CQ22" s="97">
        <f>SUM($CQ$19:$CQ$21)</f>
        <v>0</v>
      </c>
      <c r="CR22" s="42"/>
      <c r="CS22" s="209"/>
      <c r="CT22" s="210"/>
      <c r="CU22" s="202"/>
      <c r="CW22" s="85"/>
      <c r="CX22" s="69" t="str">
        <f>견적관리자용!$S$14</f>
        <v>화물(0.6~1톤 미만)</v>
      </c>
      <c r="CY22" s="70">
        <v>0</v>
      </c>
      <c r="CZ22" s="70">
        <v>0</v>
      </c>
      <c r="DA22" s="70">
        <v>0</v>
      </c>
      <c r="DB22" s="70">
        <v>0</v>
      </c>
      <c r="DC22" s="86">
        <v>0</v>
      </c>
      <c r="DD22" s="72">
        <f t="shared" si="2"/>
        <v>0</v>
      </c>
      <c r="DE22" s="73">
        <v>19</v>
      </c>
      <c r="DF22" s="72">
        <f t="shared" si="0"/>
        <v>0</v>
      </c>
      <c r="DG22" s="74"/>
      <c r="DJ22" s="25"/>
      <c r="DK22" s="25"/>
      <c r="DL22" s="25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</row>
    <row r="23" spans="1:298" s="26" customFormat="1" ht="15.95" customHeight="1" x14ac:dyDescent="0.3">
      <c r="A23" s="22"/>
      <c r="B23" s="22"/>
      <c r="C23" s="167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32"/>
      <c r="AS23" s="22"/>
      <c r="AT23" s="764" t="s">
        <v>638</v>
      </c>
      <c r="AU23" s="764"/>
      <c r="AV23" s="764"/>
      <c r="AW23" s="764"/>
      <c r="AX23" s="764"/>
      <c r="AY23" s="764"/>
      <c r="AZ23" s="764"/>
      <c r="BA23" s="764"/>
      <c r="BB23" s="764"/>
      <c r="BC23" s="767"/>
      <c r="BD23" s="723" t="s">
        <v>242</v>
      </c>
      <c r="BE23" s="724"/>
      <c r="BF23" s="724"/>
      <c r="BG23" s="724"/>
      <c r="BH23" s="724"/>
      <c r="BI23" s="724"/>
      <c r="BJ23" s="724"/>
      <c r="BK23" s="725">
        <v>0</v>
      </c>
      <c r="BL23" s="725"/>
      <c r="BM23" s="725"/>
      <c r="BN23" s="725"/>
      <c r="BO23" s="725"/>
      <c r="BP23" s="725"/>
      <c r="BQ23" s="726"/>
      <c r="BR23" s="726"/>
      <c r="BS23" s="726"/>
      <c r="BT23" s="726"/>
      <c r="BU23" s="726"/>
      <c r="BV23" s="726"/>
      <c r="BW23" s="727"/>
      <c r="BX23" s="22"/>
      <c r="BY23" s="970" t="s">
        <v>639</v>
      </c>
      <c r="BZ23" s="970"/>
      <c r="CA23" s="22"/>
      <c r="CB23" s="24"/>
      <c r="CC23" s="25"/>
      <c r="CD23" s="83" t="s">
        <v>272</v>
      </c>
      <c r="CE23" s="110" t="b">
        <f>IF(OR($BD$23="총구매비용비율",$BD$23="차량가비율"),TRUE,FALSE)</f>
        <v>1</v>
      </c>
      <c r="CF23" s="84" t="b">
        <f>IF($CE$23=TRUE,FALSE,TRUE)</f>
        <v>0</v>
      </c>
      <c r="CH23" s="108" t="s">
        <v>239</v>
      </c>
      <c r="CI23" s="109">
        <f>CI22-CI31</f>
        <v>53381810</v>
      </c>
      <c r="CL23" s="49">
        <v>18</v>
      </c>
      <c r="CM23" s="50" t="e">
        <f t="shared" si="1"/>
        <v>#N/A</v>
      </c>
      <c r="CO23" s="29"/>
      <c r="CP23" s="28"/>
      <c r="CQ23" s="28"/>
      <c r="CR23" s="28"/>
      <c r="CS23" s="199"/>
      <c r="CT23" s="199"/>
      <c r="CU23" s="199"/>
      <c r="CW23" s="85"/>
      <c r="CX23" s="69" t="str">
        <f>견적관리자용!$S$15</f>
        <v>화물(1~2.5톤 미만)</v>
      </c>
      <c r="CY23" s="70">
        <v>0</v>
      </c>
      <c r="CZ23" s="70">
        <v>0</v>
      </c>
      <c r="DA23" s="70">
        <v>0</v>
      </c>
      <c r="DB23" s="70">
        <v>0</v>
      </c>
      <c r="DC23" s="86">
        <v>0</v>
      </c>
      <c r="DD23" s="72">
        <f t="shared" si="2"/>
        <v>0</v>
      </c>
      <c r="DE23" s="73">
        <v>20</v>
      </c>
      <c r="DF23" s="72">
        <f t="shared" si="0"/>
        <v>0</v>
      </c>
      <c r="DG23" s="74"/>
      <c r="DJ23" s="25"/>
      <c r="DK23" s="25"/>
      <c r="DL23" s="25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</row>
    <row r="24" spans="1:298" s="26" customFormat="1" ht="15.95" customHeight="1" x14ac:dyDescent="0.3">
      <c r="A24" s="22"/>
      <c r="B24" s="22"/>
      <c r="C24" s="167"/>
      <c r="D24" s="789" t="s">
        <v>409</v>
      </c>
      <c r="E24" s="790"/>
      <c r="F24" s="790"/>
      <c r="G24" s="790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  <c r="S24" s="790"/>
      <c r="T24" s="790"/>
      <c r="U24" s="790"/>
      <c r="V24" s="790"/>
      <c r="W24" s="790"/>
      <c r="X24" s="790"/>
      <c r="Y24" s="790"/>
      <c r="Z24" s="790"/>
      <c r="AA24" s="790"/>
      <c r="AB24" s="790"/>
      <c r="AC24" s="790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32"/>
      <c r="AS24" s="22"/>
      <c r="AT24" s="764" t="s">
        <v>241</v>
      </c>
      <c r="AU24" s="764"/>
      <c r="AV24" s="764"/>
      <c r="AW24" s="764"/>
      <c r="AX24" s="764"/>
      <c r="AY24" s="764"/>
      <c r="AZ24" s="764"/>
      <c r="BA24" s="764"/>
      <c r="BB24" s="764"/>
      <c r="BC24" s="767"/>
      <c r="BD24" s="723" t="s">
        <v>246</v>
      </c>
      <c r="BE24" s="724"/>
      <c r="BF24" s="724"/>
      <c r="BG24" s="724"/>
      <c r="BH24" s="724"/>
      <c r="BI24" s="724"/>
      <c r="BJ24" s="724"/>
      <c r="BK24" s="725">
        <v>0</v>
      </c>
      <c r="BL24" s="725"/>
      <c r="BM24" s="725"/>
      <c r="BN24" s="725"/>
      <c r="BO24" s="725"/>
      <c r="BP24" s="725"/>
      <c r="BQ24" s="726">
        <v>0</v>
      </c>
      <c r="BR24" s="726"/>
      <c r="BS24" s="726"/>
      <c r="BT24" s="726"/>
      <c r="BU24" s="726"/>
      <c r="BV24" s="726"/>
      <c r="BW24" s="727"/>
      <c r="BX24" s="22"/>
      <c r="BY24" s="33"/>
      <c r="BZ24" s="506">
        <f>AN18</f>
        <v>0</v>
      </c>
      <c r="CA24" s="22"/>
      <c r="CB24" s="24"/>
      <c r="CC24" s="25"/>
      <c r="CD24" s="217"/>
      <c r="CE24" s="217"/>
      <c r="CF24" s="217"/>
      <c r="CH24" s="108" t="s">
        <v>68</v>
      </c>
      <c r="CI24" s="111">
        <f>$BD$22</f>
        <v>36</v>
      </c>
      <c r="CL24" s="49">
        <v>19</v>
      </c>
      <c r="CM24" s="50" t="e">
        <f t="shared" si="1"/>
        <v>#N/A</v>
      </c>
      <c r="CO24" s="114" t="s">
        <v>257</v>
      </c>
      <c r="CP24" s="115">
        <f>$CI$36</f>
        <v>0</v>
      </c>
      <c r="CQ24" s="82">
        <f>$CP$24</f>
        <v>0</v>
      </c>
      <c r="CR24" s="42"/>
      <c r="CS24" s="218"/>
      <c r="CT24" s="219"/>
      <c r="CU24" s="202"/>
      <c r="CW24" s="85"/>
      <c r="CX24" s="69" t="str">
        <f>견적관리자용!$S$16</f>
        <v>화물(2.5~4.6톤 미만)</v>
      </c>
      <c r="CY24" s="70">
        <v>0</v>
      </c>
      <c r="CZ24" s="70">
        <v>0</v>
      </c>
      <c r="DA24" s="80">
        <v>0</v>
      </c>
      <c r="DB24" s="80">
        <v>0</v>
      </c>
      <c r="DC24" s="80">
        <v>0</v>
      </c>
      <c r="DD24" s="72">
        <f t="shared" si="2"/>
        <v>0</v>
      </c>
      <c r="DE24" s="73">
        <v>21</v>
      </c>
      <c r="DF24" s="72">
        <f t="shared" si="0"/>
        <v>0</v>
      </c>
      <c r="DG24" s="74"/>
      <c r="DJ24" s="25"/>
      <c r="DK24" s="25"/>
      <c r="DL24" s="25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</row>
    <row r="25" spans="1:298" s="26" customFormat="1" ht="15.95" customHeight="1" x14ac:dyDescent="0.3">
      <c r="A25" s="22"/>
      <c r="B25" s="22"/>
      <c r="C25" s="167"/>
      <c r="D25" s="583" t="s">
        <v>721</v>
      </c>
      <c r="E25" s="336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65"/>
      <c r="AR25" s="32"/>
      <c r="AS25" s="22"/>
      <c r="AT25" s="774" t="s">
        <v>150</v>
      </c>
      <c r="AU25" s="774"/>
      <c r="AV25" s="774"/>
      <c r="AW25" s="774"/>
      <c r="AX25" s="774"/>
      <c r="AY25" s="774"/>
      <c r="AZ25" s="774"/>
      <c r="BA25" s="774"/>
      <c r="BB25" s="774"/>
      <c r="BC25" s="779"/>
      <c r="BD25" s="811">
        <v>0</v>
      </c>
      <c r="BE25" s="812"/>
      <c r="BF25" s="812"/>
      <c r="BG25" s="812"/>
      <c r="BH25" s="812"/>
      <c r="BI25" s="812"/>
      <c r="BJ25" s="812"/>
      <c r="BK25" s="812"/>
      <c r="BL25" s="812"/>
      <c r="BM25" s="812"/>
      <c r="BN25" s="953" t="s">
        <v>70</v>
      </c>
      <c r="BO25" s="954"/>
      <c r="BP25" s="955" t="e">
        <f>CI92</f>
        <v>#N/A</v>
      </c>
      <c r="BQ25" s="955"/>
      <c r="BR25" s="955"/>
      <c r="BS25" s="955"/>
      <c r="BT25" s="955"/>
      <c r="BU25" s="955"/>
      <c r="BV25" s="955"/>
      <c r="BW25" s="955"/>
      <c r="BX25" s="22"/>
      <c r="BY25" s="522"/>
      <c r="BZ25" s="505"/>
      <c r="CA25" s="22"/>
      <c r="CB25" s="24"/>
      <c r="CC25" s="25"/>
      <c r="CD25" s="220"/>
      <c r="CE25" s="220"/>
      <c r="CF25" s="220"/>
      <c r="CH25" s="108" t="s">
        <v>128</v>
      </c>
      <c r="CI25" s="113">
        <f>IF($BD$15="당사명의",VLOOKUP($BD$5,견적관리자용!$E$9:$K$36,4,FALSE),VLOOKUP($BD$5,견적관리자용!$E$9:$K$36,5,FALSE))</f>
        <v>0.1</v>
      </c>
      <c r="CL25" s="49">
        <v>20</v>
      </c>
      <c r="CM25" s="50" t="e">
        <f t="shared" si="1"/>
        <v>#N/A</v>
      </c>
      <c r="CO25" s="117"/>
      <c r="CP25" s="42"/>
      <c r="CQ25" s="42"/>
      <c r="CR25" s="42"/>
      <c r="CS25" s="202"/>
      <c r="CT25" s="202"/>
      <c r="CU25" s="202"/>
      <c r="CW25" s="90"/>
      <c r="CX25" s="91" t="str">
        <f>견적관리자용!$S$17</f>
        <v>화물(4.6톤 이상)</v>
      </c>
      <c r="CY25" s="92">
        <v>0</v>
      </c>
      <c r="CZ25" s="92">
        <v>0</v>
      </c>
      <c r="DA25" s="92">
        <v>0</v>
      </c>
      <c r="DB25" s="92">
        <v>0</v>
      </c>
      <c r="DC25" s="92">
        <v>0</v>
      </c>
      <c r="DD25" s="93">
        <f t="shared" si="2"/>
        <v>0</v>
      </c>
      <c r="DE25" s="94">
        <v>22</v>
      </c>
      <c r="DF25" s="93">
        <f t="shared" si="0"/>
        <v>0</v>
      </c>
      <c r="DG25" s="95"/>
      <c r="DJ25" s="25"/>
      <c r="DK25" s="25"/>
      <c r="DL25" s="25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</row>
    <row r="26" spans="1:298" s="26" customFormat="1" ht="15.95" customHeight="1" x14ac:dyDescent="0.3">
      <c r="A26" s="22"/>
      <c r="B26" s="22"/>
      <c r="C26" s="167"/>
      <c r="D26" s="584" t="s">
        <v>723</v>
      </c>
      <c r="E26" s="112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32"/>
      <c r="AS26" s="22"/>
      <c r="AT26" s="764" t="s">
        <v>171</v>
      </c>
      <c r="AU26" s="764"/>
      <c r="AV26" s="764"/>
      <c r="AW26" s="764"/>
      <c r="AX26" s="764"/>
      <c r="AY26" s="764"/>
      <c r="AZ26" s="764"/>
      <c r="BA26" s="764"/>
      <c r="BB26" s="764"/>
      <c r="BC26" s="767"/>
      <c r="BD26" s="844" t="s">
        <v>291</v>
      </c>
      <c r="BE26" s="845"/>
      <c r="BF26" s="845"/>
      <c r="BG26" s="845"/>
      <c r="BH26" s="845"/>
      <c r="BI26" s="845"/>
      <c r="BJ26" s="845"/>
      <c r="BK26" s="730" t="s">
        <v>50</v>
      </c>
      <c r="BL26" s="731"/>
      <c r="BM26" s="731"/>
      <c r="BN26" s="731"/>
      <c r="BO26" s="731"/>
      <c r="BP26" s="731"/>
      <c r="BQ26" s="732">
        <v>0</v>
      </c>
      <c r="BR26" s="732"/>
      <c r="BS26" s="732"/>
      <c r="BT26" s="732"/>
      <c r="BU26" s="732"/>
      <c r="BV26" s="732"/>
      <c r="BW26" s="733"/>
      <c r="BX26" s="22"/>
      <c r="BY26" s="561" t="s">
        <v>738</v>
      </c>
      <c r="BZ26" s="562" t="str">
        <f>BY5&amp;IF(CE8=TRUE,"(제휴면제)","")</f>
        <v>비제휴사</v>
      </c>
      <c r="CA26" s="22"/>
      <c r="CB26" s="24"/>
      <c r="CC26" s="25"/>
      <c r="CD26" s="83" t="s">
        <v>247</v>
      </c>
      <c r="CE26" s="110" t="b">
        <f>IF($BD$24="금액입력",TRUE,FALSE)</f>
        <v>0</v>
      </c>
      <c r="CF26" s="84" t="b">
        <f>IF($CE$26=TRUE,FALSE,TRUE)</f>
        <v>1</v>
      </c>
      <c r="CH26" s="221"/>
      <c r="CI26" s="222"/>
      <c r="CL26" s="49">
        <v>21</v>
      </c>
      <c r="CM26" s="50" t="e">
        <f t="shared" si="1"/>
        <v>#N/A</v>
      </c>
      <c r="CO26" s="39" t="s">
        <v>192</v>
      </c>
      <c r="CP26" s="40"/>
      <c r="CQ26" s="224" t="e">
        <f>ROUNDDOWN(PMT($CQ$5/12,$CQ$4,-$CQ$17+$CQ$22,$CQ$24-$CQ$20),0)</f>
        <v>#N/A</v>
      </c>
      <c r="CR26" s="42"/>
      <c r="CS26" s="225"/>
      <c r="CT26" s="226"/>
      <c r="CU26" s="201"/>
      <c r="CW26" s="68" t="s">
        <v>95</v>
      </c>
      <c r="CX26" s="124" t="str">
        <f>견적관리자용!$S$8</f>
        <v>승용일반</v>
      </c>
      <c r="CY26" s="70">
        <v>0</v>
      </c>
      <c r="CZ26" s="125">
        <v>0.04</v>
      </c>
      <c r="DA26" s="125">
        <v>0.04</v>
      </c>
      <c r="DB26" s="125">
        <v>0.04</v>
      </c>
      <c r="DC26" s="125">
        <v>0.05</v>
      </c>
      <c r="DD26" s="72">
        <f t="shared" si="2"/>
        <v>0.04</v>
      </c>
      <c r="DE26" s="73">
        <v>23</v>
      </c>
      <c r="DF26" s="72">
        <f t="shared" si="0"/>
        <v>0.04</v>
      </c>
      <c r="DG26" s="74">
        <f>SUM(DF26:DF35)</f>
        <v>0.04</v>
      </c>
      <c r="DJ26" s="25"/>
      <c r="DK26" s="25"/>
      <c r="DL26" s="25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</row>
    <row r="27" spans="1:298" s="26" customFormat="1" ht="15.95" customHeight="1" x14ac:dyDescent="0.3">
      <c r="A27" s="22"/>
      <c r="B27" s="22"/>
      <c r="C27" s="167"/>
      <c r="D27" s="584" t="s">
        <v>724</v>
      </c>
      <c r="E27" s="112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32"/>
      <c r="AS27" s="22"/>
      <c r="AT27" s="764" t="s">
        <v>172</v>
      </c>
      <c r="AU27" s="764"/>
      <c r="AV27" s="764"/>
      <c r="AW27" s="764"/>
      <c r="AX27" s="764"/>
      <c r="AY27" s="764"/>
      <c r="AZ27" s="764"/>
      <c r="BA27" s="764"/>
      <c r="BB27" s="764"/>
      <c r="BC27" s="767"/>
      <c r="BD27" s="721">
        <v>0</v>
      </c>
      <c r="BE27" s="722"/>
      <c r="BF27" s="722"/>
      <c r="BG27" s="722"/>
      <c r="BH27" s="722"/>
      <c r="BI27" s="722"/>
      <c r="BJ27" s="722"/>
      <c r="BK27" s="722"/>
      <c r="BL27" s="722"/>
      <c r="BM27" s="722"/>
      <c r="BN27" s="722"/>
      <c r="BO27" s="722"/>
      <c r="BP27" s="722"/>
      <c r="BQ27" s="722"/>
      <c r="BR27" s="722"/>
      <c r="BS27" s="722"/>
      <c r="BT27" s="722"/>
      <c r="BU27" s="722"/>
      <c r="BV27" s="722"/>
      <c r="BW27" s="722"/>
      <c r="BX27" s="22"/>
      <c r="BY27" s="561" t="s">
        <v>739</v>
      </c>
      <c r="BZ27" s="560">
        <f>CI23</f>
        <v>53381810</v>
      </c>
      <c r="CA27" s="22"/>
      <c r="CB27" s="24"/>
      <c r="CC27" s="25"/>
      <c r="CH27" s="223"/>
      <c r="CI27" s="201"/>
      <c r="CL27" s="49">
        <v>22</v>
      </c>
      <c r="CM27" s="50" t="e">
        <f t="shared" si="1"/>
        <v>#N/A</v>
      </c>
      <c r="CO27" s="79" t="s">
        <v>193</v>
      </c>
      <c r="CP27" s="42"/>
      <c r="CQ27" s="132" t="e">
        <f>RATE($CQ$4,$CQ$26,-$CQ$8+$CQ$19,$CQ$24)*12</f>
        <v>#N/A</v>
      </c>
      <c r="CR27" s="131"/>
      <c r="CS27" s="229"/>
      <c r="CT27" s="230"/>
      <c r="CU27" s="231"/>
      <c r="CW27" s="68"/>
      <c r="CX27" s="69" t="str">
        <f>견적관리자용!$S$9</f>
        <v>승용SUV(~5인)</v>
      </c>
      <c r="CY27" s="70">
        <v>0</v>
      </c>
      <c r="CZ27" s="71">
        <v>0.04</v>
      </c>
      <c r="DA27" s="71">
        <v>0.04</v>
      </c>
      <c r="DB27" s="71">
        <v>0.04</v>
      </c>
      <c r="DC27" s="71">
        <v>0.04</v>
      </c>
      <c r="DD27" s="72">
        <f t="shared" si="2"/>
        <v>0.04</v>
      </c>
      <c r="DE27" s="73">
        <v>24</v>
      </c>
      <c r="DF27" s="72">
        <f t="shared" si="0"/>
        <v>0</v>
      </c>
      <c r="DG27" s="74"/>
      <c r="DJ27" s="25"/>
      <c r="DK27" s="25"/>
      <c r="DL27" s="25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</row>
    <row r="28" spans="1:298" s="26" customFormat="1" ht="15.95" customHeight="1" x14ac:dyDescent="0.3">
      <c r="A28" s="22"/>
      <c r="B28" s="22"/>
      <c r="C28" s="167"/>
      <c r="D28" s="338" t="str">
        <f>IF(BD18="당사명의","* 리스차량 명의는 엠캐피탈㈜ 등록입니다.","* 리스차량 명의는 이용자 등록입니다.")</f>
        <v>* 리스차량 명의는 이용자 등록입니다.</v>
      </c>
      <c r="E28" s="31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32"/>
      <c r="AS28" s="22"/>
      <c r="AT28" s="764" t="s">
        <v>173</v>
      </c>
      <c r="AU28" s="764"/>
      <c r="AV28" s="764"/>
      <c r="AW28" s="764"/>
      <c r="AX28" s="764"/>
      <c r="AY28" s="764"/>
      <c r="AZ28" s="764"/>
      <c r="BA28" s="764"/>
      <c r="BB28" s="764"/>
      <c r="BC28" s="767"/>
      <c r="BD28" s="721">
        <v>0</v>
      </c>
      <c r="BE28" s="722"/>
      <c r="BF28" s="722"/>
      <c r="BG28" s="722"/>
      <c r="BH28" s="722"/>
      <c r="BI28" s="722"/>
      <c r="BJ28" s="722"/>
      <c r="BK28" s="722"/>
      <c r="BL28" s="722"/>
      <c r="BM28" s="722"/>
      <c r="BN28" s="722"/>
      <c r="BO28" s="722"/>
      <c r="BP28" s="722"/>
      <c r="BQ28" s="722"/>
      <c r="BR28" s="722"/>
      <c r="BS28" s="722"/>
      <c r="BT28" s="722"/>
      <c r="BU28" s="722"/>
      <c r="BV28" s="722"/>
      <c r="BW28" s="722"/>
      <c r="BX28" s="22"/>
      <c r="BY28" s="563" t="s">
        <v>736</v>
      </c>
      <c r="BZ28" s="567">
        <f>BZ29/BZ27</f>
        <v>0</v>
      </c>
      <c r="CA28" s="22"/>
      <c r="CB28" s="24"/>
      <c r="CC28" s="25"/>
      <c r="CH28" s="227"/>
      <c r="CI28" s="228"/>
      <c r="CL28" s="49">
        <v>23</v>
      </c>
      <c r="CM28" s="50" t="e">
        <f t="shared" si="1"/>
        <v>#N/A</v>
      </c>
      <c r="CO28" s="145" t="s">
        <v>270</v>
      </c>
      <c r="CP28" s="146"/>
      <c r="CQ28" s="147" t="e">
        <f>PMT(CQ29/12,CQ4,-CQ8,CQ24)</f>
        <v>#N/A</v>
      </c>
      <c r="CR28" s="42"/>
      <c r="CS28" s="232"/>
      <c r="CT28" s="233"/>
      <c r="CU28" s="207"/>
      <c r="CW28" s="68"/>
      <c r="CX28" s="69" t="str">
        <f>견적관리자용!$S$10</f>
        <v>승용SUV(7~10인)</v>
      </c>
      <c r="CY28" s="70">
        <v>0</v>
      </c>
      <c r="CZ28" s="70">
        <v>390000</v>
      </c>
      <c r="DA28" s="80">
        <v>390000</v>
      </c>
      <c r="DB28" s="80">
        <v>390000</v>
      </c>
      <c r="DC28" s="80">
        <v>390000</v>
      </c>
      <c r="DD28" s="72">
        <f t="shared" si="2"/>
        <v>390000</v>
      </c>
      <c r="DE28" s="73">
        <v>25</v>
      </c>
      <c r="DF28" s="72">
        <f t="shared" si="0"/>
        <v>0</v>
      </c>
      <c r="DG28" s="74"/>
      <c r="DJ28" s="25"/>
      <c r="DK28" s="25"/>
      <c r="DL28" s="25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</row>
    <row r="29" spans="1:298" s="26" customFormat="1" ht="15.95" customHeight="1" x14ac:dyDescent="0.3">
      <c r="A29" s="22"/>
      <c r="B29" s="22"/>
      <c r="C29" s="167"/>
      <c r="D29" s="338" t="s">
        <v>719</v>
      </c>
      <c r="E29" s="31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32"/>
      <c r="AS29" s="22"/>
      <c r="AT29" s="764" t="s">
        <v>324</v>
      </c>
      <c r="AU29" s="764"/>
      <c r="AV29" s="764"/>
      <c r="AW29" s="764"/>
      <c r="AX29" s="764"/>
      <c r="AY29" s="764"/>
      <c r="AZ29" s="764"/>
      <c r="BA29" s="764"/>
      <c r="BB29" s="764"/>
      <c r="BC29" s="767"/>
      <c r="BD29" s="808" t="s">
        <v>325</v>
      </c>
      <c r="BE29" s="809"/>
      <c r="BF29" s="809"/>
      <c r="BG29" s="809"/>
      <c r="BH29" s="809"/>
      <c r="BI29" s="809"/>
      <c r="BJ29" s="809"/>
      <c r="BK29" s="809"/>
      <c r="BL29" s="809"/>
      <c r="BM29" s="809"/>
      <c r="BN29" s="809"/>
      <c r="BO29" s="809"/>
      <c r="BP29" s="809"/>
      <c r="BQ29" s="809"/>
      <c r="BR29" s="809"/>
      <c r="BS29" s="809"/>
      <c r="BT29" s="809"/>
      <c r="BU29" s="809"/>
      <c r="BV29" s="809"/>
      <c r="BW29" s="809"/>
      <c r="BX29" s="22"/>
      <c r="BY29" s="563" t="s">
        <v>737</v>
      </c>
      <c r="BZ29" s="564">
        <f>ROUNDDOWN(CI70,0)</f>
        <v>0</v>
      </c>
      <c r="CA29" s="22"/>
      <c r="CB29" s="24"/>
      <c r="CC29" s="25"/>
      <c r="CD29" s="234"/>
      <c r="CE29" s="235"/>
      <c r="CH29" s="223"/>
      <c r="CI29" s="201"/>
      <c r="CL29" s="49">
        <v>24</v>
      </c>
      <c r="CM29" s="50" t="e">
        <f t="shared" si="1"/>
        <v>#N/A</v>
      </c>
      <c r="CO29" s="145" t="s">
        <v>194</v>
      </c>
      <c r="CP29" s="146"/>
      <c r="CQ29" s="236" t="e">
        <f>ROUND(CQ27,5)</f>
        <v>#N/A</v>
      </c>
      <c r="CR29" s="131"/>
      <c r="CS29" s="229"/>
      <c r="CT29" s="230"/>
      <c r="CU29" s="231"/>
      <c r="CW29" s="68"/>
      <c r="CX29" s="69" t="str">
        <f>견적관리자용!$S$11</f>
        <v>승합(11~15인)</v>
      </c>
      <c r="CY29" s="70">
        <v>0</v>
      </c>
      <c r="CZ29" s="70">
        <v>390000</v>
      </c>
      <c r="DA29" s="80">
        <v>390000</v>
      </c>
      <c r="DB29" s="80">
        <v>390000</v>
      </c>
      <c r="DC29" s="80">
        <v>390000</v>
      </c>
      <c r="DD29" s="72">
        <f t="shared" si="2"/>
        <v>390000</v>
      </c>
      <c r="DE29" s="73">
        <v>26</v>
      </c>
      <c r="DF29" s="72">
        <f t="shared" si="0"/>
        <v>0</v>
      </c>
      <c r="DG29" s="74"/>
      <c r="DJ29" s="25"/>
      <c r="DK29" s="25"/>
      <c r="DL29" s="25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</row>
    <row r="30" spans="1:298" s="26" customFormat="1" ht="15.95" customHeight="1" thickBot="1" x14ac:dyDescent="0.35">
      <c r="A30" s="22"/>
      <c r="B30" s="22"/>
      <c r="C30" s="167"/>
      <c r="D30" s="338" t="s">
        <v>727</v>
      </c>
      <c r="E30" s="319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32"/>
      <c r="AS30" s="22"/>
      <c r="AT30" s="759" t="s">
        <v>174</v>
      </c>
      <c r="AU30" s="759"/>
      <c r="AV30" s="759"/>
      <c r="AW30" s="759"/>
      <c r="AX30" s="759"/>
      <c r="AY30" s="759"/>
      <c r="AZ30" s="759"/>
      <c r="BA30" s="759"/>
      <c r="BB30" s="759"/>
      <c r="BC30" s="760"/>
      <c r="BD30" s="796" t="s">
        <v>596</v>
      </c>
      <c r="BE30" s="797"/>
      <c r="BF30" s="797"/>
      <c r="BG30" s="797"/>
      <c r="BH30" s="797"/>
      <c r="BI30" s="797"/>
      <c r="BJ30" s="797"/>
      <c r="BK30" s="797"/>
      <c r="BL30" s="798"/>
      <c r="BM30" s="806" t="s">
        <v>622</v>
      </c>
      <c r="BN30" s="806"/>
      <c r="BO30" s="806"/>
      <c r="BP30" s="806"/>
      <c r="BQ30" s="806"/>
      <c r="BR30" s="806"/>
      <c r="BS30" s="806"/>
      <c r="BT30" s="806"/>
      <c r="BU30" s="806"/>
      <c r="BV30" s="806"/>
      <c r="BW30" s="807"/>
      <c r="BX30" s="22"/>
      <c r="BY30" s="568" t="s">
        <v>740</v>
      </c>
      <c r="BZ30" s="569" t="str">
        <f>IF(BD15="당사명의","해당없음","100%")</f>
        <v>해당없음</v>
      </c>
      <c r="CA30" s="22"/>
      <c r="CB30" s="24"/>
      <c r="CC30" s="25"/>
      <c r="CD30" s="237"/>
      <c r="CE30" s="238"/>
      <c r="CH30" s="227"/>
      <c r="CI30" s="228"/>
      <c r="CL30" s="49">
        <v>25</v>
      </c>
      <c r="CM30" s="50" t="e">
        <f t="shared" si="1"/>
        <v>#N/A</v>
      </c>
      <c r="CO30" s="79" t="s">
        <v>195</v>
      </c>
      <c r="CP30" s="42"/>
      <c r="CQ30" s="50">
        <f>$CP$54</f>
        <v>0</v>
      </c>
      <c r="CR30" s="42"/>
      <c r="CS30" s="206"/>
      <c r="CT30" s="202"/>
      <c r="CU30" s="207"/>
      <c r="CW30" s="68"/>
      <c r="CX30" s="69" t="str">
        <f>견적관리자용!$S$12</f>
        <v>화물(1000cc 미만)</v>
      </c>
      <c r="CY30" s="70">
        <v>0</v>
      </c>
      <c r="CZ30" s="70">
        <v>0</v>
      </c>
      <c r="DA30" s="80">
        <v>0</v>
      </c>
      <c r="DB30" s="80">
        <v>0</v>
      </c>
      <c r="DC30" s="80">
        <v>0</v>
      </c>
      <c r="DD30" s="72">
        <f t="shared" si="2"/>
        <v>0</v>
      </c>
      <c r="DE30" s="73">
        <v>27</v>
      </c>
      <c r="DF30" s="72">
        <f t="shared" si="0"/>
        <v>0</v>
      </c>
      <c r="DG30" s="74"/>
      <c r="DJ30" s="25"/>
      <c r="DK30" s="25"/>
      <c r="DL30" s="25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</row>
    <row r="31" spans="1:298" s="26" customFormat="1" ht="15.95" customHeight="1" thickBot="1" x14ac:dyDescent="0.35">
      <c r="A31" s="22"/>
      <c r="B31" s="22"/>
      <c r="C31" s="167"/>
      <c r="D31" s="750" t="s">
        <v>726</v>
      </c>
      <c r="E31" s="750"/>
      <c r="F31" s="750"/>
      <c r="G31" s="750"/>
      <c r="H31" s="750"/>
      <c r="I31" s="750"/>
      <c r="J31" s="750"/>
      <c r="K31" s="750"/>
      <c r="L31" s="750"/>
      <c r="M31" s="750"/>
      <c r="N31" s="750"/>
      <c r="O31" s="750"/>
      <c r="P31" s="750"/>
      <c r="Q31" s="750"/>
      <c r="R31" s="750"/>
      <c r="S31" s="750"/>
      <c r="T31" s="750"/>
      <c r="U31" s="750"/>
      <c r="V31" s="750"/>
      <c r="W31" s="750"/>
      <c r="X31" s="750"/>
      <c r="Y31" s="750"/>
      <c r="Z31" s="750"/>
      <c r="AA31" s="750"/>
      <c r="AB31" s="750"/>
      <c r="AC31" s="750"/>
      <c r="AD31" s="750"/>
      <c r="AE31" s="750"/>
      <c r="AF31" s="750"/>
      <c r="AG31" s="750"/>
      <c r="AH31" s="750"/>
      <c r="AI31" s="750"/>
      <c r="AJ31" s="750"/>
      <c r="AK31" s="750"/>
      <c r="AL31" s="750"/>
      <c r="AM31" s="750"/>
      <c r="AN31" s="750"/>
      <c r="AO31" s="750"/>
      <c r="AP31" s="585"/>
      <c r="AQ31" s="65"/>
      <c r="AR31" s="32"/>
      <c r="AS31" s="22"/>
      <c r="AT31" s="959" t="s">
        <v>399</v>
      </c>
      <c r="AU31" s="960"/>
      <c r="AV31" s="960"/>
      <c r="AW31" s="960"/>
      <c r="AX31" s="960"/>
      <c r="AY31" s="960"/>
      <c r="AZ31" s="960"/>
      <c r="BA31" s="960"/>
      <c r="BB31" s="960"/>
      <c r="BC31" s="961"/>
      <c r="BD31" s="966" t="e">
        <f>$CQ$29</f>
        <v>#N/A</v>
      </c>
      <c r="BE31" s="967"/>
      <c r="BF31" s="967"/>
      <c r="BG31" s="967"/>
      <c r="BH31" s="967"/>
      <c r="BI31" s="967"/>
      <c r="BJ31" s="967"/>
      <c r="BK31" s="967"/>
      <c r="BL31" s="967"/>
      <c r="BM31" s="967"/>
      <c r="BN31" s="967"/>
      <c r="BO31" s="967"/>
      <c r="BP31" s="967"/>
      <c r="BQ31" s="967"/>
      <c r="BR31" s="967"/>
      <c r="BS31" s="967"/>
      <c r="BT31" s="967"/>
      <c r="BU31" s="967"/>
      <c r="BV31" s="967"/>
      <c r="BW31" s="968"/>
      <c r="BX31" s="22"/>
      <c r="BY31" s="570" t="s">
        <v>741</v>
      </c>
      <c r="BZ31" s="562">
        <f>CI83</f>
        <v>0</v>
      </c>
      <c r="CA31" s="22"/>
      <c r="CB31" s="24"/>
      <c r="CC31" s="25"/>
      <c r="CH31" s="183" t="s">
        <v>271</v>
      </c>
      <c r="CI31" s="184">
        <f>VLOOKUP($BD$23,$CH$32:$CI$35,2,FALSE)</f>
        <v>0</v>
      </c>
      <c r="CL31" s="49">
        <v>26</v>
      </c>
      <c r="CM31" s="50" t="e">
        <f t="shared" si="1"/>
        <v>#N/A</v>
      </c>
      <c r="CO31" s="208"/>
      <c r="CP31" s="202"/>
      <c r="CQ31" s="207"/>
      <c r="CR31" s="42"/>
      <c r="CS31" s="206"/>
      <c r="CT31" s="202"/>
      <c r="CU31" s="207"/>
      <c r="CW31" s="85"/>
      <c r="CX31" s="69" t="str">
        <f>견적관리자용!$S$13</f>
        <v>화물(0.6톤 미만)</v>
      </c>
      <c r="CY31" s="70">
        <v>0</v>
      </c>
      <c r="CZ31" s="70">
        <v>195000</v>
      </c>
      <c r="DA31" s="70">
        <v>195000</v>
      </c>
      <c r="DB31" s="70">
        <v>195000</v>
      </c>
      <c r="DC31" s="86">
        <v>195000</v>
      </c>
      <c r="DD31" s="72">
        <f t="shared" si="2"/>
        <v>195000</v>
      </c>
      <c r="DE31" s="73">
        <v>28</v>
      </c>
      <c r="DF31" s="72">
        <f t="shared" si="0"/>
        <v>0</v>
      </c>
      <c r="DG31" s="74"/>
      <c r="DJ31" s="25"/>
      <c r="DK31" s="25"/>
      <c r="DL31" s="25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</row>
    <row r="32" spans="1:298" s="26" customFormat="1" ht="15.95" customHeight="1" x14ac:dyDescent="0.3">
      <c r="A32" s="22"/>
      <c r="B32" s="22"/>
      <c r="C32" s="167"/>
      <c r="D32" s="761" t="s">
        <v>689</v>
      </c>
      <c r="E32" s="761"/>
      <c r="F32" s="761"/>
      <c r="G32" s="761"/>
      <c r="H32" s="761"/>
      <c r="I32" s="761"/>
      <c r="J32" s="761"/>
      <c r="K32" s="761"/>
      <c r="L32" s="761"/>
      <c r="M32" s="761"/>
      <c r="N32" s="761"/>
      <c r="O32" s="761"/>
      <c r="P32" s="761"/>
      <c r="Q32" s="761"/>
      <c r="R32" s="761"/>
      <c r="S32" s="761"/>
      <c r="T32" s="761"/>
      <c r="U32" s="761"/>
      <c r="V32" s="761"/>
      <c r="W32" s="761"/>
      <c r="X32" s="761"/>
      <c r="Y32" s="761"/>
      <c r="Z32" s="761"/>
      <c r="AA32" s="761"/>
      <c r="AB32" s="761"/>
      <c r="AC32" s="761"/>
      <c r="AD32" s="761"/>
      <c r="AE32" s="761"/>
      <c r="AF32" s="761"/>
      <c r="AG32" s="761"/>
      <c r="AH32" s="761"/>
      <c r="AI32" s="761"/>
      <c r="AJ32" s="761"/>
      <c r="AK32" s="761"/>
      <c r="AL32" s="761"/>
      <c r="AM32" s="761"/>
      <c r="AN32" s="761"/>
      <c r="AO32" s="761"/>
      <c r="AP32" s="761"/>
      <c r="AQ32" s="65"/>
      <c r="AR32" s="32"/>
      <c r="AS32" s="22"/>
      <c r="AT32" s="964" t="str">
        <f>"* CM수수료(실수령기준):"</f>
        <v>* CM수수료(실수령기준):</v>
      </c>
      <c r="AU32" s="964"/>
      <c r="AV32" s="964"/>
      <c r="AW32" s="964"/>
      <c r="AX32" s="964"/>
      <c r="AY32" s="964"/>
      <c r="AZ32" s="964"/>
      <c r="BA32" s="964"/>
      <c r="BB32" s="964"/>
      <c r="BC32" s="964"/>
      <c r="BD32" s="965">
        <f>ROUNDDOWN($CI$22*$BD$25*0.967,-2)</f>
        <v>0</v>
      </c>
      <c r="BE32" s="965"/>
      <c r="BF32" s="965"/>
      <c r="BG32" s="965"/>
      <c r="BH32" s="965"/>
      <c r="BI32" s="965"/>
      <c r="BJ32" s="965"/>
      <c r="BK32" s="965"/>
      <c r="BL32" s="965"/>
      <c r="BM32" s="965"/>
      <c r="BN32" s="965"/>
      <c r="BO32" s="965"/>
      <c r="BP32" s="965"/>
      <c r="BQ32" s="965"/>
      <c r="BR32" s="965"/>
      <c r="BS32" s="965"/>
      <c r="BT32" s="965"/>
      <c r="BU32" s="965"/>
      <c r="BV32" s="965"/>
      <c r="BW32" s="965"/>
      <c r="BX32" s="22"/>
      <c r="BY32" s="591"/>
      <c r="BZ32" s="591"/>
      <c r="CA32" s="22"/>
      <c r="CB32" s="24"/>
      <c r="CC32" s="25"/>
      <c r="CD32" s="234"/>
      <c r="CE32" s="235"/>
      <c r="CH32" s="89" t="s">
        <v>245</v>
      </c>
      <c r="CI32" s="50">
        <f>ROUNDDOWN($CI$22*$BK$23,-3)</f>
        <v>0</v>
      </c>
      <c r="CL32" s="49">
        <v>27</v>
      </c>
      <c r="CM32" s="50" t="e">
        <f t="shared" si="1"/>
        <v>#N/A</v>
      </c>
      <c r="CO32" s="79" t="s">
        <v>196</v>
      </c>
      <c r="CP32" s="42"/>
      <c r="CQ32" s="239" t="e">
        <f>$CQ$28+$CQ$30-$CQ$31</f>
        <v>#N/A</v>
      </c>
      <c r="CR32" s="42"/>
      <c r="CS32" s="232"/>
      <c r="CT32" s="233"/>
      <c r="CU32" s="207"/>
      <c r="CW32" s="85"/>
      <c r="CX32" s="69" t="str">
        <f>견적관리자용!$S$14</f>
        <v>화물(0.6~1톤 미만)</v>
      </c>
      <c r="CY32" s="70">
        <v>0</v>
      </c>
      <c r="CZ32" s="70">
        <v>195000</v>
      </c>
      <c r="DA32" s="70">
        <v>195000</v>
      </c>
      <c r="DB32" s="70">
        <v>195000</v>
      </c>
      <c r="DC32" s="86">
        <v>195000</v>
      </c>
      <c r="DD32" s="72">
        <f t="shared" si="2"/>
        <v>195000</v>
      </c>
      <c r="DE32" s="73">
        <v>29</v>
      </c>
      <c r="DF32" s="72">
        <f t="shared" si="0"/>
        <v>0</v>
      </c>
      <c r="DG32" s="74"/>
      <c r="DJ32" s="25"/>
      <c r="DK32" s="25"/>
      <c r="DL32" s="25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</row>
    <row r="33" spans="1:135" s="24" customFormat="1" ht="15.95" customHeight="1" x14ac:dyDescent="0.3">
      <c r="A33" s="22"/>
      <c r="B33" s="22"/>
      <c r="C33" s="167"/>
      <c r="D33" s="789" t="s">
        <v>410</v>
      </c>
      <c r="E33" s="790"/>
      <c r="F33" s="790"/>
      <c r="G33" s="790"/>
      <c r="H33" s="790"/>
      <c r="I33" s="790"/>
      <c r="J33" s="790"/>
      <c r="K33" s="790"/>
      <c r="L33" s="790"/>
      <c r="M33" s="790"/>
      <c r="N33" s="790"/>
      <c r="O33" s="790"/>
      <c r="P33" s="790"/>
      <c r="Q33" s="790"/>
      <c r="R33" s="790"/>
      <c r="S33" s="790"/>
      <c r="T33" s="790"/>
      <c r="U33" s="790"/>
      <c r="V33" s="790"/>
      <c r="W33" s="790"/>
      <c r="X33" s="790"/>
      <c r="Y33" s="790"/>
      <c r="Z33" s="790"/>
      <c r="AA33" s="790"/>
      <c r="AB33" s="790"/>
      <c r="AC33" s="790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3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164"/>
      <c r="BE33" s="164"/>
      <c r="BF33" s="164"/>
      <c r="BG33" s="164"/>
      <c r="BH33" s="164"/>
      <c r="BI33" s="164"/>
      <c r="BJ33" s="164"/>
      <c r="BK33" s="164"/>
      <c r="BL33" s="164"/>
      <c r="BM33" s="164"/>
      <c r="BN33" s="164"/>
      <c r="BO33" s="164"/>
      <c r="BP33" s="164"/>
      <c r="BQ33" s="164"/>
      <c r="BR33" s="22"/>
      <c r="BS33" s="22"/>
      <c r="BT33" s="22"/>
      <c r="BU33" s="22"/>
      <c r="BV33" s="22"/>
      <c r="BW33" s="22"/>
      <c r="BX33" s="22"/>
      <c r="BY33" s="590"/>
      <c r="BZ33" s="590"/>
      <c r="CA33" s="22"/>
      <c r="CC33" s="25"/>
      <c r="CD33" s="237"/>
      <c r="CE33" s="238"/>
      <c r="CF33" s="26"/>
      <c r="CG33" s="26"/>
      <c r="CH33" s="89" t="s">
        <v>244</v>
      </c>
      <c r="CI33" s="50">
        <f>ROUNDDOWN($CI$9*$BK$23,-3)</f>
        <v>0</v>
      </c>
      <c r="CJ33" s="26"/>
      <c r="CK33" s="26"/>
      <c r="CL33" s="49">
        <v>28</v>
      </c>
      <c r="CM33" s="50" t="e">
        <f t="shared" si="1"/>
        <v>#N/A</v>
      </c>
      <c r="CN33" s="26"/>
      <c r="CO33" s="208"/>
      <c r="CP33" s="202"/>
      <c r="CQ33" s="241"/>
      <c r="CR33" s="242"/>
      <c r="CS33" s="243"/>
      <c r="CT33" s="244"/>
      <c r="CU33" s="245"/>
      <c r="CV33" s="26"/>
      <c r="CW33" s="85"/>
      <c r="CX33" s="69" t="str">
        <f>견적관리자용!$S$15</f>
        <v>화물(1~2.5톤 미만)</v>
      </c>
      <c r="CY33" s="70">
        <v>0</v>
      </c>
      <c r="CZ33" s="70">
        <v>195000</v>
      </c>
      <c r="DA33" s="70">
        <v>195000</v>
      </c>
      <c r="DB33" s="70">
        <v>195000</v>
      </c>
      <c r="DC33" s="86">
        <v>195000</v>
      </c>
      <c r="DD33" s="72">
        <f t="shared" si="2"/>
        <v>195000</v>
      </c>
      <c r="DE33" s="73">
        <v>30</v>
      </c>
      <c r="DF33" s="72">
        <f t="shared" si="0"/>
        <v>0</v>
      </c>
      <c r="DG33" s="74"/>
      <c r="DH33" s="26"/>
      <c r="DI33" s="26"/>
      <c r="DJ33" s="25"/>
      <c r="DK33" s="25"/>
      <c r="DL33" s="25"/>
    </row>
    <row r="34" spans="1:135" s="24" customFormat="1" x14ac:dyDescent="0.3">
      <c r="A34" s="22"/>
      <c r="B34" s="22"/>
      <c r="C34" s="167"/>
      <c r="D34" s="751" t="s">
        <v>394</v>
      </c>
      <c r="E34" s="751"/>
      <c r="F34" s="751"/>
      <c r="G34" s="751"/>
      <c r="H34" s="751"/>
      <c r="I34" s="143"/>
      <c r="J34" s="788" t="s">
        <v>393</v>
      </c>
      <c r="K34" s="788"/>
      <c r="L34" s="788"/>
      <c r="M34" s="788"/>
      <c r="N34" s="788"/>
      <c r="O34" s="788"/>
      <c r="P34" s="788"/>
      <c r="Q34" s="788"/>
      <c r="R34" s="788"/>
      <c r="S34" s="788"/>
      <c r="T34" s="788"/>
      <c r="U34" s="788"/>
      <c r="V34" s="788"/>
      <c r="W34" s="788"/>
      <c r="X34" s="788"/>
      <c r="Y34" s="788"/>
      <c r="Z34" s="788"/>
      <c r="AA34" s="788"/>
      <c r="AB34" s="788"/>
      <c r="AC34" s="788"/>
      <c r="AD34" s="788"/>
      <c r="AE34" s="788"/>
      <c r="AF34" s="788"/>
      <c r="AG34" s="788"/>
      <c r="AH34" s="788"/>
      <c r="AI34" s="788"/>
      <c r="AJ34" s="788"/>
      <c r="AK34" s="788"/>
      <c r="AL34" s="788"/>
      <c r="AM34" s="788"/>
      <c r="AN34" s="788"/>
      <c r="AO34" s="788"/>
      <c r="AP34" s="143"/>
      <c r="AQ34" s="65"/>
      <c r="AR34" s="3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164"/>
      <c r="BE34" s="164"/>
      <c r="BF34" s="164"/>
      <c r="BG34" s="164"/>
      <c r="BH34" s="164"/>
      <c r="BI34" s="164"/>
      <c r="BJ34" s="164"/>
      <c r="BK34" s="164"/>
      <c r="BL34" s="164"/>
      <c r="BM34" s="164"/>
      <c r="BN34" s="164"/>
      <c r="BO34" s="164"/>
      <c r="BP34" s="164"/>
      <c r="BQ34" s="164"/>
      <c r="BR34" s="22"/>
      <c r="BS34" s="22"/>
      <c r="BT34" s="22"/>
      <c r="BU34" s="22"/>
      <c r="BV34" s="22"/>
      <c r="BW34" s="22"/>
      <c r="BX34" s="22"/>
      <c r="BY34" s="589"/>
      <c r="BZ34" s="590"/>
      <c r="CA34" s="22"/>
      <c r="CC34" s="25"/>
      <c r="CD34" s="134" t="s">
        <v>237</v>
      </c>
      <c r="CE34" s="67">
        <f>SUM(CE35:CE38)</f>
        <v>0</v>
      </c>
      <c r="CF34" s="26"/>
      <c r="CG34" s="26"/>
      <c r="CH34" s="89" t="s">
        <v>273</v>
      </c>
      <c r="CI34" s="50">
        <f>$BQ$23</f>
        <v>0</v>
      </c>
      <c r="CJ34" s="26"/>
      <c r="CK34" s="26"/>
      <c r="CL34" s="49">
        <v>29</v>
      </c>
      <c r="CM34" s="50" t="e">
        <f t="shared" si="1"/>
        <v>#N/A</v>
      </c>
      <c r="CN34" s="26"/>
      <c r="CO34" s="248"/>
      <c r="CP34" s="249"/>
      <c r="CQ34" s="210"/>
      <c r="CR34" s="28"/>
      <c r="CS34" s="232"/>
      <c r="CT34" s="233"/>
      <c r="CU34" s="245"/>
      <c r="CV34" s="26"/>
      <c r="CW34" s="85"/>
      <c r="CX34" s="69" t="str">
        <f>견적관리자용!$S$16</f>
        <v>화물(2.5~4.6톤 미만)</v>
      </c>
      <c r="CY34" s="70">
        <v>0</v>
      </c>
      <c r="CZ34" s="70">
        <v>390000</v>
      </c>
      <c r="DA34" s="80">
        <v>390000</v>
      </c>
      <c r="DB34" s="80">
        <v>390000</v>
      </c>
      <c r="DC34" s="80">
        <v>390000</v>
      </c>
      <c r="DD34" s="72">
        <f t="shared" si="2"/>
        <v>390000</v>
      </c>
      <c r="DE34" s="73">
        <v>31</v>
      </c>
      <c r="DF34" s="72">
        <f t="shared" si="0"/>
        <v>0</v>
      </c>
      <c r="DG34" s="74"/>
      <c r="DH34" s="26"/>
      <c r="DI34" s="26"/>
      <c r="DJ34" s="25"/>
      <c r="DK34" s="25"/>
      <c r="DL34" s="25"/>
    </row>
    <row r="35" spans="1:135" s="24" customFormat="1" x14ac:dyDescent="0.3">
      <c r="A35" s="22"/>
      <c r="B35" s="22"/>
      <c r="C35" s="167"/>
      <c r="D35" s="752"/>
      <c r="E35" s="752"/>
      <c r="F35" s="752"/>
      <c r="G35" s="752"/>
      <c r="H35" s="752"/>
      <c r="I35" s="319"/>
      <c r="J35" s="781" t="s">
        <v>396</v>
      </c>
      <c r="K35" s="781"/>
      <c r="L35" s="781"/>
      <c r="M35" s="781"/>
      <c r="N35" s="781"/>
      <c r="O35" s="781"/>
      <c r="P35" s="781"/>
      <c r="Q35" s="781"/>
      <c r="R35" s="781"/>
      <c r="S35" s="781"/>
      <c r="T35" s="781"/>
      <c r="U35" s="781"/>
      <c r="V35" s="781"/>
      <c r="W35" s="781"/>
      <c r="X35" s="781"/>
      <c r="Y35" s="781"/>
      <c r="Z35" s="781"/>
      <c r="AA35" s="781"/>
      <c r="AB35" s="781"/>
      <c r="AC35" s="781"/>
      <c r="AD35" s="781"/>
      <c r="AE35" s="781"/>
      <c r="AF35" s="781"/>
      <c r="AG35" s="781"/>
      <c r="AH35" s="781"/>
      <c r="AI35" s="781"/>
      <c r="AJ35" s="781"/>
      <c r="AK35" s="781"/>
      <c r="AL35" s="781"/>
      <c r="AM35" s="781"/>
      <c r="AN35" s="781"/>
      <c r="AO35" s="781"/>
      <c r="AP35" s="319"/>
      <c r="AQ35" s="65"/>
      <c r="AR35" s="32"/>
      <c r="AS35" s="22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22"/>
      <c r="BY35" s="565"/>
      <c r="BZ35" s="565"/>
      <c r="CA35" s="22"/>
      <c r="CC35" s="25"/>
      <c r="CD35" s="155"/>
      <c r="CE35" s="156">
        <f>IF(C2="",0,1)</f>
        <v>0</v>
      </c>
      <c r="CF35" s="26"/>
      <c r="CG35" s="26"/>
      <c r="CH35" s="185" t="s">
        <v>240</v>
      </c>
      <c r="CI35" s="247">
        <f>$CI$22-$BQ$23</f>
        <v>53381810</v>
      </c>
      <c r="CJ35" s="26"/>
      <c r="CK35" s="26"/>
      <c r="CL35" s="49">
        <v>30</v>
      </c>
      <c r="CM35" s="50" t="e">
        <f t="shared" si="1"/>
        <v>#N/A</v>
      </c>
      <c r="CN35" s="26"/>
      <c r="CO35" s="29"/>
      <c r="CP35" s="28"/>
      <c r="CQ35" s="28"/>
      <c r="CR35" s="28"/>
      <c r="CS35" s="250"/>
      <c r="CT35" s="251"/>
      <c r="CU35" s="252"/>
      <c r="CV35" s="26"/>
      <c r="CW35" s="85"/>
      <c r="CX35" s="69" t="str">
        <f>견적관리자용!$S$17</f>
        <v>화물(4.6톤 이상)</v>
      </c>
      <c r="CY35" s="70">
        <v>0</v>
      </c>
      <c r="CZ35" s="70">
        <v>650000</v>
      </c>
      <c r="DA35" s="70">
        <v>650000</v>
      </c>
      <c r="DB35" s="70">
        <v>650000</v>
      </c>
      <c r="DC35" s="70">
        <v>650000</v>
      </c>
      <c r="DD35" s="72">
        <f t="shared" si="2"/>
        <v>650000</v>
      </c>
      <c r="DE35" s="73">
        <v>32</v>
      </c>
      <c r="DF35" s="72">
        <f t="shared" si="0"/>
        <v>0</v>
      </c>
      <c r="DG35" s="74"/>
      <c r="DH35" s="26"/>
      <c r="DI35" s="26"/>
      <c r="DJ35" s="25"/>
      <c r="DK35" s="25"/>
      <c r="DL35" s="25"/>
    </row>
    <row r="36" spans="1:135" s="24" customFormat="1" x14ac:dyDescent="0.3">
      <c r="A36" s="22"/>
      <c r="B36" s="22"/>
      <c r="C36" s="167"/>
      <c r="D36" s="785" t="s">
        <v>395</v>
      </c>
      <c r="E36" s="785"/>
      <c r="F36" s="785"/>
      <c r="G36" s="785"/>
      <c r="H36" s="785"/>
      <c r="I36" s="354"/>
      <c r="J36" s="780" t="s">
        <v>397</v>
      </c>
      <c r="K36" s="780"/>
      <c r="L36" s="780"/>
      <c r="M36" s="780"/>
      <c r="N36" s="780"/>
      <c r="O36" s="780"/>
      <c r="P36" s="780"/>
      <c r="Q36" s="780"/>
      <c r="R36" s="780"/>
      <c r="S36" s="780"/>
      <c r="T36" s="780"/>
      <c r="U36" s="780"/>
      <c r="V36" s="780"/>
      <c r="W36" s="780"/>
      <c r="X36" s="780"/>
      <c r="Y36" s="780"/>
      <c r="Z36" s="780"/>
      <c r="AA36" s="780"/>
      <c r="AB36" s="780"/>
      <c r="AC36" s="780"/>
      <c r="AD36" s="780"/>
      <c r="AE36" s="780"/>
      <c r="AF36" s="780"/>
      <c r="AG36" s="780"/>
      <c r="AH36" s="780"/>
      <c r="AI36" s="780"/>
      <c r="AJ36" s="780"/>
      <c r="AK36" s="780"/>
      <c r="AL36" s="780"/>
      <c r="AM36" s="780"/>
      <c r="AN36" s="780"/>
      <c r="AO36" s="780"/>
      <c r="AP36" s="354"/>
      <c r="AQ36" s="65"/>
      <c r="AR36" s="32"/>
      <c r="AS36" s="22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22"/>
      <c r="BY36" s="565"/>
      <c r="BZ36" s="565"/>
      <c r="CA36" s="22"/>
      <c r="CC36" s="25"/>
      <c r="CD36" s="155"/>
      <c r="CE36" s="156">
        <f>IF(X2="",0,1)</f>
        <v>0</v>
      </c>
      <c r="CF36" s="26"/>
      <c r="CG36" s="26"/>
      <c r="CH36" s="183" t="s">
        <v>248</v>
      </c>
      <c r="CI36" s="184">
        <f>VLOOKUP($BD$24,$CH$37:$CI$38,2,FALSE)</f>
        <v>0</v>
      </c>
      <c r="CJ36" s="26"/>
      <c r="CK36" s="26"/>
      <c r="CL36" s="49">
        <v>31</v>
      </c>
      <c r="CM36" s="50" t="e">
        <f t="shared" si="1"/>
        <v>#N/A</v>
      </c>
      <c r="CN36" s="26"/>
      <c r="CO36" s="29"/>
      <c r="CP36" s="28"/>
      <c r="CQ36" s="28"/>
      <c r="CR36" s="28"/>
      <c r="CS36" s="42"/>
      <c r="CT36" s="42"/>
      <c r="CU36" s="42"/>
      <c r="CV36" s="26"/>
      <c r="CW36" s="58" t="s">
        <v>96</v>
      </c>
      <c r="CX36" s="59" t="str">
        <f>견적관리자용!$S$8</f>
        <v>승용일반</v>
      </c>
      <c r="CY36" s="60">
        <v>0</v>
      </c>
      <c r="CZ36" s="61">
        <v>0</v>
      </c>
      <c r="DA36" s="61">
        <v>0.04</v>
      </c>
      <c r="DB36" s="61">
        <v>0.04</v>
      </c>
      <c r="DC36" s="61">
        <v>0.05</v>
      </c>
      <c r="DD36" s="62">
        <f t="shared" si="2"/>
        <v>0.04</v>
      </c>
      <c r="DE36" s="63">
        <v>33</v>
      </c>
      <c r="DF36" s="62">
        <f t="shared" si="0"/>
        <v>0.04</v>
      </c>
      <c r="DG36" s="163">
        <f>SUM(DF36:DF45)</f>
        <v>0.04</v>
      </c>
      <c r="DH36" s="26"/>
      <c r="DI36" s="26"/>
      <c r="DJ36" s="25"/>
      <c r="DK36" s="25"/>
      <c r="DL36" s="25"/>
    </row>
    <row r="37" spans="1:135" s="24" customFormat="1" x14ac:dyDescent="0.3">
      <c r="A37" s="22"/>
      <c r="B37" s="22"/>
      <c r="C37" s="167"/>
      <c r="D37" s="786"/>
      <c r="E37" s="786"/>
      <c r="F37" s="786"/>
      <c r="G37" s="786"/>
      <c r="H37" s="786"/>
      <c r="I37" s="355"/>
      <c r="J37" s="787" t="s">
        <v>398</v>
      </c>
      <c r="K37" s="787"/>
      <c r="L37" s="787"/>
      <c r="M37" s="787"/>
      <c r="N37" s="787"/>
      <c r="O37" s="787"/>
      <c r="P37" s="787"/>
      <c r="Q37" s="787"/>
      <c r="R37" s="787"/>
      <c r="S37" s="787"/>
      <c r="T37" s="787"/>
      <c r="U37" s="787"/>
      <c r="V37" s="787"/>
      <c r="W37" s="787"/>
      <c r="X37" s="787"/>
      <c r="Y37" s="787"/>
      <c r="Z37" s="787"/>
      <c r="AA37" s="787"/>
      <c r="AB37" s="787"/>
      <c r="AC37" s="787"/>
      <c r="AD37" s="787"/>
      <c r="AE37" s="787"/>
      <c r="AF37" s="787"/>
      <c r="AG37" s="787"/>
      <c r="AH37" s="787"/>
      <c r="AI37" s="787"/>
      <c r="AJ37" s="787"/>
      <c r="AK37" s="787"/>
      <c r="AL37" s="787"/>
      <c r="AM37" s="787"/>
      <c r="AN37" s="787"/>
      <c r="AO37" s="787"/>
      <c r="AP37" s="356"/>
      <c r="AQ37" s="65"/>
      <c r="AR37" s="32"/>
      <c r="AS37" s="22"/>
      <c r="AT37" s="962"/>
      <c r="AU37" s="962"/>
      <c r="AV37" s="962"/>
      <c r="AW37" s="962"/>
      <c r="AX37" s="962"/>
      <c r="AY37" s="962"/>
      <c r="AZ37" s="962"/>
      <c r="BA37" s="962"/>
      <c r="BB37" s="962"/>
      <c r="BC37" s="962"/>
      <c r="BD37" s="963"/>
      <c r="BE37" s="963"/>
      <c r="BF37" s="963"/>
      <c r="BG37" s="963"/>
      <c r="BH37" s="963"/>
      <c r="BI37" s="963"/>
      <c r="BJ37" s="963"/>
      <c r="BK37" s="963"/>
      <c r="BL37" s="963"/>
      <c r="BM37" s="963"/>
      <c r="BN37" s="963"/>
      <c r="BO37" s="963"/>
      <c r="BP37" s="963"/>
      <c r="BQ37" s="963"/>
      <c r="BR37" s="963"/>
      <c r="BS37" s="963"/>
      <c r="BT37" s="963"/>
      <c r="BU37" s="963"/>
      <c r="BV37" s="963"/>
      <c r="BW37" s="963"/>
      <c r="BX37" s="164"/>
      <c r="BY37" s="566"/>
      <c r="BZ37" s="566"/>
      <c r="CA37" s="22"/>
      <c r="CC37" s="25"/>
      <c r="CD37" s="155"/>
      <c r="CE37" s="156">
        <f>IF(C3="",0,1)-1</f>
        <v>0</v>
      </c>
      <c r="CF37" s="26"/>
      <c r="CG37" s="26"/>
      <c r="CH37" s="89" t="s">
        <v>249</v>
      </c>
      <c r="CI37" s="50">
        <f>ROUNDDOWN($CI$23*$BK$24,-3)</f>
        <v>0</v>
      </c>
      <c r="CJ37" s="26"/>
      <c r="CK37" s="26"/>
      <c r="CL37" s="49">
        <v>32</v>
      </c>
      <c r="CM37" s="50" t="e">
        <f t="shared" si="1"/>
        <v>#N/A</v>
      </c>
      <c r="CN37" s="26"/>
      <c r="CO37" s="165" t="s">
        <v>195</v>
      </c>
      <c r="CP37" s="41"/>
      <c r="CQ37" s="28"/>
      <c r="CR37" s="28"/>
      <c r="CS37" s="28"/>
      <c r="CT37" s="28"/>
      <c r="CU37" s="28"/>
      <c r="CV37" s="26"/>
      <c r="CW37" s="68"/>
      <c r="CX37" s="69" t="str">
        <f>견적관리자용!$S$9</f>
        <v>승용SUV(~5인)</v>
      </c>
      <c r="CY37" s="70">
        <v>0</v>
      </c>
      <c r="CZ37" s="71">
        <v>0</v>
      </c>
      <c r="DA37" s="71">
        <v>0.04</v>
      </c>
      <c r="DB37" s="71">
        <v>0.04</v>
      </c>
      <c r="DC37" s="71">
        <v>0.05</v>
      </c>
      <c r="DD37" s="72">
        <f t="shared" si="2"/>
        <v>0.04</v>
      </c>
      <c r="DE37" s="73">
        <v>34</v>
      </c>
      <c r="DF37" s="72">
        <f t="shared" si="0"/>
        <v>0</v>
      </c>
      <c r="DG37" s="166"/>
      <c r="DH37" s="26"/>
      <c r="DI37" s="26"/>
      <c r="DJ37" s="25"/>
      <c r="DK37" s="25"/>
      <c r="DL37" s="25"/>
    </row>
    <row r="38" spans="1:135" s="24" customFormat="1" ht="20.25" customHeight="1" x14ac:dyDescent="0.3">
      <c r="A38" s="22"/>
      <c r="B38" s="22"/>
      <c r="C38" s="167"/>
      <c r="D38" s="65"/>
      <c r="E38" s="65"/>
      <c r="F38" s="65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32"/>
      <c r="AS38" s="22"/>
      <c r="AT38" s="167"/>
      <c r="AU38" s="167"/>
      <c r="AV38" s="167"/>
      <c r="AW38" s="167"/>
      <c r="AX38" s="167"/>
      <c r="AY38" s="167"/>
      <c r="AZ38" s="167"/>
      <c r="BA38" s="167"/>
      <c r="BB38" s="167"/>
      <c r="BC38" s="167"/>
      <c r="BD38" s="167"/>
      <c r="BE38" s="167"/>
      <c r="BF38" s="167"/>
      <c r="BG38" s="167"/>
      <c r="BH38" s="167"/>
      <c r="BI38" s="167"/>
      <c r="BJ38" s="167"/>
      <c r="BK38" s="167"/>
      <c r="BL38" s="167"/>
      <c r="BM38" s="167"/>
      <c r="BN38" s="167"/>
      <c r="BO38" s="167"/>
      <c r="BP38" s="167"/>
      <c r="BQ38" s="167"/>
      <c r="BR38" s="167"/>
      <c r="BS38" s="167"/>
      <c r="BT38" s="167"/>
      <c r="BU38" s="167"/>
      <c r="BV38" s="167"/>
      <c r="BW38" s="167"/>
      <c r="BX38" s="22"/>
      <c r="BY38" s="168"/>
      <c r="BZ38" s="22"/>
      <c r="CA38" s="22"/>
      <c r="CC38" s="25"/>
      <c r="CD38" s="139"/>
      <c r="CE38" s="169">
        <f>IF(X3="",0,1)</f>
        <v>0</v>
      </c>
      <c r="CF38" s="26"/>
      <c r="CG38" s="26"/>
      <c r="CH38" s="185" t="s">
        <v>250</v>
      </c>
      <c r="CI38" s="97">
        <f>$BQ$24</f>
        <v>0</v>
      </c>
      <c r="CJ38" s="26"/>
      <c r="CK38" s="26"/>
      <c r="CL38" s="49">
        <v>33</v>
      </c>
      <c r="CM38" s="50" t="e">
        <f t="shared" si="1"/>
        <v>#N/A</v>
      </c>
      <c r="CN38" s="26"/>
      <c r="CO38" s="170">
        <v>0</v>
      </c>
      <c r="CP38" s="171">
        <v>104</v>
      </c>
      <c r="CQ38" s="28"/>
      <c r="CR38" s="28"/>
      <c r="CS38" s="28"/>
      <c r="CT38" s="28"/>
      <c r="CU38" s="28"/>
      <c r="CV38" s="26"/>
      <c r="CW38" s="68"/>
      <c r="CX38" s="69" t="str">
        <f>견적관리자용!$S$10</f>
        <v>승용SUV(7~10인)</v>
      </c>
      <c r="CY38" s="70">
        <v>0</v>
      </c>
      <c r="CZ38" s="70">
        <v>390000</v>
      </c>
      <c r="DA38" s="80">
        <v>390000</v>
      </c>
      <c r="DB38" s="80">
        <v>390000</v>
      </c>
      <c r="DC38" s="80">
        <v>390000</v>
      </c>
      <c r="DD38" s="72">
        <f t="shared" si="2"/>
        <v>390000</v>
      </c>
      <c r="DE38" s="73">
        <v>35</v>
      </c>
      <c r="DF38" s="72">
        <f t="shared" si="0"/>
        <v>0</v>
      </c>
      <c r="DG38" s="166"/>
      <c r="DH38" s="26"/>
      <c r="DI38" s="26"/>
      <c r="DJ38" s="25"/>
      <c r="DK38" s="25"/>
      <c r="DL38" s="25"/>
    </row>
    <row r="39" spans="1:135" s="24" customFormat="1" ht="16.899999999999999" hidden="1" customHeight="1" x14ac:dyDescent="0.3">
      <c r="A39" s="22"/>
      <c r="B39" s="22"/>
      <c r="C39" s="958"/>
      <c r="D39" s="958"/>
      <c r="E39" s="958"/>
      <c r="F39" s="958"/>
      <c r="G39" s="958"/>
      <c r="H39" s="958"/>
      <c r="I39" s="958"/>
      <c r="J39" s="958"/>
      <c r="K39" s="958"/>
      <c r="L39" s="958"/>
      <c r="M39" s="958"/>
      <c r="N39" s="958"/>
      <c r="O39" s="958"/>
      <c r="P39" s="958"/>
      <c r="Q39" s="958"/>
      <c r="R39" s="958"/>
      <c r="S39" s="32"/>
      <c r="T39" s="32"/>
      <c r="U39" s="32"/>
      <c r="V39" s="32"/>
      <c r="W39" s="32"/>
      <c r="X39" s="791"/>
      <c r="Y39" s="791"/>
      <c r="Z39" s="791"/>
      <c r="AA39" s="791"/>
      <c r="AB39" s="791"/>
      <c r="AC39" s="791"/>
      <c r="AD39" s="791"/>
      <c r="AE39" s="791"/>
      <c r="AF39" s="791"/>
      <c r="AG39" s="791"/>
      <c r="AH39" s="791"/>
      <c r="AI39" s="791"/>
      <c r="AJ39" s="791"/>
      <c r="AK39" s="791"/>
      <c r="AL39" s="791"/>
      <c r="AM39" s="791"/>
      <c r="AN39" s="791"/>
      <c r="AO39" s="791"/>
      <c r="AP39" s="791"/>
      <c r="AQ39" s="791"/>
      <c r="AR39" s="32"/>
      <c r="AS39" s="172"/>
      <c r="AT39" s="969"/>
      <c r="AU39" s="969"/>
      <c r="AV39" s="969"/>
      <c r="AW39" s="969"/>
      <c r="AX39" s="969"/>
      <c r="AY39" s="969"/>
      <c r="AZ39" s="969"/>
      <c r="BA39" s="969"/>
      <c r="BB39" s="969"/>
      <c r="BC39" s="969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4"/>
      <c r="BZ39" s="172"/>
      <c r="CA39" s="172"/>
      <c r="CC39" s="25"/>
      <c r="CD39" s="83" t="s">
        <v>229</v>
      </c>
      <c r="CE39" s="84" t="b">
        <v>1</v>
      </c>
      <c r="CF39" s="26"/>
      <c r="CG39" s="26"/>
      <c r="CH39" s="89"/>
      <c r="CI39" s="50"/>
      <c r="CJ39" s="26"/>
      <c r="CK39" s="26"/>
      <c r="CL39" s="49">
        <v>34</v>
      </c>
      <c r="CM39" s="50" t="e">
        <f t="shared" si="1"/>
        <v>#N/A</v>
      </c>
      <c r="CN39" s="26"/>
      <c r="CO39" s="170">
        <v>801</v>
      </c>
      <c r="CP39" s="171">
        <v>182</v>
      </c>
      <c r="CQ39" s="28"/>
      <c r="CR39" s="28"/>
      <c r="CS39" s="28"/>
      <c r="CT39" s="28"/>
      <c r="CU39" s="28"/>
      <c r="CV39" s="26"/>
      <c r="CW39" s="68"/>
      <c r="CX39" s="69" t="str">
        <f>견적관리자용!$S$11</f>
        <v>승합(11~15인)</v>
      </c>
      <c r="CY39" s="70">
        <v>0</v>
      </c>
      <c r="CZ39" s="125">
        <v>1.4999999999999999E-2</v>
      </c>
      <c r="DA39" s="125">
        <v>1.4999999999999999E-2</v>
      </c>
      <c r="DB39" s="125">
        <v>1.4999999999999999E-2</v>
      </c>
      <c r="DC39" s="125">
        <v>1.4999999999999999E-2</v>
      </c>
      <c r="DD39" s="72">
        <f t="shared" si="2"/>
        <v>1.4999999999999999E-2</v>
      </c>
      <c r="DE39" s="73">
        <v>36</v>
      </c>
      <c r="DF39" s="72">
        <f t="shared" si="0"/>
        <v>0</v>
      </c>
      <c r="DG39" s="166"/>
      <c r="DH39" s="26"/>
      <c r="DI39" s="26"/>
      <c r="DJ39" s="25"/>
      <c r="DK39" s="25"/>
      <c r="DL39" s="25"/>
    </row>
    <row r="40" spans="1:135" s="24" customFormat="1" ht="15.95" hidden="1" customHeight="1" x14ac:dyDescent="0.3">
      <c r="A40" s="172"/>
      <c r="B40" s="22"/>
      <c r="C40" s="2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4"/>
      <c r="BZ40" s="172"/>
      <c r="CA40" s="172"/>
      <c r="CC40" s="25"/>
      <c r="CD40" s="253"/>
      <c r="CE40" s="254"/>
      <c r="CF40" s="26"/>
      <c r="CG40" s="26"/>
      <c r="CH40" s="89"/>
      <c r="CI40" s="50"/>
      <c r="CJ40" s="26"/>
      <c r="CK40" s="26"/>
      <c r="CL40" s="49">
        <v>35</v>
      </c>
      <c r="CM40" s="50" t="e">
        <f t="shared" si="1"/>
        <v>#N/A</v>
      </c>
      <c r="CN40" s="26"/>
      <c r="CO40" s="170">
        <v>1001</v>
      </c>
      <c r="CP40" s="171">
        <v>260</v>
      </c>
      <c r="CQ40" s="28"/>
      <c r="CR40" s="28"/>
      <c r="CS40" s="28"/>
      <c r="CT40" s="28"/>
      <c r="CU40" s="28"/>
      <c r="CV40" s="26"/>
      <c r="CW40" s="68"/>
      <c r="CX40" s="69" t="str">
        <f>견적관리자용!$S$12</f>
        <v>화물(1000cc 미만)</v>
      </c>
      <c r="CY40" s="70">
        <v>0</v>
      </c>
      <c r="CZ40" s="70">
        <v>0</v>
      </c>
      <c r="DA40" s="80">
        <v>0</v>
      </c>
      <c r="DB40" s="80">
        <v>0</v>
      </c>
      <c r="DC40" s="80">
        <v>0</v>
      </c>
      <c r="DD40" s="72">
        <f t="shared" si="2"/>
        <v>0</v>
      </c>
      <c r="DE40" s="73">
        <v>37</v>
      </c>
      <c r="DF40" s="72">
        <f t="shared" si="0"/>
        <v>0</v>
      </c>
      <c r="DG40" s="166"/>
      <c r="DH40" s="26"/>
      <c r="DI40" s="26"/>
      <c r="DJ40" s="25"/>
      <c r="DK40" s="25"/>
      <c r="DL40" s="25"/>
    </row>
    <row r="41" spans="1:135" s="24" customFormat="1" ht="15.95" hidden="1" customHeight="1" x14ac:dyDescent="0.3">
      <c r="A41" s="172"/>
      <c r="B41" s="172"/>
      <c r="C41" s="172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4"/>
      <c r="BZ41" s="172"/>
      <c r="CA41" s="172"/>
      <c r="CC41" s="25"/>
      <c r="CD41" s="83" t="s">
        <v>233</v>
      </c>
      <c r="CE41" s="84" t="b">
        <v>1</v>
      </c>
      <c r="CF41" s="26"/>
      <c r="CG41" s="26"/>
      <c r="CH41" s="89"/>
      <c r="CI41" s="50"/>
      <c r="CJ41" s="26"/>
      <c r="CK41" s="26"/>
      <c r="CL41" s="49">
        <v>36</v>
      </c>
      <c r="CM41" s="50" t="e">
        <f t="shared" si="1"/>
        <v>#N/A</v>
      </c>
      <c r="CN41" s="26"/>
      <c r="CO41" s="170">
        <v>1601</v>
      </c>
      <c r="CP41" s="171">
        <v>260</v>
      </c>
      <c r="CQ41" s="28"/>
      <c r="CR41" s="28"/>
      <c r="CS41" s="28"/>
      <c r="CT41" s="28"/>
      <c r="CU41" s="28"/>
      <c r="CV41" s="26"/>
      <c r="CW41" s="85"/>
      <c r="CX41" s="69" t="str">
        <f>견적관리자용!$S$13</f>
        <v>화물(0.6톤 미만)</v>
      </c>
      <c r="CY41" s="70">
        <v>0</v>
      </c>
      <c r="CZ41" s="125">
        <v>1.4999999999999999E-2</v>
      </c>
      <c r="DA41" s="125">
        <v>1.4999999999999999E-2</v>
      </c>
      <c r="DB41" s="125">
        <v>1.4999999999999999E-2</v>
      </c>
      <c r="DC41" s="125">
        <v>1.4999999999999999E-2</v>
      </c>
      <c r="DD41" s="72">
        <f t="shared" si="2"/>
        <v>1.4999999999999999E-2</v>
      </c>
      <c r="DE41" s="73">
        <v>38</v>
      </c>
      <c r="DF41" s="72">
        <f t="shared" si="0"/>
        <v>0</v>
      </c>
      <c r="DG41" s="166"/>
      <c r="DH41" s="26"/>
      <c r="DI41" s="26"/>
      <c r="DJ41" s="25"/>
      <c r="DK41" s="25"/>
      <c r="DL41" s="25"/>
    </row>
    <row r="42" spans="1:135" s="24" customFormat="1" ht="15.95" hidden="1" customHeight="1" x14ac:dyDescent="0.3">
      <c r="A42" s="172"/>
      <c r="B42" s="172"/>
      <c r="C42" s="172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4"/>
      <c r="BZ42" s="172"/>
      <c r="CA42" s="172"/>
      <c r="CC42" s="25"/>
      <c r="CD42" s="26"/>
      <c r="CE42" s="26"/>
      <c r="CF42" s="26"/>
      <c r="CG42" s="26"/>
      <c r="CH42" s="227"/>
      <c r="CI42" s="228"/>
      <c r="CJ42" s="26"/>
      <c r="CK42" s="26"/>
      <c r="CL42" s="49">
        <v>37</v>
      </c>
      <c r="CM42" s="50">
        <f t="shared" si="1"/>
        <v>0</v>
      </c>
      <c r="CN42" s="26"/>
      <c r="CO42" s="79"/>
      <c r="CP42" s="50">
        <f>VLOOKUP($CI$6,$CO$38:$CP$41,2,TRUE)</f>
        <v>260</v>
      </c>
      <c r="CQ42" s="28"/>
      <c r="CR42" s="28"/>
      <c r="CS42" s="28"/>
      <c r="CT42" s="28"/>
      <c r="CU42" s="28"/>
      <c r="CV42" s="26"/>
      <c r="CW42" s="85"/>
      <c r="CX42" s="69" t="str">
        <f>견적관리자용!$S$14</f>
        <v>화물(0.6~1톤 미만)</v>
      </c>
      <c r="CY42" s="70">
        <v>0</v>
      </c>
      <c r="CZ42" s="125">
        <v>1.4999999999999999E-2</v>
      </c>
      <c r="DA42" s="125">
        <v>1.4999999999999999E-2</v>
      </c>
      <c r="DB42" s="125">
        <v>1.4999999999999999E-2</v>
      </c>
      <c r="DC42" s="125">
        <v>1.4999999999999999E-2</v>
      </c>
      <c r="DD42" s="72">
        <f t="shared" si="2"/>
        <v>1.4999999999999999E-2</v>
      </c>
      <c r="DE42" s="73">
        <v>39</v>
      </c>
      <c r="DF42" s="72">
        <f t="shared" si="0"/>
        <v>0</v>
      </c>
      <c r="DG42" s="166"/>
      <c r="DH42" s="26"/>
      <c r="DI42" s="26"/>
      <c r="DJ42" s="25"/>
      <c r="DK42" s="25"/>
      <c r="DL42" s="25"/>
    </row>
    <row r="43" spans="1:135" s="24" customFormat="1" ht="15.95" hidden="1" customHeight="1" x14ac:dyDescent="0.3">
      <c r="A43" s="172"/>
      <c r="B43" s="172"/>
      <c r="C43" s="172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4"/>
      <c r="BZ43" s="172"/>
      <c r="CA43" s="172"/>
      <c r="CC43" s="25"/>
      <c r="CD43" s="26"/>
      <c r="CE43" s="26"/>
      <c r="CF43" s="26"/>
      <c r="CG43" s="26"/>
      <c r="CH43" s="255"/>
      <c r="CI43" s="256"/>
      <c r="CJ43" s="26"/>
      <c r="CK43" s="26"/>
      <c r="CL43" s="49">
        <v>38</v>
      </c>
      <c r="CM43" s="50">
        <f t="shared" si="1"/>
        <v>0</v>
      </c>
      <c r="CN43" s="26"/>
      <c r="CO43" s="176"/>
      <c r="CP43" s="50">
        <f>$CI$6*$CP$42</f>
        <v>517660</v>
      </c>
      <c r="CQ43" s="28"/>
      <c r="CR43" s="28"/>
      <c r="CS43" s="28"/>
      <c r="CT43" s="28"/>
      <c r="CU43" s="28"/>
      <c r="CV43" s="26"/>
      <c r="CW43" s="85"/>
      <c r="CX43" s="69" t="str">
        <f>견적관리자용!$S$15</f>
        <v>화물(1~2.5톤 미만)</v>
      </c>
      <c r="CY43" s="70">
        <v>0</v>
      </c>
      <c r="CZ43" s="125">
        <v>1.4999999999999999E-2</v>
      </c>
      <c r="DA43" s="125">
        <v>1.4999999999999999E-2</v>
      </c>
      <c r="DB43" s="125">
        <v>1.4999999999999999E-2</v>
      </c>
      <c r="DC43" s="125">
        <v>1.4999999999999999E-2</v>
      </c>
      <c r="DD43" s="72">
        <f t="shared" si="2"/>
        <v>1.4999999999999999E-2</v>
      </c>
      <c r="DE43" s="73">
        <v>40</v>
      </c>
      <c r="DF43" s="72">
        <f t="shared" si="0"/>
        <v>0</v>
      </c>
      <c r="DG43" s="166"/>
      <c r="DH43" s="26"/>
      <c r="DI43" s="26"/>
      <c r="DJ43" s="25"/>
      <c r="DK43" s="25"/>
      <c r="DL43" s="25"/>
    </row>
    <row r="44" spans="1:135" s="24" customFormat="1" ht="15.95" hidden="1" customHeight="1" x14ac:dyDescent="0.3">
      <c r="A44" s="172"/>
      <c r="B44" s="172"/>
      <c r="C44" s="172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4"/>
      <c r="BZ44" s="172"/>
      <c r="CA44" s="172"/>
      <c r="CC44" s="25"/>
      <c r="CD44" s="26"/>
      <c r="CE44" s="26"/>
      <c r="CF44" s="26"/>
      <c r="CG44" s="26"/>
      <c r="CH44" s="257"/>
      <c r="CI44" s="241"/>
      <c r="CJ44" s="26"/>
      <c r="CK44" s="26"/>
      <c r="CL44" s="49">
        <v>39</v>
      </c>
      <c r="CM44" s="50">
        <f t="shared" si="1"/>
        <v>0</v>
      </c>
      <c r="CN44" s="26"/>
      <c r="CO44" s="176"/>
      <c r="CP44" s="50">
        <f>IF($CI$12="승용",$CP$43,IF($CI$12="승합",65000,IF($CI$12="화물",0,0)))</f>
        <v>517660</v>
      </c>
      <c r="CQ44" s="28"/>
      <c r="CR44" s="28"/>
      <c r="CS44" s="28"/>
      <c r="CT44" s="28"/>
      <c r="CU44" s="28"/>
      <c r="CV44" s="26"/>
      <c r="CW44" s="85"/>
      <c r="CX44" s="69" t="str">
        <f>견적관리자용!$S$16</f>
        <v>화물(2.5~4.6톤 미만)</v>
      </c>
      <c r="CY44" s="70">
        <v>0</v>
      </c>
      <c r="CZ44" s="125">
        <v>1.4999999999999999E-2</v>
      </c>
      <c r="DA44" s="125">
        <v>1.4999999999999999E-2</v>
      </c>
      <c r="DB44" s="125">
        <v>1.4999999999999999E-2</v>
      </c>
      <c r="DC44" s="125">
        <v>1.4999999999999999E-2</v>
      </c>
      <c r="DD44" s="72">
        <f t="shared" si="2"/>
        <v>1.4999999999999999E-2</v>
      </c>
      <c r="DE44" s="73">
        <v>41</v>
      </c>
      <c r="DF44" s="72">
        <f t="shared" si="0"/>
        <v>0</v>
      </c>
      <c r="DG44" s="166"/>
      <c r="DH44" s="26"/>
      <c r="DI44" s="26"/>
      <c r="DJ44" s="25"/>
      <c r="DK44" s="25"/>
      <c r="DL44" s="25"/>
    </row>
    <row r="45" spans="1:135" s="24" customFormat="1" ht="15.95" hidden="1" customHeight="1" x14ac:dyDescent="0.3">
      <c r="A45" s="172"/>
      <c r="B45" s="172"/>
      <c r="C45" s="172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4"/>
      <c r="BZ45" s="172"/>
      <c r="CA45" s="172"/>
      <c r="CC45" s="25"/>
      <c r="CD45" s="26"/>
      <c r="CE45" s="26"/>
      <c r="CF45" s="26"/>
      <c r="CG45" s="26"/>
      <c r="CH45" s="243"/>
      <c r="CI45" s="241"/>
      <c r="CJ45" s="26"/>
      <c r="CK45" s="26"/>
      <c r="CL45" s="49">
        <v>40</v>
      </c>
      <c r="CM45" s="50">
        <f t="shared" si="1"/>
        <v>0</v>
      </c>
      <c r="CN45" s="26"/>
      <c r="CO45" s="79" t="s">
        <v>200</v>
      </c>
      <c r="CP45" s="50">
        <f>$CP$44</f>
        <v>517660</v>
      </c>
      <c r="CQ45" s="28"/>
      <c r="CR45" s="28"/>
      <c r="CS45" s="28"/>
      <c r="CT45" s="28"/>
      <c r="CU45" s="28"/>
      <c r="CV45" s="26"/>
      <c r="CW45" s="90"/>
      <c r="CX45" s="91" t="str">
        <f>견적관리자용!$S$17</f>
        <v>화물(4.6톤 이상)</v>
      </c>
      <c r="CY45" s="92">
        <v>0</v>
      </c>
      <c r="CZ45" s="180">
        <v>1.4999999999999999E-2</v>
      </c>
      <c r="DA45" s="180">
        <v>1.4999999999999999E-2</v>
      </c>
      <c r="DB45" s="180">
        <v>1.4999999999999999E-2</v>
      </c>
      <c r="DC45" s="180">
        <v>1.4999999999999999E-2</v>
      </c>
      <c r="DD45" s="93">
        <f t="shared" si="2"/>
        <v>1.4999999999999999E-2</v>
      </c>
      <c r="DE45" s="94">
        <v>42</v>
      </c>
      <c r="DF45" s="93">
        <f t="shared" si="0"/>
        <v>0</v>
      </c>
      <c r="DG45" s="181"/>
      <c r="DH45" s="26"/>
      <c r="DI45" s="26"/>
      <c r="DJ45" s="25"/>
      <c r="DK45" s="25"/>
      <c r="DL45" s="25"/>
      <c r="EE45" s="24" t="b">
        <v>1</v>
      </c>
    </row>
    <row r="46" spans="1:135" s="24" customFormat="1" ht="15.95" hidden="1" customHeight="1" x14ac:dyDescent="0.3">
      <c r="A46" s="172"/>
      <c r="B46" s="172"/>
      <c r="C46" s="172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4"/>
      <c r="BZ46" s="172"/>
      <c r="CA46" s="172"/>
      <c r="CC46" s="25"/>
      <c r="CD46" s="26"/>
      <c r="CE46" s="26"/>
      <c r="CF46" s="26"/>
      <c r="CG46" s="26"/>
      <c r="CH46" s="243"/>
      <c r="CI46" s="241"/>
      <c r="CJ46" s="26"/>
      <c r="CK46" s="26"/>
      <c r="CL46" s="49">
        <v>41</v>
      </c>
      <c r="CM46" s="50">
        <f t="shared" si="1"/>
        <v>0</v>
      </c>
      <c r="CN46" s="26"/>
      <c r="CO46" s="79" t="s">
        <v>201</v>
      </c>
      <c r="CP46" s="50">
        <f>IF($CI$12="승용",$CP$45,$CP$45)</f>
        <v>517660</v>
      </c>
      <c r="CQ46" s="520">
        <v>0.95</v>
      </c>
      <c r="CR46" s="28"/>
      <c r="CS46" s="28"/>
      <c r="CT46" s="28"/>
      <c r="CU46" s="28"/>
      <c r="CV46" s="26"/>
      <c r="CW46" s="68" t="s">
        <v>100</v>
      </c>
      <c r="CX46" s="124" t="str">
        <f>견적관리자용!$S$8</f>
        <v>승용일반</v>
      </c>
      <c r="CY46" s="70">
        <v>0</v>
      </c>
      <c r="CZ46" s="125">
        <v>0.04</v>
      </c>
      <c r="DA46" s="125">
        <v>0.04</v>
      </c>
      <c r="DB46" s="125">
        <v>0.04</v>
      </c>
      <c r="DC46" s="125">
        <v>0.05</v>
      </c>
      <c r="DD46" s="72">
        <f t="shared" si="2"/>
        <v>0.04</v>
      </c>
      <c r="DE46" s="73">
        <v>43</v>
      </c>
      <c r="DF46" s="72">
        <f t="shared" si="0"/>
        <v>0.04</v>
      </c>
      <c r="DG46" s="166">
        <f>SUM(DF46:DF55)</f>
        <v>0.04</v>
      </c>
      <c r="DH46" s="26"/>
      <c r="DI46" s="26"/>
      <c r="DJ46" s="25"/>
      <c r="DK46" s="25"/>
      <c r="DL46" s="25"/>
    </row>
    <row r="47" spans="1:135" s="24" customFormat="1" ht="15.95" hidden="1" customHeight="1" x14ac:dyDescent="0.3">
      <c r="A47" s="172"/>
      <c r="B47" s="172"/>
      <c r="C47" s="172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4"/>
      <c r="BZ47" s="172"/>
      <c r="CA47" s="172"/>
      <c r="CC47" s="25"/>
      <c r="CD47" s="26"/>
      <c r="CE47" s="26"/>
      <c r="CF47" s="26"/>
      <c r="CG47" s="26"/>
      <c r="CH47" s="243"/>
      <c r="CI47" s="241"/>
      <c r="CJ47" s="26"/>
      <c r="CK47" s="26"/>
      <c r="CL47" s="49">
        <v>42</v>
      </c>
      <c r="CM47" s="50">
        <f t="shared" si="1"/>
        <v>0</v>
      </c>
      <c r="CN47" s="26"/>
      <c r="CO47" s="79" t="s">
        <v>202</v>
      </c>
      <c r="CP47" s="50">
        <f>IF($CI$12="승용",$CP$45,$CP$45)</f>
        <v>517660</v>
      </c>
      <c r="CQ47" s="520">
        <v>0.9</v>
      </c>
      <c r="CR47" s="28"/>
      <c r="CS47" s="28"/>
      <c r="CT47" s="28"/>
      <c r="CU47" s="28"/>
      <c r="CV47" s="26"/>
      <c r="CW47" s="68"/>
      <c r="CX47" s="69" t="str">
        <f>견적관리자용!$S$9</f>
        <v>승용SUV(~5인)</v>
      </c>
      <c r="CY47" s="70">
        <v>0</v>
      </c>
      <c r="CZ47" s="71">
        <v>0.04</v>
      </c>
      <c r="DA47" s="71">
        <v>0.04</v>
      </c>
      <c r="DB47" s="71">
        <v>0.04</v>
      </c>
      <c r="DC47" s="71">
        <v>0.05</v>
      </c>
      <c r="DD47" s="72">
        <f t="shared" si="2"/>
        <v>0.04</v>
      </c>
      <c r="DE47" s="73">
        <v>44</v>
      </c>
      <c r="DF47" s="72">
        <f t="shared" si="0"/>
        <v>0</v>
      </c>
      <c r="DG47" s="166"/>
      <c r="DH47" s="26"/>
      <c r="DI47" s="26"/>
      <c r="DJ47" s="25"/>
      <c r="DK47" s="25"/>
      <c r="DL47" s="25"/>
    </row>
    <row r="48" spans="1:135" s="24" customFormat="1" ht="15.95" hidden="1" customHeight="1" x14ac:dyDescent="0.3">
      <c r="A48" s="172"/>
      <c r="B48" s="172"/>
      <c r="C48" s="172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4"/>
      <c r="BZ48" s="172"/>
      <c r="CA48" s="172"/>
      <c r="CC48" s="25"/>
      <c r="CD48" s="26"/>
      <c r="CE48" s="26"/>
      <c r="CF48" s="26"/>
      <c r="CG48" s="26"/>
      <c r="CH48" s="243"/>
      <c r="CI48" s="241"/>
      <c r="CJ48" s="26"/>
      <c r="CK48" s="26"/>
      <c r="CL48" s="49">
        <v>43</v>
      </c>
      <c r="CM48" s="50">
        <f t="shared" si="1"/>
        <v>0</v>
      </c>
      <c r="CN48" s="26"/>
      <c r="CO48" s="79" t="s">
        <v>203</v>
      </c>
      <c r="CP48" s="50">
        <f>IF($CI$12="승용",$CP$45,$CP$45)</f>
        <v>517660</v>
      </c>
      <c r="CQ48" s="520">
        <v>0.85</v>
      </c>
      <c r="CR48" s="28"/>
      <c r="CS48" s="28"/>
      <c r="CT48" s="28"/>
      <c r="CU48" s="28"/>
      <c r="CV48" s="26"/>
      <c r="CW48" s="68"/>
      <c r="CX48" s="69" t="str">
        <f>견적관리자용!$S$10</f>
        <v>승용SUV(7~10인)</v>
      </c>
      <c r="CY48" s="70">
        <v>0</v>
      </c>
      <c r="CZ48" s="71">
        <v>0.04</v>
      </c>
      <c r="DA48" s="71">
        <v>0.04</v>
      </c>
      <c r="DB48" s="71">
        <v>0.04</v>
      </c>
      <c r="DC48" s="71">
        <v>0.05</v>
      </c>
      <c r="DD48" s="72">
        <f t="shared" si="2"/>
        <v>0.04</v>
      </c>
      <c r="DE48" s="73">
        <v>45</v>
      </c>
      <c r="DF48" s="72">
        <f t="shared" si="0"/>
        <v>0</v>
      </c>
      <c r="DG48" s="166"/>
      <c r="DH48" s="26"/>
      <c r="DI48" s="26"/>
      <c r="DJ48" s="25"/>
      <c r="DK48" s="25"/>
      <c r="DL48" s="25"/>
    </row>
    <row r="49" spans="1:298" s="26" customFormat="1" ht="15.95" hidden="1" customHeight="1" x14ac:dyDescent="0.3">
      <c r="A49" s="172"/>
      <c r="B49" s="172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4"/>
      <c r="BZ49" s="172"/>
      <c r="CA49" s="172"/>
      <c r="CB49" s="24"/>
      <c r="CC49" s="25"/>
      <c r="CH49" s="243"/>
      <c r="CI49" s="241"/>
      <c r="CL49" s="49">
        <v>44</v>
      </c>
      <c r="CM49" s="50">
        <f t="shared" si="1"/>
        <v>0</v>
      </c>
      <c r="CO49" s="79">
        <v>12</v>
      </c>
      <c r="CP49" s="50">
        <f>ROUNDUP($CP$44/12,-2)</f>
        <v>43200</v>
      </c>
      <c r="CQ49" s="28"/>
      <c r="CR49" s="28"/>
      <c r="CS49" s="28"/>
      <c r="CT49" s="28"/>
      <c r="CU49" s="28"/>
      <c r="CW49" s="68"/>
      <c r="CX49" s="69" t="str">
        <f>견적관리자용!$S$11</f>
        <v>승합(11~15인)</v>
      </c>
      <c r="CY49" s="70">
        <v>0</v>
      </c>
      <c r="CZ49" s="125">
        <v>1.4999999999999999E-2</v>
      </c>
      <c r="DA49" s="125">
        <v>1.4999999999999999E-2</v>
      </c>
      <c r="DB49" s="125">
        <v>1.4999999999999999E-2</v>
      </c>
      <c r="DC49" s="125">
        <v>1.4999999999999999E-2</v>
      </c>
      <c r="DD49" s="72">
        <f t="shared" si="2"/>
        <v>1.4999999999999999E-2</v>
      </c>
      <c r="DE49" s="73">
        <v>46</v>
      </c>
      <c r="DF49" s="72">
        <f t="shared" si="0"/>
        <v>0</v>
      </c>
      <c r="DG49" s="166"/>
      <c r="DJ49" s="25"/>
      <c r="DK49" s="25"/>
      <c r="DL49" s="25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</row>
    <row r="50" spans="1:298" s="26" customFormat="1" ht="15.95" hidden="1" customHeight="1" x14ac:dyDescent="0.3">
      <c r="A50" s="172"/>
      <c r="B50" s="172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4"/>
      <c r="BZ50" s="172"/>
      <c r="CA50" s="172"/>
      <c r="CB50" s="24"/>
      <c r="CC50" s="25"/>
      <c r="CH50" s="243"/>
      <c r="CI50" s="241"/>
      <c r="CL50" s="49">
        <v>45</v>
      </c>
      <c r="CM50" s="50">
        <f t="shared" si="1"/>
        <v>0</v>
      </c>
      <c r="CO50" s="79">
        <v>24</v>
      </c>
      <c r="CP50" s="50">
        <f>ROUNDUP($CP$44/12,-2)</f>
        <v>43200</v>
      </c>
      <c r="CQ50" s="28"/>
      <c r="CR50" s="28"/>
      <c r="CS50" s="28"/>
      <c r="CT50" s="28"/>
      <c r="CU50" s="28"/>
      <c r="CW50" s="68"/>
      <c r="CX50" s="69" t="str">
        <f>견적관리자용!$S$12</f>
        <v>화물(1000cc 미만)</v>
      </c>
      <c r="CY50" s="70">
        <v>0</v>
      </c>
      <c r="CZ50" s="70">
        <v>0</v>
      </c>
      <c r="DA50" s="80">
        <v>0</v>
      </c>
      <c r="DB50" s="80">
        <v>0</v>
      </c>
      <c r="DC50" s="80">
        <v>0</v>
      </c>
      <c r="DD50" s="72">
        <f t="shared" si="2"/>
        <v>0</v>
      </c>
      <c r="DE50" s="73">
        <v>47</v>
      </c>
      <c r="DF50" s="72">
        <f t="shared" si="0"/>
        <v>0</v>
      </c>
      <c r="DG50" s="166"/>
      <c r="DJ50" s="25"/>
      <c r="DK50" s="25"/>
      <c r="DL50" s="25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</row>
    <row r="51" spans="1:298" s="26" customFormat="1" ht="15.95" hidden="1" customHeight="1" x14ac:dyDescent="0.3">
      <c r="A51" s="172"/>
      <c r="B51" s="172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4"/>
      <c r="BZ51" s="172"/>
      <c r="CA51" s="172"/>
      <c r="CB51" s="24"/>
      <c r="CC51" s="25"/>
      <c r="CH51" s="243"/>
      <c r="CI51" s="241"/>
      <c r="CL51" s="49">
        <v>46</v>
      </c>
      <c r="CM51" s="50">
        <f t="shared" si="1"/>
        <v>0</v>
      </c>
      <c r="CO51" s="79">
        <v>36</v>
      </c>
      <c r="CP51" s="50">
        <f>ROUNDUP(($CP$44+$CP$44+$CP$46)/36,-2)</f>
        <v>43200</v>
      </c>
      <c r="CQ51" s="28"/>
      <c r="CR51" s="28"/>
      <c r="CS51" s="28"/>
      <c r="CT51" s="28"/>
      <c r="CU51" s="28"/>
      <c r="CW51" s="85"/>
      <c r="CX51" s="69" t="str">
        <f>견적관리자용!$S$13</f>
        <v>화물(0.6톤 미만)</v>
      </c>
      <c r="CY51" s="70">
        <v>0</v>
      </c>
      <c r="CZ51" s="125">
        <v>1.4999999999999999E-2</v>
      </c>
      <c r="DA51" s="125">
        <v>1.4999999999999999E-2</v>
      </c>
      <c r="DB51" s="125">
        <v>1.4999999999999999E-2</v>
      </c>
      <c r="DC51" s="125">
        <v>1.4999999999999999E-2</v>
      </c>
      <c r="DD51" s="72">
        <f t="shared" si="2"/>
        <v>1.4999999999999999E-2</v>
      </c>
      <c r="DE51" s="73">
        <v>48</v>
      </c>
      <c r="DF51" s="72">
        <f t="shared" si="0"/>
        <v>0</v>
      </c>
      <c r="DG51" s="166"/>
      <c r="DJ51" s="25"/>
      <c r="DK51" s="25"/>
      <c r="DL51" s="25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</row>
    <row r="52" spans="1:298" s="26" customFormat="1" ht="15.95" hidden="1" customHeight="1" x14ac:dyDescent="0.3">
      <c r="A52" s="172"/>
      <c r="B52" s="172"/>
      <c r="C52" s="172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4"/>
      <c r="BZ52" s="172"/>
      <c r="CA52" s="172"/>
      <c r="CB52" s="24"/>
      <c r="CC52" s="25"/>
      <c r="CH52" s="243"/>
      <c r="CI52" s="241"/>
      <c r="CL52" s="49">
        <v>47</v>
      </c>
      <c r="CM52" s="50">
        <f t="shared" si="1"/>
        <v>0</v>
      </c>
      <c r="CO52" s="79">
        <v>48</v>
      </c>
      <c r="CP52" s="50">
        <f>ROUNDUP(($CP$44+$CP$44+$CP$46+$CP$47)/48,-2)</f>
        <v>43200</v>
      </c>
      <c r="CQ52" s="28"/>
      <c r="CR52" s="28"/>
      <c r="CS52" s="28"/>
      <c r="CT52" s="28"/>
      <c r="CU52" s="28"/>
      <c r="CW52" s="85"/>
      <c r="CX52" s="69" t="str">
        <f>견적관리자용!$S$14</f>
        <v>화물(0.6~1톤 미만)</v>
      </c>
      <c r="CY52" s="70">
        <v>0</v>
      </c>
      <c r="CZ52" s="125">
        <v>1.4999999999999999E-2</v>
      </c>
      <c r="DA52" s="125">
        <v>1.4999999999999999E-2</v>
      </c>
      <c r="DB52" s="125">
        <v>1.4999999999999999E-2</v>
      </c>
      <c r="DC52" s="125">
        <v>1.4999999999999999E-2</v>
      </c>
      <c r="DD52" s="72">
        <f t="shared" si="2"/>
        <v>1.4999999999999999E-2</v>
      </c>
      <c r="DE52" s="73">
        <v>49</v>
      </c>
      <c r="DF52" s="72">
        <f t="shared" si="0"/>
        <v>0</v>
      </c>
      <c r="DG52" s="166"/>
      <c r="DJ52" s="25"/>
      <c r="DK52" s="25"/>
      <c r="DL52" s="25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</row>
    <row r="53" spans="1:298" s="26" customFormat="1" ht="15.95" hidden="1" customHeight="1" x14ac:dyDescent="0.3">
      <c r="A53" s="172"/>
      <c r="B53" s="172"/>
      <c r="C53" s="172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4"/>
      <c r="BZ53" s="172"/>
      <c r="CA53" s="172"/>
      <c r="CB53" s="24"/>
      <c r="CC53" s="25"/>
      <c r="CH53" s="243"/>
      <c r="CI53" s="241"/>
      <c r="CL53" s="49">
        <v>48</v>
      </c>
      <c r="CM53" s="50">
        <f t="shared" si="1"/>
        <v>0</v>
      </c>
      <c r="CO53" s="79">
        <v>60</v>
      </c>
      <c r="CP53" s="50">
        <f>ROUNDUP(($CP$44+$CP$44+$CP$46+$CP$47+$CP$48)/60,-2)</f>
        <v>43200</v>
      </c>
      <c r="CQ53" s="28"/>
      <c r="CR53" s="28"/>
      <c r="CS53" s="28"/>
      <c r="CT53" s="28"/>
      <c r="CU53" s="28"/>
      <c r="CW53" s="85"/>
      <c r="CX53" s="69" t="str">
        <f>견적관리자용!$S$15</f>
        <v>화물(1~2.5톤 미만)</v>
      </c>
      <c r="CY53" s="70">
        <v>0</v>
      </c>
      <c r="CZ53" s="125">
        <v>1.4999999999999999E-2</v>
      </c>
      <c r="DA53" s="125">
        <v>1.4999999999999999E-2</v>
      </c>
      <c r="DB53" s="125">
        <v>1.4999999999999999E-2</v>
      </c>
      <c r="DC53" s="125">
        <v>1.4999999999999999E-2</v>
      </c>
      <c r="DD53" s="72">
        <f t="shared" si="2"/>
        <v>1.4999999999999999E-2</v>
      </c>
      <c r="DE53" s="73">
        <v>50</v>
      </c>
      <c r="DF53" s="72">
        <f t="shared" si="0"/>
        <v>0</v>
      </c>
      <c r="DG53" s="166"/>
      <c r="DJ53" s="25"/>
      <c r="DK53" s="25"/>
      <c r="DL53" s="25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</row>
    <row r="54" spans="1:298" s="26" customFormat="1" ht="15.95" hidden="1" customHeight="1" x14ac:dyDescent="0.3">
      <c r="A54" s="172"/>
      <c r="B54" s="172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4"/>
      <c r="BZ54" s="172"/>
      <c r="CA54" s="172"/>
      <c r="CB54" s="24"/>
      <c r="CC54" s="25"/>
      <c r="CH54" s="258"/>
      <c r="CI54" s="241"/>
      <c r="CL54" s="49">
        <v>49</v>
      </c>
      <c r="CM54" s="50">
        <f t="shared" si="1"/>
        <v>0</v>
      </c>
      <c r="CO54" s="51"/>
      <c r="CP54" s="104">
        <f>IF($BD$15="이용자명의",0,IF($BD$26="리스료포함",IF($BQ$26&gt;0,$BQ$26,VLOOKUP($CI$24,$CO$49:$CP$53,2,FALSE)),0))</f>
        <v>0</v>
      </c>
      <c r="CQ54" s="28"/>
      <c r="CR54" s="28"/>
      <c r="CS54" s="28"/>
      <c r="CT54" s="28"/>
      <c r="CU54" s="28"/>
      <c r="CW54" s="85"/>
      <c r="CX54" s="69" t="str">
        <f>견적관리자용!$S$16</f>
        <v>화물(2.5~4.6톤 미만)</v>
      </c>
      <c r="CY54" s="70">
        <v>0</v>
      </c>
      <c r="CZ54" s="125">
        <v>1.4999999999999999E-2</v>
      </c>
      <c r="DA54" s="125">
        <v>1.4999999999999999E-2</v>
      </c>
      <c r="DB54" s="125">
        <v>1.4999999999999999E-2</v>
      </c>
      <c r="DC54" s="125">
        <v>1.4999999999999999E-2</v>
      </c>
      <c r="DD54" s="72">
        <f t="shared" si="2"/>
        <v>1.4999999999999999E-2</v>
      </c>
      <c r="DE54" s="73">
        <v>51</v>
      </c>
      <c r="DF54" s="72">
        <f t="shared" si="0"/>
        <v>0</v>
      </c>
      <c r="DG54" s="166"/>
      <c r="DJ54" s="25"/>
      <c r="DK54" s="25"/>
      <c r="DL54" s="25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</row>
    <row r="55" spans="1:298" s="26" customFormat="1" ht="15.95" hidden="1" customHeight="1" x14ac:dyDescent="0.3">
      <c r="A55" s="172"/>
      <c r="B55" s="172"/>
      <c r="C55" s="172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4"/>
      <c r="BZ55" s="172"/>
      <c r="CA55" s="172"/>
      <c r="CB55" s="24"/>
      <c r="CC55" s="25"/>
      <c r="CH55" s="227"/>
      <c r="CI55" s="228"/>
      <c r="CL55" s="49">
        <v>50</v>
      </c>
      <c r="CM55" s="50">
        <f t="shared" si="1"/>
        <v>0</v>
      </c>
      <c r="CO55" s="29"/>
      <c r="CP55" s="28"/>
      <c r="CQ55" s="28"/>
      <c r="CR55" s="28"/>
      <c r="CS55" s="28"/>
      <c r="CT55" s="28"/>
      <c r="CU55" s="28"/>
      <c r="CW55" s="85"/>
      <c r="CX55" s="69" t="str">
        <f>견적관리자용!$S$17</f>
        <v>화물(4.6톤 이상)</v>
      </c>
      <c r="CY55" s="70">
        <v>0</v>
      </c>
      <c r="CZ55" s="180">
        <v>1.4999999999999999E-2</v>
      </c>
      <c r="DA55" s="180">
        <v>1.4999999999999999E-2</v>
      </c>
      <c r="DB55" s="180">
        <v>1.4999999999999999E-2</v>
      </c>
      <c r="DC55" s="180">
        <v>1.4999999999999999E-2</v>
      </c>
      <c r="DD55" s="72">
        <f t="shared" si="2"/>
        <v>1.4999999999999999E-2</v>
      </c>
      <c r="DE55" s="73">
        <v>52</v>
      </c>
      <c r="DF55" s="72">
        <f t="shared" si="0"/>
        <v>0</v>
      </c>
      <c r="DG55" s="166"/>
      <c r="DJ55" s="25"/>
      <c r="DK55" s="25"/>
      <c r="DL55" s="25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</row>
    <row r="56" spans="1:298" s="26" customFormat="1" ht="15.95" hidden="1" customHeight="1" x14ac:dyDescent="0.3">
      <c r="A56" s="172"/>
      <c r="B56" s="172"/>
      <c r="C56" s="172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4"/>
      <c r="BZ56" s="172"/>
      <c r="CA56" s="172"/>
      <c r="CB56" s="24"/>
      <c r="CC56" s="25"/>
      <c r="CH56" s="183" t="s">
        <v>151</v>
      </c>
      <c r="CI56" s="184" t="e">
        <f>VLOOKUP(에이전트수수료입력!$G$9,금융리스!$CH$57:$CI$59,2,FALSE)</f>
        <v>#N/A</v>
      </c>
      <c r="CL56" s="49">
        <v>51</v>
      </c>
      <c r="CM56" s="50">
        <f t="shared" si="1"/>
        <v>0</v>
      </c>
      <c r="CO56" s="29"/>
      <c r="CP56" s="28"/>
      <c r="CQ56" s="28"/>
      <c r="CR56" s="28"/>
      <c r="CS56" s="28"/>
      <c r="CT56" s="28"/>
      <c r="CU56" s="28"/>
      <c r="CW56" s="58" t="s">
        <v>101</v>
      </c>
      <c r="CX56" s="59" t="str">
        <f>견적관리자용!$S$8</f>
        <v>승용일반</v>
      </c>
      <c r="CY56" s="60">
        <v>0</v>
      </c>
      <c r="CZ56" s="125">
        <v>0.04</v>
      </c>
      <c r="DA56" s="125">
        <v>0.04</v>
      </c>
      <c r="DB56" s="125">
        <v>0.04</v>
      </c>
      <c r="DC56" s="125">
        <v>0.05</v>
      </c>
      <c r="DD56" s="62">
        <f t="shared" si="2"/>
        <v>0.04</v>
      </c>
      <c r="DE56" s="63">
        <v>53</v>
      </c>
      <c r="DF56" s="62">
        <f t="shared" si="0"/>
        <v>0.04</v>
      </c>
      <c r="DG56" s="163">
        <f>SUM(DF56:DF65)</f>
        <v>0.04</v>
      </c>
      <c r="DJ56" s="25"/>
      <c r="DK56" s="25"/>
      <c r="DL56" s="25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</row>
    <row r="57" spans="1:298" s="26" customFormat="1" ht="15.95" hidden="1" customHeight="1" x14ac:dyDescent="0.3">
      <c r="A57" s="172"/>
      <c r="B57" s="172"/>
      <c r="C57" s="172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4"/>
      <c r="BZ57" s="172"/>
      <c r="CA57" s="172"/>
      <c r="CB57" s="24"/>
      <c r="CC57" s="25"/>
      <c r="CH57" s="89" t="s">
        <v>152</v>
      </c>
      <c r="CI57" s="50">
        <f>ROUNDDOWN($CI$23*에이전트수수료입력!$H$9,0)</f>
        <v>0</v>
      </c>
      <c r="CL57" s="49">
        <v>52</v>
      </c>
      <c r="CM57" s="50">
        <f t="shared" si="1"/>
        <v>0</v>
      </c>
      <c r="CO57" s="29"/>
      <c r="CP57" s="28"/>
      <c r="CQ57" s="28"/>
      <c r="CR57" s="28"/>
      <c r="CS57" s="28"/>
      <c r="CT57" s="28"/>
      <c r="CU57" s="28"/>
      <c r="CW57" s="68"/>
      <c r="CX57" s="69" t="str">
        <f>견적관리자용!$S$9</f>
        <v>승용SUV(~5인)</v>
      </c>
      <c r="CY57" s="70">
        <v>0</v>
      </c>
      <c r="CZ57" s="71">
        <v>0.04</v>
      </c>
      <c r="DA57" s="71">
        <v>0.04</v>
      </c>
      <c r="DB57" s="71">
        <v>0.04</v>
      </c>
      <c r="DC57" s="71">
        <v>0.05</v>
      </c>
      <c r="DD57" s="72">
        <f t="shared" si="2"/>
        <v>0.04</v>
      </c>
      <c r="DE57" s="73">
        <v>54</v>
      </c>
      <c r="DF57" s="72">
        <f t="shared" si="0"/>
        <v>0</v>
      </c>
      <c r="DG57" s="166"/>
      <c r="DJ57" s="25"/>
      <c r="DK57" s="25"/>
      <c r="DL57" s="25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</row>
    <row r="58" spans="1:298" s="26" customFormat="1" ht="15.95" hidden="1" customHeight="1" x14ac:dyDescent="0.3">
      <c r="A58" s="172"/>
      <c r="B58" s="172"/>
      <c r="C58" s="172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4"/>
      <c r="BZ58" s="172"/>
      <c r="CA58" s="172"/>
      <c r="CB58" s="24"/>
      <c r="CC58" s="25"/>
      <c r="CH58" s="89" t="s">
        <v>119</v>
      </c>
      <c r="CI58" s="99">
        <f>에이전트수수료입력!$I$9</f>
        <v>0</v>
      </c>
      <c r="CL58" s="49">
        <v>53</v>
      </c>
      <c r="CM58" s="50">
        <f t="shared" si="1"/>
        <v>0</v>
      </c>
      <c r="CO58" s="29"/>
      <c r="CP58" s="28"/>
      <c r="CQ58" s="28"/>
      <c r="CR58" s="28"/>
      <c r="CS58" s="28"/>
      <c r="CT58" s="28"/>
      <c r="CU58" s="28"/>
      <c r="CW58" s="68"/>
      <c r="CX58" s="69" t="str">
        <f>견적관리자용!$S$10</f>
        <v>승용SUV(7~10인)</v>
      </c>
      <c r="CY58" s="70">
        <v>0</v>
      </c>
      <c r="CZ58" s="71">
        <v>0.04</v>
      </c>
      <c r="DA58" s="71">
        <v>0.04</v>
      </c>
      <c r="DB58" s="71">
        <v>0.04</v>
      </c>
      <c r="DC58" s="71">
        <v>0.05</v>
      </c>
      <c r="DD58" s="72">
        <f t="shared" si="2"/>
        <v>0.04</v>
      </c>
      <c r="DE58" s="73">
        <v>55</v>
      </c>
      <c r="DF58" s="72">
        <f t="shared" si="0"/>
        <v>0</v>
      </c>
      <c r="DG58" s="166"/>
      <c r="DJ58" s="25"/>
      <c r="DK58" s="25"/>
      <c r="DL58" s="25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</row>
    <row r="59" spans="1:298" s="26" customFormat="1" ht="15.95" hidden="1" customHeight="1" x14ac:dyDescent="0.3">
      <c r="A59" s="172"/>
      <c r="B59" s="172"/>
      <c r="C59" s="172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4"/>
      <c r="BZ59" s="172"/>
      <c r="CA59" s="172"/>
      <c r="CB59" s="24"/>
      <c r="CC59" s="25"/>
      <c r="CH59" s="89" t="s">
        <v>153</v>
      </c>
      <c r="CI59" s="99">
        <f>$CI$57+$CI$58</f>
        <v>0</v>
      </c>
      <c r="CL59" s="49">
        <v>54</v>
      </c>
      <c r="CM59" s="50">
        <f t="shared" si="1"/>
        <v>0</v>
      </c>
      <c r="CO59" s="29"/>
      <c r="CP59" s="28"/>
      <c r="CQ59" s="28"/>
      <c r="CR59" s="28"/>
      <c r="CS59" s="28"/>
      <c r="CT59" s="28"/>
      <c r="CU59" s="28"/>
      <c r="CW59" s="68"/>
      <c r="CX59" s="69" t="str">
        <f>견적관리자용!$S$11</f>
        <v>승합(11~15인)</v>
      </c>
      <c r="CY59" s="70">
        <v>0</v>
      </c>
      <c r="CZ59" s="125">
        <v>0.03</v>
      </c>
      <c r="DA59" s="125">
        <v>0.03</v>
      </c>
      <c r="DB59" s="125">
        <v>0.03</v>
      </c>
      <c r="DC59" s="125">
        <v>0.03</v>
      </c>
      <c r="DD59" s="72">
        <f t="shared" si="2"/>
        <v>0.03</v>
      </c>
      <c r="DE59" s="73">
        <v>56</v>
      </c>
      <c r="DF59" s="72">
        <f t="shared" si="0"/>
        <v>0</v>
      </c>
      <c r="DG59" s="166"/>
      <c r="DJ59" s="25"/>
      <c r="DK59" s="25"/>
      <c r="DL59" s="25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</row>
    <row r="60" spans="1:298" s="26" customFormat="1" ht="15.95" hidden="1" customHeight="1" x14ac:dyDescent="0.3">
      <c r="A60" s="172"/>
      <c r="B60" s="172"/>
      <c r="C60" s="172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4"/>
      <c r="BZ60" s="172"/>
      <c r="CA60" s="172"/>
      <c r="CB60" s="24"/>
      <c r="CC60" s="25"/>
      <c r="CH60" s="185" t="s">
        <v>155</v>
      </c>
      <c r="CI60" s="186" t="e">
        <f>ROUNDUP($CI$56/$CI$23,4)</f>
        <v>#N/A</v>
      </c>
      <c r="CL60" s="49">
        <v>55</v>
      </c>
      <c r="CM60" s="50">
        <f t="shared" si="1"/>
        <v>0</v>
      </c>
      <c r="CO60" s="29"/>
      <c r="CP60" s="28"/>
      <c r="CQ60" s="28"/>
      <c r="CR60" s="28"/>
      <c r="CS60" s="28"/>
      <c r="CT60" s="28"/>
      <c r="CU60" s="28"/>
      <c r="CW60" s="68"/>
      <c r="CX60" s="69" t="str">
        <f>견적관리자용!$S$12</f>
        <v>화물(1000cc 미만)</v>
      </c>
      <c r="CY60" s="70">
        <v>0</v>
      </c>
      <c r="CZ60" s="70">
        <v>0</v>
      </c>
      <c r="DA60" s="80">
        <v>0</v>
      </c>
      <c r="DB60" s="80">
        <v>0</v>
      </c>
      <c r="DC60" s="80">
        <v>0</v>
      </c>
      <c r="DD60" s="72">
        <f t="shared" si="2"/>
        <v>0</v>
      </c>
      <c r="DE60" s="73">
        <v>57</v>
      </c>
      <c r="DF60" s="72">
        <f t="shared" si="0"/>
        <v>0</v>
      </c>
      <c r="DG60" s="166"/>
      <c r="DJ60" s="25"/>
      <c r="DK60" s="25"/>
      <c r="DL60" s="25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</row>
    <row r="61" spans="1:298" s="26" customFormat="1" ht="15.95" hidden="1" customHeight="1" x14ac:dyDescent="0.3">
      <c r="A61" s="172"/>
      <c r="B61" s="172"/>
      <c r="C61" s="172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4"/>
      <c r="BZ61" s="172"/>
      <c r="CA61" s="172"/>
      <c r="CB61" s="24"/>
      <c r="CC61" s="25"/>
      <c r="CH61" s="35" t="s">
        <v>158</v>
      </c>
      <c r="CI61" s="57">
        <f>ROUNDDOWN($CI$23*$BD$25,0)</f>
        <v>0</v>
      </c>
      <c r="CL61" s="49">
        <v>56</v>
      </c>
      <c r="CM61" s="50">
        <f t="shared" si="1"/>
        <v>0</v>
      </c>
      <c r="CO61" s="29"/>
      <c r="CP61" s="28"/>
      <c r="CQ61" s="28"/>
      <c r="CR61" s="28"/>
      <c r="CS61" s="28"/>
      <c r="CT61" s="28"/>
      <c r="CU61" s="28"/>
      <c r="CW61" s="85"/>
      <c r="CX61" s="69" t="str">
        <f>견적관리자용!$S$13</f>
        <v>화물(0.6톤 미만)</v>
      </c>
      <c r="CY61" s="70">
        <v>0</v>
      </c>
      <c r="CZ61" s="125">
        <v>1.4999999999999999E-2</v>
      </c>
      <c r="DA61" s="125">
        <v>1.4999999999999999E-2</v>
      </c>
      <c r="DB61" s="125">
        <v>1.4999999999999999E-2</v>
      </c>
      <c r="DC61" s="125">
        <v>1.4999999999999999E-2</v>
      </c>
      <c r="DD61" s="72">
        <f t="shared" si="2"/>
        <v>1.4999999999999999E-2</v>
      </c>
      <c r="DE61" s="73">
        <v>58</v>
      </c>
      <c r="DF61" s="72">
        <f t="shared" si="0"/>
        <v>0</v>
      </c>
      <c r="DG61" s="166"/>
      <c r="DJ61" s="25"/>
      <c r="DK61" s="25"/>
      <c r="DL61" s="25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</row>
    <row r="62" spans="1:298" s="26" customFormat="1" ht="15.95" hidden="1" customHeight="1" x14ac:dyDescent="0.3">
      <c r="A62" s="172"/>
      <c r="B62" s="172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  <c r="AP62" s="173"/>
      <c r="AQ62" s="173"/>
      <c r="AR62" s="173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4"/>
      <c r="BZ62" s="172"/>
      <c r="CA62" s="172"/>
      <c r="CB62" s="24"/>
      <c r="CC62" s="25"/>
      <c r="CH62" s="66" t="s">
        <v>159</v>
      </c>
      <c r="CI62" s="41">
        <f>VLOOKUP(견적관리자용!$O$10,금융리스!$CH$63:$CI$65,2,FALSE)</f>
        <v>0</v>
      </c>
      <c r="CL62" s="49">
        <v>57</v>
      </c>
      <c r="CM62" s="50">
        <f t="shared" si="1"/>
        <v>0</v>
      </c>
      <c r="CO62" s="29"/>
      <c r="CP62" s="28"/>
      <c r="CQ62" s="28"/>
      <c r="CR62" s="28"/>
      <c r="CS62" s="28"/>
      <c r="CT62" s="28"/>
      <c r="CU62" s="28"/>
      <c r="CW62" s="85"/>
      <c r="CX62" s="69" t="str">
        <f>견적관리자용!$S$14</f>
        <v>화물(0.6~1톤 미만)</v>
      </c>
      <c r="CY62" s="70">
        <v>0</v>
      </c>
      <c r="CZ62" s="125">
        <v>0.03</v>
      </c>
      <c r="DA62" s="125">
        <v>0.03</v>
      </c>
      <c r="DB62" s="125">
        <v>0.03</v>
      </c>
      <c r="DC62" s="125">
        <v>0.03</v>
      </c>
      <c r="DD62" s="72">
        <f t="shared" si="2"/>
        <v>0.03</v>
      </c>
      <c r="DE62" s="73">
        <v>59</v>
      </c>
      <c r="DF62" s="72">
        <f t="shared" si="0"/>
        <v>0</v>
      </c>
      <c r="DG62" s="166"/>
      <c r="DJ62" s="25"/>
      <c r="DK62" s="25"/>
      <c r="DL62" s="25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</row>
    <row r="63" spans="1:298" s="26" customFormat="1" ht="15.95" hidden="1" customHeight="1" x14ac:dyDescent="0.3">
      <c r="A63" s="172"/>
      <c r="B63" s="172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4"/>
      <c r="BZ63" s="172"/>
      <c r="CA63" s="172"/>
      <c r="CB63" s="24"/>
      <c r="CC63" s="25"/>
      <c r="CH63" s="89" t="s">
        <v>124</v>
      </c>
      <c r="CI63" s="50">
        <f>ROUNDDOWN($CI$23*견적관리자용!$O$11,0)</f>
        <v>0</v>
      </c>
      <c r="CL63" s="49">
        <v>58</v>
      </c>
      <c r="CM63" s="50">
        <f t="shared" si="1"/>
        <v>0</v>
      </c>
      <c r="CO63" s="29"/>
      <c r="CP63" s="28"/>
      <c r="CQ63" s="28"/>
      <c r="CR63" s="28"/>
      <c r="CS63" s="28"/>
      <c r="CT63" s="28"/>
      <c r="CU63" s="28"/>
      <c r="CW63" s="85"/>
      <c r="CX63" s="69" t="str">
        <f>견적관리자용!$S$15</f>
        <v>화물(1~2.5톤 미만)</v>
      </c>
      <c r="CY63" s="70">
        <v>0</v>
      </c>
      <c r="CZ63" s="125">
        <v>0.03</v>
      </c>
      <c r="DA63" s="125">
        <v>0.03</v>
      </c>
      <c r="DB63" s="125">
        <v>0.03</v>
      </c>
      <c r="DC63" s="125">
        <v>0.03</v>
      </c>
      <c r="DD63" s="72">
        <f t="shared" si="2"/>
        <v>0.03</v>
      </c>
      <c r="DE63" s="73">
        <v>60</v>
      </c>
      <c r="DF63" s="72">
        <f t="shared" si="0"/>
        <v>0</v>
      </c>
      <c r="DG63" s="166"/>
      <c r="DJ63" s="25"/>
      <c r="DK63" s="25"/>
      <c r="DL63" s="25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</row>
    <row r="64" spans="1:298" s="26" customFormat="1" ht="15.95" hidden="1" customHeight="1" x14ac:dyDescent="0.3">
      <c r="A64" s="172"/>
      <c r="B64" s="172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4"/>
      <c r="BZ64" s="172"/>
      <c r="CA64" s="172"/>
      <c r="CB64" s="24"/>
      <c r="CC64" s="25"/>
      <c r="CH64" s="89" t="s">
        <v>125</v>
      </c>
      <c r="CI64" s="50">
        <f>견적관리자용!$O$12</f>
        <v>0</v>
      </c>
      <c r="CL64" s="49">
        <v>59</v>
      </c>
      <c r="CM64" s="50">
        <f t="shared" si="1"/>
        <v>0</v>
      </c>
      <c r="CO64" s="29"/>
      <c r="CP64" s="28"/>
      <c r="CQ64" s="28"/>
      <c r="CR64" s="28"/>
      <c r="CS64" s="28"/>
      <c r="CT64" s="28"/>
      <c r="CU64" s="28"/>
      <c r="CW64" s="85"/>
      <c r="CX64" s="69" t="str">
        <f>견적관리자용!$S$16</f>
        <v>화물(2.5~4.6톤 미만)</v>
      </c>
      <c r="CY64" s="70">
        <v>0</v>
      </c>
      <c r="CZ64" s="125">
        <v>0.03</v>
      </c>
      <c r="DA64" s="125">
        <v>0.03</v>
      </c>
      <c r="DB64" s="125">
        <v>0.03</v>
      </c>
      <c r="DC64" s="125">
        <v>0.03</v>
      </c>
      <c r="DD64" s="72">
        <f t="shared" si="2"/>
        <v>0.03</v>
      </c>
      <c r="DE64" s="73">
        <v>61</v>
      </c>
      <c r="DF64" s="72">
        <f t="shared" si="0"/>
        <v>0</v>
      </c>
      <c r="DG64" s="166"/>
      <c r="DJ64" s="25"/>
      <c r="DK64" s="25"/>
      <c r="DL64" s="25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</row>
    <row r="65" spans="1:298" s="26" customFormat="1" ht="15.95" hidden="1" customHeight="1" x14ac:dyDescent="0.3">
      <c r="A65" s="172"/>
      <c r="B65" s="172"/>
      <c r="C65" s="172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4"/>
      <c r="BZ65" s="172"/>
      <c r="CA65" s="172"/>
      <c r="CB65" s="24"/>
      <c r="CC65" s="25"/>
      <c r="CH65" s="185" t="s">
        <v>162</v>
      </c>
      <c r="CI65" s="97">
        <f>$CI$63+$CI$64</f>
        <v>0</v>
      </c>
      <c r="CL65" s="98">
        <v>60</v>
      </c>
      <c r="CM65" s="97">
        <f t="shared" si="1"/>
        <v>0</v>
      </c>
      <c r="CO65" s="29"/>
      <c r="CP65" s="28"/>
      <c r="CQ65" s="28"/>
      <c r="CR65" s="28"/>
      <c r="CS65" s="28"/>
      <c r="CT65" s="28"/>
      <c r="CU65" s="28"/>
      <c r="CW65" s="90"/>
      <c r="CX65" s="91" t="str">
        <f>견적관리자용!$S$17</f>
        <v>화물(4.6톤 이상)</v>
      </c>
      <c r="CY65" s="92">
        <v>0</v>
      </c>
      <c r="CZ65" s="180">
        <v>0.03</v>
      </c>
      <c r="DA65" s="180">
        <v>0.03</v>
      </c>
      <c r="DB65" s="180">
        <v>0.03</v>
      </c>
      <c r="DC65" s="180">
        <v>0.03</v>
      </c>
      <c r="DD65" s="93">
        <f t="shared" si="2"/>
        <v>0.03</v>
      </c>
      <c r="DE65" s="94">
        <v>62</v>
      </c>
      <c r="DF65" s="93">
        <f t="shared" si="0"/>
        <v>0</v>
      </c>
      <c r="DG65" s="181"/>
      <c r="DJ65" s="25"/>
      <c r="DK65" s="25"/>
      <c r="DL65" s="25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/>
    </row>
    <row r="66" spans="1:298" s="26" customFormat="1" ht="15.95" hidden="1" customHeight="1" x14ac:dyDescent="0.3">
      <c r="A66" s="172"/>
      <c r="B66" s="172"/>
      <c r="C66" s="172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4"/>
      <c r="BZ66" s="172"/>
      <c r="CA66" s="172"/>
      <c r="CB66" s="24"/>
      <c r="CC66" s="25"/>
      <c r="CH66" s="66" t="s">
        <v>163</v>
      </c>
      <c r="CI66" s="41">
        <f>VLOOKUP(견적관리자용!$P$10,금융리스!$CH$67:$CI$69,2,FALSE)</f>
        <v>0</v>
      </c>
      <c r="CL66" s="28"/>
      <c r="CM66" s="28"/>
      <c r="CO66" s="29"/>
      <c r="CP66" s="28"/>
      <c r="CQ66" s="28"/>
      <c r="CR66" s="28"/>
      <c r="CS66" s="28"/>
      <c r="CT66" s="28"/>
      <c r="CU66" s="28"/>
      <c r="CW66" s="68" t="s">
        <v>102</v>
      </c>
      <c r="CX66" s="124" t="str">
        <f>견적관리자용!$S$8</f>
        <v>승용일반</v>
      </c>
      <c r="CY66" s="70">
        <v>0</v>
      </c>
      <c r="CZ66" s="125">
        <v>0.06</v>
      </c>
      <c r="DA66" s="125">
        <v>0.06</v>
      </c>
      <c r="DB66" s="125">
        <v>0.08</v>
      </c>
      <c r="DC66" s="125">
        <v>0.12</v>
      </c>
      <c r="DD66" s="72">
        <f t="shared" si="2"/>
        <v>0.08</v>
      </c>
      <c r="DE66" s="73">
        <v>63</v>
      </c>
      <c r="DF66" s="72">
        <f t="shared" si="0"/>
        <v>0.08</v>
      </c>
      <c r="DG66" s="166">
        <f>SUM(DF66:DF75)</f>
        <v>0.08</v>
      </c>
      <c r="DJ66" s="25"/>
      <c r="DK66" s="25"/>
      <c r="DL66" s="25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</row>
    <row r="67" spans="1:298" s="26" customFormat="1" ht="15.95" hidden="1" customHeight="1" x14ac:dyDescent="0.3">
      <c r="A67" s="172"/>
      <c r="B67" s="172"/>
      <c r="C67" s="172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4"/>
      <c r="BZ67" s="172"/>
      <c r="CA67" s="172"/>
      <c r="CB67" s="24"/>
      <c r="CC67" s="25"/>
      <c r="CH67" s="89" t="s">
        <v>124</v>
      </c>
      <c r="CI67" s="50">
        <f>ROUNDDOWN($CI$23*견적관리자용!$P$11,0)</f>
        <v>0</v>
      </c>
      <c r="CL67" s="28"/>
      <c r="CM67" s="28"/>
      <c r="CO67" s="29"/>
      <c r="CP67" s="28"/>
      <c r="CQ67" s="28"/>
      <c r="CR67" s="28"/>
      <c r="CS67" s="28"/>
      <c r="CT67" s="28"/>
      <c r="CU67" s="28"/>
      <c r="CW67" s="68" t="s">
        <v>103</v>
      </c>
      <c r="CX67" s="69" t="str">
        <f>견적관리자용!$S$9</f>
        <v>승용SUV(~5인)</v>
      </c>
      <c r="CY67" s="70">
        <v>0</v>
      </c>
      <c r="CZ67" s="71">
        <v>0.06</v>
      </c>
      <c r="DA67" s="71">
        <v>0.06</v>
      </c>
      <c r="DB67" s="71">
        <v>0.08</v>
      </c>
      <c r="DC67" s="71">
        <v>0.12</v>
      </c>
      <c r="DD67" s="72">
        <f t="shared" si="2"/>
        <v>0.08</v>
      </c>
      <c r="DE67" s="73">
        <v>64</v>
      </c>
      <c r="DF67" s="72">
        <f t="shared" si="0"/>
        <v>0</v>
      </c>
      <c r="DG67" s="166"/>
      <c r="DJ67" s="25"/>
      <c r="DK67" s="25"/>
      <c r="DL67" s="25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</row>
    <row r="68" spans="1:298" s="26" customFormat="1" ht="15.95" hidden="1" customHeight="1" x14ac:dyDescent="0.3">
      <c r="A68" s="172"/>
      <c r="B68" s="172"/>
      <c r="C68" s="172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4"/>
      <c r="BZ68" s="172"/>
      <c r="CA68" s="172"/>
      <c r="CB68" s="24"/>
      <c r="CC68" s="25"/>
      <c r="CH68" s="89" t="s">
        <v>125</v>
      </c>
      <c r="CI68" s="50">
        <f>견적관리자용!$P$12</f>
        <v>0</v>
      </c>
      <c r="CL68" s="42"/>
      <c r="CM68" s="28"/>
      <c r="CO68" s="29"/>
      <c r="CP68" s="28"/>
      <c r="CQ68" s="28"/>
      <c r="CR68" s="28"/>
      <c r="CS68" s="28"/>
      <c r="CT68" s="28"/>
      <c r="CU68" s="28"/>
      <c r="CW68" s="68" t="s">
        <v>104</v>
      </c>
      <c r="CX68" s="69" t="str">
        <f>견적관리자용!$S$10</f>
        <v>승용SUV(7~10인)</v>
      </c>
      <c r="CY68" s="70">
        <v>0</v>
      </c>
      <c r="CZ68" s="71">
        <v>0.06</v>
      </c>
      <c r="DA68" s="71">
        <v>0.06</v>
      </c>
      <c r="DB68" s="71">
        <v>0.08</v>
      </c>
      <c r="DC68" s="71">
        <v>0.12</v>
      </c>
      <c r="DD68" s="72">
        <f t="shared" si="2"/>
        <v>0.08</v>
      </c>
      <c r="DE68" s="73">
        <v>65</v>
      </c>
      <c r="DF68" s="72">
        <f t="shared" si="0"/>
        <v>0</v>
      </c>
      <c r="DG68" s="166"/>
      <c r="DJ68" s="25"/>
      <c r="DK68" s="25"/>
      <c r="DL68" s="25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</row>
    <row r="69" spans="1:298" s="26" customFormat="1" ht="15.95" hidden="1" customHeight="1" x14ac:dyDescent="0.3">
      <c r="A69" s="172"/>
      <c r="B69" s="172"/>
      <c r="C69" s="172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73"/>
      <c r="AR69" s="173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4"/>
      <c r="BZ69" s="172"/>
      <c r="CA69" s="172"/>
      <c r="CB69" s="24"/>
      <c r="CC69" s="25"/>
      <c r="CH69" s="185" t="s">
        <v>162</v>
      </c>
      <c r="CI69" s="97">
        <f>$CI$67+$CI$68</f>
        <v>0</v>
      </c>
      <c r="CL69" s="28"/>
      <c r="CM69" s="28"/>
      <c r="CO69" s="29"/>
      <c r="CP69" s="28"/>
      <c r="CQ69" s="28"/>
      <c r="CR69" s="28"/>
      <c r="CS69" s="28"/>
      <c r="CT69" s="28"/>
      <c r="CU69" s="28"/>
      <c r="CW69" s="68"/>
      <c r="CX69" s="69" t="str">
        <f>견적관리자용!$S$11</f>
        <v>승합(11~15인)</v>
      </c>
      <c r="CY69" s="70">
        <v>0</v>
      </c>
      <c r="CZ69" s="125">
        <v>0.03</v>
      </c>
      <c r="DA69" s="125">
        <v>0.03</v>
      </c>
      <c r="DB69" s="125">
        <v>0.03</v>
      </c>
      <c r="DC69" s="125">
        <v>0.03</v>
      </c>
      <c r="DD69" s="72">
        <f t="shared" si="2"/>
        <v>0.03</v>
      </c>
      <c r="DE69" s="73">
        <v>66</v>
      </c>
      <c r="DF69" s="72">
        <f t="shared" si="0"/>
        <v>0</v>
      </c>
      <c r="DG69" s="166"/>
      <c r="DJ69" s="25"/>
      <c r="DK69" s="25"/>
      <c r="DL69" s="25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</row>
    <row r="70" spans="1:298" s="26" customFormat="1" ht="15.95" hidden="1" customHeight="1" x14ac:dyDescent="0.3">
      <c r="A70" s="172"/>
      <c r="B70" s="172"/>
      <c r="C70" s="172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4"/>
      <c r="BZ70" s="172"/>
      <c r="CA70" s="172"/>
      <c r="CB70" s="24"/>
      <c r="CC70" s="25"/>
      <c r="CH70" s="35" t="s">
        <v>164</v>
      </c>
      <c r="CI70" s="57">
        <f>IF($BD$15="당사명의",$CI$62,$CI$66)</f>
        <v>0</v>
      </c>
      <c r="CL70" s="28"/>
      <c r="CM70" s="28"/>
      <c r="CO70" s="29"/>
      <c r="CP70" s="28"/>
      <c r="CQ70" s="28"/>
      <c r="CR70" s="28"/>
      <c r="CS70" s="28"/>
      <c r="CT70" s="28"/>
      <c r="CU70" s="28"/>
      <c r="CW70" s="68"/>
      <c r="CX70" s="69" t="str">
        <f>견적관리자용!$S$12</f>
        <v>화물(1000cc 미만)</v>
      </c>
      <c r="CY70" s="70">
        <v>0</v>
      </c>
      <c r="CZ70" s="70">
        <v>0</v>
      </c>
      <c r="DA70" s="70">
        <v>0</v>
      </c>
      <c r="DB70" s="70">
        <v>0</v>
      </c>
      <c r="DC70" s="70">
        <v>0</v>
      </c>
      <c r="DD70" s="72">
        <f t="shared" si="2"/>
        <v>0</v>
      </c>
      <c r="DE70" s="73">
        <v>67</v>
      </c>
      <c r="DF70" s="72">
        <f t="shared" ref="DF70:DF133" si="3">IF($CI$5=CX70,DD70,0)</f>
        <v>0</v>
      </c>
      <c r="DG70" s="166"/>
      <c r="DJ70" s="25"/>
      <c r="DK70" s="25"/>
      <c r="DL70" s="25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</row>
    <row r="71" spans="1:298" s="26" customFormat="1" ht="15.95" hidden="1" customHeight="1" x14ac:dyDescent="0.3">
      <c r="A71" s="172"/>
      <c r="B71" s="172"/>
      <c r="C71" s="172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4"/>
      <c r="BZ71" s="172"/>
      <c r="CA71" s="172"/>
      <c r="CB71" s="24"/>
      <c r="CC71" s="25"/>
      <c r="CH71" s="66" t="s">
        <v>165</v>
      </c>
      <c r="CI71" s="41">
        <f>VLOOKUP(견적관리자용!$O$18,금융리스!$CH$72:$CI$74,2,FALSE)</f>
        <v>0</v>
      </c>
      <c r="CL71" s="28"/>
      <c r="CM71" s="28"/>
      <c r="CO71" s="29"/>
      <c r="CP71" s="28"/>
      <c r="CQ71" s="28"/>
      <c r="CR71" s="28"/>
      <c r="CS71" s="28"/>
      <c r="CT71" s="28"/>
      <c r="CU71" s="28"/>
      <c r="CW71" s="85"/>
      <c r="CX71" s="69" t="str">
        <f>견적관리자용!$S$13</f>
        <v>화물(0.6톤 미만)</v>
      </c>
      <c r="CY71" s="70">
        <v>0</v>
      </c>
      <c r="CZ71" s="125">
        <v>1.4999999999999999E-2</v>
      </c>
      <c r="DA71" s="125">
        <v>1.4999999999999999E-2</v>
      </c>
      <c r="DB71" s="125">
        <v>1.4999999999999999E-2</v>
      </c>
      <c r="DC71" s="125">
        <v>1.4999999999999999E-2</v>
      </c>
      <c r="DD71" s="72">
        <f t="shared" si="2"/>
        <v>1.4999999999999999E-2</v>
      </c>
      <c r="DE71" s="73">
        <v>68</v>
      </c>
      <c r="DF71" s="72">
        <f t="shared" si="3"/>
        <v>0</v>
      </c>
      <c r="DG71" s="166"/>
      <c r="DJ71" s="25"/>
      <c r="DK71" s="25"/>
      <c r="DL71" s="25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</row>
    <row r="72" spans="1:298" s="26" customFormat="1" ht="15.95" hidden="1" customHeight="1" x14ac:dyDescent="0.3">
      <c r="A72" s="172"/>
      <c r="B72" s="172"/>
      <c r="C72" s="172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4"/>
      <c r="BZ72" s="172"/>
      <c r="CA72" s="172"/>
      <c r="CB72" s="24"/>
      <c r="CC72" s="25"/>
      <c r="CH72" s="89" t="s">
        <v>124</v>
      </c>
      <c r="CI72" s="50">
        <f>ROUNDDOWN($CI$23*견적관리자용!$O$19,0)</f>
        <v>0</v>
      </c>
      <c r="CL72" s="28"/>
      <c r="CM72" s="28"/>
      <c r="CO72" s="29"/>
      <c r="CP72" s="28"/>
      <c r="CQ72" s="28"/>
      <c r="CR72" s="28"/>
      <c r="CS72" s="28"/>
      <c r="CT72" s="28"/>
      <c r="CU72" s="28"/>
      <c r="CW72" s="85"/>
      <c r="CX72" s="69" t="str">
        <f>견적관리자용!$S$14</f>
        <v>화물(0.6~1톤 미만)</v>
      </c>
      <c r="CY72" s="70">
        <v>0</v>
      </c>
      <c r="CZ72" s="125">
        <v>0.03</v>
      </c>
      <c r="DA72" s="125">
        <v>0.03</v>
      </c>
      <c r="DB72" s="125">
        <v>0.03</v>
      </c>
      <c r="DC72" s="125">
        <v>0.03</v>
      </c>
      <c r="DD72" s="72">
        <f t="shared" ref="DD72:DD135" si="4">HLOOKUP($CI$6,$CY$4:$DC$145,DE72,TRUE)</f>
        <v>0.03</v>
      </c>
      <c r="DE72" s="73">
        <v>69</v>
      </c>
      <c r="DF72" s="72">
        <f t="shared" si="3"/>
        <v>0</v>
      </c>
      <c r="DG72" s="166"/>
      <c r="DJ72" s="25"/>
      <c r="DK72" s="25"/>
      <c r="DL72" s="25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</row>
    <row r="73" spans="1:298" s="26" customFormat="1" ht="15.95" hidden="1" customHeight="1" x14ac:dyDescent="0.3">
      <c r="A73" s="172"/>
      <c r="B73" s="172"/>
      <c r="C73" s="172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4"/>
      <c r="BZ73" s="172"/>
      <c r="CA73" s="172"/>
      <c r="CB73" s="24"/>
      <c r="CC73" s="25"/>
      <c r="CH73" s="89" t="s">
        <v>125</v>
      </c>
      <c r="CI73" s="50">
        <f>견적관리자용!$O$20</f>
        <v>0</v>
      </c>
      <c r="CL73" s="42"/>
      <c r="CM73" s="28"/>
      <c r="CO73" s="29"/>
      <c r="CP73" s="28"/>
      <c r="CQ73" s="28"/>
      <c r="CR73" s="28"/>
      <c r="CS73" s="28"/>
      <c r="CT73" s="28"/>
      <c r="CU73" s="28"/>
      <c r="CW73" s="85"/>
      <c r="CX73" s="69" t="str">
        <f>견적관리자용!$S$15</f>
        <v>화물(1~2.5톤 미만)</v>
      </c>
      <c r="CY73" s="70">
        <v>0</v>
      </c>
      <c r="CZ73" s="125">
        <v>0.03</v>
      </c>
      <c r="DA73" s="125">
        <v>0.03</v>
      </c>
      <c r="DB73" s="125">
        <v>0.03</v>
      </c>
      <c r="DC73" s="125">
        <v>0.03</v>
      </c>
      <c r="DD73" s="72">
        <f t="shared" si="4"/>
        <v>0.03</v>
      </c>
      <c r="DE73" s="73">
        <v>70</v>
      </c>
      <c r="DF73" s="72">
        <f t="shared" si="3"/>
        <v>0</v>
      </c>
      <c r="DG73" s="166"/>
      <c r="DJ73" s="25"/>
      <c r="DK73" s="25"/>
      <c r="DL73" s="25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</row>
    <row r="74" spans="1:298" s="26" customFormat="1" ht="15.95" hidden="1" customHeight="1" x14ac:dyDescent="0.3">
      <c r="A74" s="172"/>
      <c r="B74" s="172"/>
      <c r="C74" s="172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4"/>
      <c r="BZ74" s="172"/>
      <c r="CA74" s="172"/>
      <c r="CB74" s="24"/>
      <c r="CC74" s="25"/>
      <c r="CH74" s="185" t="s">
        <v>162</v>
      </c>
      <c r="CI74" s="97">
        <f>$CI$72+$CI$73</f>
        <v>0</v>
      </c>
      <c r="CL74" s="28"/>
      <c r="CM74" s="28"/>
      <c r="CO74" s="29"/>
      <c r="CP74" s="28"/>
      <c r="CQ74" s="28"/>
      <c r="CR74" s="28"/>
      <c r="CS74" s="28"/>
      <c r="CT74" s="28"/>
      <c r="CU74" s="28"/>
      <c r="CW74" s="85"/>
      <c r="CX74" s="69" t="str">
        <f>견적관리자용!$S$16</f>
        <v>화물(2.5~4.6톤 미만)</v>
      </c>
      <c r="CY74" s="70">
        <v>0</v>
      </c>
      <c r="CZ74" s="125">
        <v>0.03</v>
      </c>
      <c r="DA74" s="125">
        <v>0.03</v>
      </c>
      <c r="DB74" s="125">
        <v>0.03</v>
      </c>
      <c r="DC74" s="125">
        <v>0.03</v>
      </c>
      <c r="DD74" s="72">
        <f t="shared" si="4"/>
        <v>0.03</v>
      </c>
      <c r="DE74" s="73">
        <v>71</v>
      </c>
      <c r="DF74" s="72">
        <f t="shared" si="3"/>
        <v>0</v>
      </c>
      <c r="DG74" s="166"/>
      <c r="DJ74" s="25"/>
      <c r="DK74" s="25"/>
      <c r="DL74" s="25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</row>
    <row r="75" spans="1:298" s="26" customFormat="1" ht="15.95" hidden="1" customHeight="1" x14ac:dyDescent="0.3">
      <c r="A75" s="172"/>
      <c r="B75" s="172"/>
      <c r="C75" s="172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4"/>
      <c r="BZ75" s="172"/>
      <c r="CA75" s="172"/>
      <c r="CB75" s="24"/>
      <c r="CC75" s="25"/>
      <c r="CH75" s="66" t="s">
        <v>166</v>
      </c>
      <c r="CI75" s="41">
        <f>VLOOKUP(견적관리자용!$P$18,금융리스!$CH$76:$CI$78,2,FALSE)</f>
        <v>0</v>
      </c>
      <c r="CL75" s="28"/>
      <c r="CM75" s="28"/>
      <c r="CO75" s="29"/>
      <c r="CP75" s="28"/>
      <c r="CQ75" s="28"/>
      <c r="CR75" s="28"/>
      <c r="CS75" s="28"/>
      <c r="CT75" s="28"/>
      <c r="CU75" s="28"/>
      <c r="CW75" s="85"/>
      <c r="CX75" s="69" t="str">
        <f>견적관리자용!$S$17</f>
        <v>화물(4.6톤 이상)</v>
      </c>
      <c r="CY75" s="70">
        <v>0</v>
      </c>
      <c r="CZ75" s="125">
        <v>0.03</v>
      </c>
      <c r="DA75" s="125">
        <v>0.03</v>
      </c>
      <c r="DB75" s="125">
        <v>0.03</v>
      </c>
      <c r="DC75" s="125">
        <v>0.03</v>
      </c>
      <c r="DD75" s="72">
        <f t="shared" si="4"/>
        <v>0.03</v>
      </c>
      <c r="DE75" s="73">
        <v>72</v>
      </c>
      <c r="DF75" s="72">
        <f t="shared" si="3"/>
        <v>0</v>
      </c>
      <c r="DG75" s="166"/>
      <c r="DJ75" s="25"/>
      <c r="DK75" s="25"/>
      <c r="DL75" s="25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</row>
    <row r="76" spans="1:298" s="26" customFormat="1" ht="15.95" hidden="1" customHeight="1" x14ac:dyDescent="0.3">
      <c r="A76" s="172"/>
      <c r="B76" s="172"/>
      <c r="C76" s="172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4"/>
      <c r="BZ76" s="172"/>
      <c r="CA76" s="172"/>
      <c r="CB76" s="24"/>
      <c r="CC76" s="25"/>
      <c r="CH76" s="89" t="s">
        <v>124</v>
      </c>
      <c r="CI76" s="50">
        <f>ROUNDDOWN($CI$23*견적관리자용!$P$19,0)</f>
        <v>0</v>
      </c>
      <c r="CL76" s="28"/>
      <c r="CM76" s="28"/>
      <c r="CO76" s="29"/>
      <c r="CP76" s="28"/>
      <c r="CQ76" s="28"/>
      <c r="CR76" s="28"/>
      <c r="CS76" s="28"/>
      <c r="CT76" s="28"/>
      <c r="CU76" s="28"/>
      <c r="CW76" s="58" t="s">
        <v>98</v>
      </c>
      <c r="CX76" s="59" t="str">
        <f>견적관리자용!$S$8</f>
        <v>승용일반</v>
      </c>
      <c r="CY76" s="60">
        <v>0</v>
      </c>
      <c r="CZ76" s="61">
        <v>0.03</v>
      </c>
      <c r="DA76" s="61">
        <v>0.03</v>
      </c>
      <c r="DB76" s="61">
        <v>0.04</v>
      </c>
      <c r="DC76" s="61">
        <v>0.05</v>
      </c>
      <c r="DD76" s="62">
        <f t="shared" si="4"/>
        <v>0.04</v>
      </c>
      <c r="DE76" s="63">
        <v>73</v>
      </c>
      <c r="DF76" s="62">
        <f t="shared" si="3"/>
        <v>0.04</v>
      </c>
      <c r="DG76" s="163">
        <f>SUM(DF76:DF85)</f>
        <v>0.04</v>
      </c>
      <c r="DJ76" s="25"/>
      <c r="DK76" s="25"/>
      <c r="DL76" s="25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</row>
    <row r="77" spans="1:298" s="26" customFormat="1" ht="15.95" hidden="1" customHeight="1" x14ac:dyDescent="0.3">
      <c r="A77" s="172"/>
      <c r="B77" s="172"/>
      <c r="C77" s="172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4"/>
      <c r="BZ77" s="172"/>
      <c r="CA77" s="172"/>
      <c r="CB77" s="24"/>
      <c r="CC77" s="25"/>
      <c r="CH77" s="89" t="s">
        <v>125</v>
      </c>
      <c r="CI77" s="50">
        <f>견적관리자용!$P$20</f>
        <v>0</v>
      </c>
      <c r="CL77" s="28"/>
      <c r="CM77" s="28"/>
      <c r="CO77" s="29"/>
      <c r="CP77" s="28"/>
      <c r="CQ77" s="28"/>
      <c r="CR77" s="28"/>
      <c r="CS77" s="28"/>
      <c r="CT77" s="28"/>
      <c r="CU77" s="28"/>
      <c r="CW77" s="68"/>
      <c r="CX77" s="69" t="str">
        <f>견적관리자용!$S$9</f>
        <v>승용SUV(~5인)</v>
      </c>
      <c r="CY77" s="70">
        <v>0</v>
      </c>
      <c r="CZ77" s="71">
        <v>0.04</v>
      </c>
      <c r="DA77" s="71">
        <v>0.04</v>
      </c>
      <c r="DB77" s="71">
        <v>0.04</v>
      </c>
      <c r="DC77" s="71">
        <v>0.04</v>
      </c>
      <c r="DD77" s="72">
        <f t="shared" si="4"/>
        <v>0.04</v>
      </c>
      <c r="DE77" s="73">
        <v>74</v>
      </c>
      <c r="DF77" s="72">
        <f t="shared" si="3"/>
        <v>0</v>
      </c>
      <c r="DG77" s="166"/>
      <c r="DJ77" s="25"/>
      <c r="DK77" s="25"/>
      <c r="DL77" s="25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/>
      <c r="KC77" s="24"/>
      <c r="KD77" s="24"/>
      <c r="KE77" s="24"/>
      <c r="KF77" s="24"/>
      <c r="KG77" s="24"/>
      <c r="KH77" s="24"/>
      <c r="KI77" s="24"/>
      <c r="KJ77" s="24"/>
      <c r="KK77" s="24"/>
      <c r="KL77" s="24"/>
    </row>
    <row r="78" spans="1:298" s="26" customFormat="1" ht="15.95" hidden="1" customHeight="1" x14ac:dyDescent="0.3">
      <c r="A78" s="172"/>
      <c r="B78" s="172"/>
      <c r="C78" s="172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4"/>
      <c r="BZ78" s="172"/>
      <c r="CA78" s="172"/>
      <c r="CB78" s="24"/>
      <c r="CC78" s="25"/>
      <c r="CH78" s="185" t="s">
        <v>162</v>
      </c>
      <c r="CI78" s="97">
        <f>$CI$76+$CI$77</f>
        <v>0</v>
      </c>
      <c r="CL78" s="28"/>
      <c r="CM78" s="28"/>
      <c r="CO78" s="29"/>
      <c r="CP78" s="28"/>
      <c r="CQ78" s="28"/>
      <c r="CR78" s="28"/>
      <c r="CS78" s="28"/>
      <c r="CT78" s="28"/>
      <c r="CU78" s="28"/>
      <c r="CW78" s="68"/>
      <c r="CX78" s="69" t="str">
        <f>견적관리자용!$S$10</f>
        <v>승용SUV(7~10인)</v>
      </c>
      <c r="CY78" s="70">
        <v>0</v>
      </c>
      <c r="CZ78" s="70">
        <v>390000</v>
      </c>
      <c r="DA78" s="80">
        <v>390000</v>
      </c>
      <c r="DB78" s="80">
        <v>390000</v>
      </c>
      <c r="DC78" s="80">
        <v>390000</v>
      </c>
      <c r="DD78" s="72">
        <f t="shared" si="4"/>
        <v>390000</v>
      </c>
      <c r="DE78" s="73">
        <v>75</v>
      </c>
      <c r="DF78" s="72">
        <f t="shared" si="3"/>
        <v>0</v>
      </c>
      <c r="DG78" s="166"/>
      <c r="DJ78" s="25"/>
      <c r="DK78" s="25"/>
      <c r="DL78" s="25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/>
      <c r="KI78" s="24"/>
      <c r="KJ78" s="24"/>
      <c r="KK78" s="24"/>
      <c r="KL78" s="24"/>
    </row>
    <row r="79" spans="1:298" s="26" customFormat="1" ht="15.95" hidden="1" customHeight="1" x14ac:dyDescent="0.3">
      <c r="A79" s="172"/>
      <c r="B79" s="172"/>
      <c r="C79" s="172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4"/>
      <c r="BZ79" s="172"/>
      <c r="CA79" s="172"/>
      <c r="CB79" s="24"/>
      <c r="CC79" s="25"/>
      <c r="CH79" s="35" t="s">
        <v>167</v>
      </c>
      <c r="CI79" s="57">
        <f>IF($BD$15="당사명의",$CI$71,$CI$75)</f>
        <v>0</v>
      </c>
      <c r="CL79" s="28"/>
      <c r="CM79" s="28"/>
      <c r="CO79" s="29"/>
      <c r="CP79" s="28"/>
      <c r="CQ79" s="28"/>
      <c r="CR79" s="28"/>
      <c r="CS79" s="28"/>
      <c r="CT79" s="28"/>
      <c r="CU79" s="28"/>
      <c r="CW79" s="68"/>
      <c r="CX79" s="69" t="str">
        <f>견적관리자용!$S$11</f>
        <v>승합(11~15인)</v>
      </c>
      <c r="CY79" s="70">
        <v>0</v>
      </c>
      <c r="CZ79" s="125">
        <v>1.4999999999999999E-2</v>
      </c>
      <c r="DA79" s="125">
        <v>1.4999999999999999E-2</v>
      </c>
      <c r="DB79" s="125">
        <v>1.4999999999999999E-2</v>
      </c>
      <c r="DC79" s="125">
        <v>1.4999999999999999E-2</v>
      </c>
      <c r="DD79" s="72">
        <f t="shared" si="4"/>
        <v>1.4999999999999999E-2</v>
      </c>
      <c r="DE79" s="73">
        <v>76</v>
      </c>
      <c r="DF79" s="72">
        <f t="shared" si="3"/>
        <v>0</v>
      </c>
      <c r="DG79" s="166"/>
      <c r="DJ79" s="25"/>
      <c r="DK79" s="25"/>
      <c r="DL79" s="25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</row>
    <row r="80" spans="1:298" s="26" customFormat="1" ht="15.95" hidden="1" customHeight="1" x14ac:dyDescent="0.3">
      <c r="A80" s="172"/>
      <c r="B80" s="172"/>
      <c r="C80" s="172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4"/>
      <c r="BZ80" s="172"/>
      <c r="CA80" s="172"/>
      <c r="CB80" s="24"/>
      <c r="CC80" s="25"/>
      <c r="CH80" s="35" t="s">
        <v>168</v>
      </c>
      <c r="CI80" s="187">
        <v>10000</v>
      </c>
      <c r="CL80" s="28"/>
      <c r="CM80" s="28"/>
      <c r="CO80" s="29"/>
      <c r="CP80" s="28"/>
      <c r="CQ80" s="28"/>
      <c r="CR80" s="28"/>
      <c r="CS80" s="28"/>
      <c r="CT80" s="28"/>
      <c r="CU80" s="28"/>
      <c r="CW80" s="68"/>
      <c r="CX80" s="69" t="str">
        <f>견적관리자용!$S$12</f>
        <v>화물(1000cc 미만)</v>
      </c>
      <c r="CY80" s="70">
        <v>0</v>
      </c>
      <c r="CZ80" s="70">
        <v>0</v>
      </c>
      <c r="DA80" s="80">
        <v>0</v>
      </c>
      <c r="DB80" s="80">
        <v>0</v>
      </c>
      <c r="DC80" s="80">
        <v>0</v>
      </c>
      <c r="DD80" s="72">
        <f t="shared" si="4"/>
        <v>0</v>
      </c>
      <c r="DE80" s="73">
        <v>77</v>
      </c>
      <c r="DF80" s="72">
        <f t="shared" si="3"/>
        <v>0</v>
      </c>
      <c r="DG80" s="166"/>
      <c r="DJ80" s="25"/>
      <c r="DK80" s="25"/>
      <c r="DL80" s="25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</row>
    <row r="81" spans="1:298" s="26" customFormat="1" ht="15.95" hidden="1" customHeight="1" x14ac:dyDescent="0.3">
      <c r="A81" s="172"/>
      <c r="B81" s="172"/>
      <c r="C81" s="172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4"/>
      <c r="BZ81" s="172"/>
      <c r="CA81" s="172"/>
      <c r="CB81" s="24"/>
      <c r="CC81" s="25"/>
      <c r="CH81" s="66" t="s">
        <v>169</v>
      </c>
      <c r="CI81" s="184">
        <f>ROUNDUP(IF(견적관리자용!$S$26="취득원가의",견적관리자용!$T$26*금융리스!$CI$23,IF(견적관리자용!$S$26="차량가의",견적관리자용!$T$26*금융리스!$CI$9,0)),-4)</f>
        <v>53390000</v>
      </c>
      <c r="CL81" s="28"/>
      <c r="CM81" s="28"/>
      <c r="CO81" s="29"/>
      <c r="CP81" s="28"/>
      <c r="CQ81" s="28"/>
      <c r="CR81" s="28"/>
      <c r="CS81" s="28"/>
      <c r="CT81" s="28"/>
      <c r="CU81" s="28"/>
      <c r="CW81" s="85"/>
      <c r="CX81" s="69" t="str">
        <f>견적관리자용!$S$13</f>
        <v>화물(0.6톤 미만)</v>
      </c>
      <c r="CY81" s="70">
        <v>0</v>
      </c>
      <c r="CZ81" s="125">
        <v>1.4999999999999999E-2</v>
      </c>
      <c r="DA81" s="125">
        <v>1.4999999999999999E-2</v>
      </c>
      <c r="DB81" s="125">
        <v>1.4999999999999999E-2</v>
      </c>
      <c r="DC81" s="125">
        <v>1.4999999999999999E-2</v>
      </c>
      <c r="DD81" s="72">
        <f t="shared" si="4"/>
        <v>1.4999999999999999E-2</v>
      </c>
      <c r="DE81" s="73">
        <v>78</v>
      </c>
      <c r="DF81" s="72">
        <f t="shared" si="3"/>
        <v>0</v>
      </c>
      <c r="DG81" s="166"/>
      <c r="DJ81" s="25"/>
      <c r="DK81" s="25"/>
      <c r="DL81" s="25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</row>
    <row r="82" spans="1:298" s="26" customFormat="1" ht="15.95" hidden="1" customHeight="1" x14ac:dyDescent="0.3">
      <c r="A82" s="172"/>
      <c r="B82" s="172"/>
      <c r="C82" s="172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  <c r="AM82" s="173"/>
      <c r="AN82" s="173"/>
      <c r="AO82" s="173"/>
      <c r="AP82" s="173"/>
      <c r="AQ82" s="173"/>
      <c r="AR82" s="173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4"/>
      <c r="BZ82" s="172"/>
      <c r="CA82" s="172"/>
      <c r="CB82" s="24"/>
      <c r="CC82" s="25"/>
      <c r="CH82" s="188"/>
      <c r="CI82" s="50">
        <f>IF(CI81=0,0,ROUNDDOWN(IF($CI$81&gt;=7500000,$CI$81*0.6%,$CI$81*0.4%+15000),0))</f>
        <v>320340</v>
      </c>
      <c r="CL82" s="28"/>
      <c r="CM82" s="28"/>
      <c r="CO82" s="29"/>
      <c r="CP82" s="28"/>
      <c r="CQ82" s="28"/>
      <c r="CR82" s="28"/>
      <c r="CS82" s="28"/>
      <c r="CT82" s="28"/>
      <c r="CU82" s="28"/>
      <c r="CW82" s="85"/>
      <c r="CX82" s="69" t="str">
        <f>견적관리자용!$S$14</f>
        <v>화물(0.6~1톤 미만)</v>
      </c>
      <c r="CY82" s="70">
        <v>0</v>
      </c>
      <c r="CZ82" s="125">
        <v>1.4999999999999999E-2</v>
      </c>
      <c r="DA82" s="125">
        <v>1.4999999999999999E-2</v>
      </c>
      <c r="DB82" s="125">
        <v>1.4999999999999999E-2</v>
      </c>
      <c r="DC82" s="125">
        <v>1.4999999999999999E-2</v>
      </c>
      <c r="DD82" s="72">
        <f t="shared" si="4"/>
        <v>1.4999999999999999E-2</v>
      </c>
      <c r="DE82" s="73">
        <v>79</v>
      </c>
      <c r="DF82" s="72">
        <f t="shared" si="3"/>
        <v>0</v>
      </c>
      <c r="DG82" s="166"/>
      <c r="DJ82" s="25"/>
      <c r="DK82" s="25"/>
      <c r="DL82" s="25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</row>
    <row r="83" spans="1:298" s="26" customFormat="1" ht="15.95" hidden="1" customHeight="1" x14ac:dyDescent="0.3">
      <c r="A83" s="172"/>
      <c r="B83" s="172"/>
      <c r="C83" s="172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4"/>
      <c r="BZ83" s="172"/>
      <c r="CA83" s="172"/>
      <c r="CB83" s="24"/>
      <c r="CC83" s="25"/>
      <c r="CH83" s="103" t="s">
        <v>170</v>
      </c>
      <c r="CI83" s="104">
        <f>IF($BD$15="이용자명의",$CI$82,0)</f>
        <v>0</v>
      </c>
      <c r="CL83" s="28"/>
      <c r="CM83" s="28"/>
      <c r="CO83" s="29"/>
      <c r="CP83" s="28"/>
      <c r="CQ83" s="28"/>
      <c r="CR83" s="28"/>
      <c r="CS83" s="28"/>
      <c r="CT83" s="28"/>
      <c r="CU83" s="28"/>
      <c r="CW83" s="85"/>
      <c r="CX83" s="69" t="str">
        <f>견적관리자용!$S$15</f>
        <v>화물(1~2.5톤 미만)</v>
      </c>
      <c r="CY83" s="70">
        <v>0</v>
      </c>
      <c r="CZ83" s="125">
        <v>1.4999999999999999E-2</v>
      </c>
      <c r="DA83" s="125">
        <v>1.4999999999999999E-2</v>
      </c>
      <c r="DB83" s="125">
        <v>1.4999999999999999E-2</v>
      </c>
      <c r="DC83" s="125">
        <v>1.4999999999999999E-2</v>
      </c>
      <c r="DD83" s="72">
        <f t="shared" si="4"/>
        <v>1.4999999999999999E-2</v>
      </c>
      <c r="DE83" s="73">
        <v>80</v>
      </c>
      <c r="DF83" s="72">
        <f t="shared" si="3"/>
        <v>0</v>
      </c>
      <c r="DG83" s="166"/>
      <c r="DJ83" s="25"/>
      <c r="DK83" s="25"/>
      <c r="DL83" s="25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</row>
    <row r="84" spans="1:298" s="26" customFormat="1" ht="15.95" hidden="1" customHeight="1" x14ac:dyDescent="0.3">
      <c r="A84" s="172"/>
      <c r="B84" s="172"/>
      <c r="C84" s="172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4"/>
      <c r="BZ84" s="172"/>
      <c r="CA84" s="172"/>
      <c r="CB84" s="24"/>
      <c r="CC84" s="25"/>
      <c r="CH84" s="35" t="s">
        <v>175</v>
      </c>
      <c r="CI84" s="57">
        <f>+IF($BD$29="신차보상보험(1년)",견적관리자용!$M$33,IF($BD$29="신차보상보험(3년)",견적관리자용!$M$34,0))</f>
        <v>0</v>
      </c>
      <c r="CL84" s="28"/>
      <c r="CM84" s="28"/>
      <c r="CO84" s="29"/>
      <c r="CP84" s="28"/>
      <c r="CQ84" s="28"/>
      <c r="CR84" s="28"/>
      <c r="CS84" s="28"/>
      <c r="CT84" s="28"/>
      <c r="CU84" s="28"/>
      <c r="CW84" s="85"/>
      <c r="CX84" s="69" t="str">
        <f>견적관리자용!$S$16</f>
        <v>화물(2.5~4.6톤 미만)</v>
      </c>
      <c r="CY84" s="70">
        <v>0</v>
      </c>
      <c r="CZ84" s="125">
        <v>1.4999999999999999E-2</v>
      </c>
      <c r="DA84" s="125">
        <v>1.4999999999999999E-2</v>
      </c>
      <c r="DB84" s="125">
        <v>1.4999999999999999E-2</v>
      </c>
      <c r="DC84" s="125">
        <v>1.4999999999999999E-2</v>
      </c>
      <c r="DD84" s="72">
        <f t="shared" si="4"/>
        <v>1.4999999999999999E-2</v>
      </c>
      <c r="DE84" s="73">
        <v>81</v>
      </c>
      <c r="DF84" s="72">
        <f t="shared" si="3"/>
        <v>0</v>
      </c>
      <c r="DG84" s="166"/>
      <c r="DJ84" s="25"/>
      <c r="DK84" s="25"/>
      <c r="DL84" s="25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</row>
    <row r="85" spans="1:298" s="26" customFormat="1" ht="15.95" hidden="1" customHeight="1" x14ac:dyDescent="0.3">
      <c r="A85" s="172"/>
      <c r="B85" s="172"/>
      <c r="C85" s="172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4"/>
      <c r="BZ85" s="172"/>
      <c r="CA85" s="172"/>
      <c r="CB85" s="24"/>
      <c r="CC85" s="25"/>
      <c r="CH85" s="66" t="s">
        <v>172</v>
      </c>
      <c r="CI85" s="41">
        <f>$BD$27</f>
        <v>0</v>
      </c>
      <c r="CL85" s="28"/>
      <c r="CM85" s="28"/>
      <c r="CO85" s="29"/>
      <c r="CP85" s="28"/>
      <c r="CQ85" s="28"/>
      <c r="CR85" s="28"/>
      <c r="CS85" s="28"/>
      <c r="CT85" s="28"/>
      <c r="CU85" s="28"/>
      <c r="CW85" s="90"/>
      <c r="CX85" s="91" t="str">
        <f>견적관리자용!$S$17</f>
        <v>화물(4.6톤 이상)</v>
      </c>
      <c r="CY85" s="92">
        <v>0</v>
      </c>
      <c r="CZ85" s="180">
        <v>1.4999999999999999E-2</v>
      </c>
      <c r="DA85" s="180">
        <v>1.4999999999999999E-2</v>
      </c>
      <c r="DB85" s="180">
        <v>1.4999999999999999E-2</v>
      </c>
      <c r="DC85" s="180">
        <v>1.4999999999999999E-2</v>
      </c>
      <c r="DD85" s="93">
        <f t="shared" si="4"/>
        <v>1.4999999999999999E-2</v>
      </c>
      <c r="DE85" s="94">
        <v>82</v>
      </c>
      <c r="DF85" s="93">
        <f t="shared" si="3"/>
        <v>0</v>
      </c>
      <c r="DG85" s="181"/>
      <c r="DJ85" s="25"/>
      <c r="DK85" s="25"/>
      <c r="DL85" s="25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</row>
    <row r="86" spans="1:298" s="26" customFormat="1" ht="15.95" hidden="1" customHeight="1" x14ac:dyDescent="0.3">
      <c r="A86" s="172"/>
      <c r="B86" s="172"/>
      <c r="C86" s="172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4"/>
      <c r="BZ86" s="172"/>
      <c r="CA86" s="172"/>
      <c r="CB86" s="24"/>
      <c r="CC86" s="25"/>
      <c r="CH86" s="185" t="s">
        <v>191</v>
      </c>
      <c r="CI86" s="97">
        <f>ROUNDUP($CI$85/12,-2)</f>
        <v>0</v>
      </c>
      <c r="CL86" s="28"/>
      <c r="CM86" s="28"/>
      <c r="CO86" s="29"/>
      <c r="CP86" s="28"/>
      <c r="CQ86" s="28"/>
      <c r="CR86" s="28"/>
      <c r="CS86" s="28"/>
      <c r="CT86" s="28"/>
      <c r="CU86" s="28"/>
      <c r="CW86" s="68" t="s">
        <v>105</v>
      </c>
      <c r="CX86" s="124" t="str">
        <f>견적관리자용!$S$8</f>
        <v>승용일반</v>
      </c>
      <c r="CY86" s="70">
        <v>0</v>
      </c>
      <c r="CZ86" s="125">
        <v>0.06</v>
      </c>
      <c r="DA86" s="125">
        <v>0.06</v>
      </c>
      <c r="DB86" s="125">
        <v>0.08</v>
      </c>
      <c r="DC86" s="125">
        <v>0.12</v>
      </c>
      <c r="DD86" s="72">
        <f t="shared" si="4"/>
        <v>0.08</v>
      </c>
      <c r="DE86" s="73">
        <v>83</v>
      </c>
      <c r="DF86" s="72">
        <f t="shared" si="3"/>
        <v>0.08</v>
      </c>
      <c r="DG86" s="166">
        <f>SUM(DF86:DF95)</f>
        <v>0.08</v>
      </c>
      <c r="DJ86" s="25"/>
      <c r="DK86" s="25"/>
      <c r="DL86" s="25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</row>
    <row r="87" spans="1:298" s="26" customFormat="1" ht="15.95" hidden="1" customHeight="1" x14ac:dyDescent="0.3">
      <c r="A87" s="172"/>
      <c r="B87" s="172"/>
      <c r="C87" s="172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4"/>
      <c r="BZ87" s="172"/>
      <c r="CA87" s="172"/>
      <c r="CB87" s="24"/>
      <c r="CC87" s="25"/>
      <c r="CH87" s="35" t="s">
        <v>187</v>
      </c>
      <c r="CI87" s="57">
        <f>$BD$28</f>
        <v>0</v>
      </c>
      <c r="CL87" s="28"/>
      <c r="CM87" s="28"/>
      <c r="CO87" s="29"/>
      <c r="CP87" s="28"/>
      <c r="CQ87" s="28"/>
      <c r="CR87" s="28"/>
      <c r="CS87" s="28"/>
      <c r="CT87" s="28"/>
      <c r="CU87" s="28"/>
      <c r="CW87" s="68" t="s">
        <v>106</v>
      </c>
      <c r="CX87" s="69" t="str">
        <f>견적관리자용!$S$9</f>
        <v>승용SUV(~5인)</v>
      </c>
      <c r="CY87" s="70">
        <v>0</v>
      </c>
      <c r="CZ87" s="71">
        <v>0.06</v>
      </c>
      <c r="DA87" s="71">
        <v>0.06</v>
      </c>
      <c r="DB87" s="71">
        <v>0.08</v>
      </c>
      <c r="DC87" s="71">
        <v>0.12</v>
      </c>
      <c r="DD87" s="72">
        <f t="shared" si="4"/>
        <v>0.08</v>
      </c>
      <c r="DE87" s="73">
        <v>84</v>
      </c>
      <c r="DF87" s="72">
        <f t="shared" si="3"/>
        <v>0</v>
      </c>
      <c r="DG87" s="166"/>
      <c r="DJ87" s="25"/>
      <c r="DK87" s="25"/>
      <c r="DL87" s="25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</row>
    <row r="88" spans="1:298" s="26" customFormat="1" ht="15.95" hidden="1" customHeight="1" x14ac:dyDescent="0.3">
      <c r="A88" s="172"/>
      <c r="B88" s="172"/>
      <c r="C88" s="172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4"/>
      <c r="BZ88" s="172"/>
      <c r="CA88" s="172"/>
      <c r="CB88" s="24"/>
      <c r="CC88" s="25"/>
      <c r="CH88" s="66" t="s">
        <v>252</v>
      </c>
      <c r="CI88" s="41" t="e">
        <f>CI56+CI70+CI79</f>
        <v>#N/A</v>
      </c>
      <c r="CL88" s="28"/>
      <c r="CM88" s="28"/>
      <c r="CO88" s="29"/>
      <c r="CP88" s="28"/>
      <c r="CQ88" s="28"/>
      <c r="CR88" s="28"/>
      <c r="CS88" s="28"/>
      <c r="CT88" s="28"/>
      <c r="CU88" s="28"/>
      <c r="CW88" s="68"/>
      <c r="CX88" s="69" t="str">
        <f>견적관리자용!$S$10</f>
        <v>승용SUV(7~10인)</v>
      </c>
      <c r="CY88" s="70">
        <v>0</v>
      </c>
      <c r="CZ88" s="71">
        <v>0.06</v>
      </c>
      <c r="DA88" s="71">
        <v>0.06</v>
      </c>
      <c r="DB88" s="71">
        <v>0.08</v>
      </c>
      <c r="DC88" s="71">
        <v>0.12</v>
      </c>
      <c r="DD88" s="72">
        <f t="shared" si="4"/>
        <v>0.08</v>
      </c>
      <c r="DE88" s="73">
        <v>85</v>
      </c>
      <c r="DF88" s="72">
        <f t="shared" si="3"/>
        <v>0</v>
      </c>
      <c r="DG88" s="166"/>
      <c r="DJ88" s="25"/>
      <c r="DK88" s="25"/>
      <c r="DL88" s="25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</row>
    <row r="89" spans="1:298" s="26" customFormat="1" ht="15.95" hidden="1" customHeight="1" x14ac:dyDescent="0.3">
      <c r="A89" s="172"/>
      <c r="B89" s="172"/>
      <c r="C89" s="172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4"/>
      <c r="BZ89" s="172"/>
      <c r="CA89" s="172"/>
      <c r="CB89" s="24"/>
      <c r="CC89" s="25"/>
      <c r="CH89" s="89"/>
      <c r="CI89" s="259" t="e">
        <f>CI88/CI23</f>
        <v>#N/A</v>
      </c>
      <c r="CL89" s="28"/>
      <c r="CM89" s="28"/>
      <c r="CO89" s="29"/>
      <c r="CP89" s="28"/>
      <c r="CQ89" s="28"/>
      <c r="CR89" s="28"/>
      <c r="CS89" s="28"/>
      <c r="CT89" s="28"/>
      <c r="CU89" s="28"/>
      <c r="CW89" s="68"/>
      <c r="CX89" s="69" t="str">
        <f>견적관리자용!$S$11</f>
        <v>승합(11~15인)</v>
      </c>
      <c r="CY89" s="70">
        <v>0</v>
      </c>
      <c r="CZ89" s="125">
        <v>0.03</v>
      </c>
      <c r="DA89" s="125">
        <v>0.03</v>
      </c>
      <c r="DB89" s="125">
        <v>0.03</v>
      </c>
      <c r="DC89" s="125">
        <v>0.03</v>
      </c>
      <c r="DD89" s="72">
        <f t="shared" si="4"/>
        <v>0.03</v>
      </c>
      <c r="DE89" s="73">
        <v>86</v>
      </c>
      <c r="DF89" s="72">
        <f t="shared" si="3"/>
        <v>0</v>
      </c>
      <c r="DG89" s="166"/>
      <c r="DJ89" s="25"/>
      <c r="DK89" s="25"/>
      <c r="DL89" s="25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</row>
    <row r="90" spans="1:298" s="26" customFormat="1" ht="15.95" hidden="1" customHeight="1" x14ac:dyDescent="0.3">
      <c r="A90" s="172"/>
      <c r="B90" s="172"/>
      <c r="C90" s="172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4"/>
      <c r="BZ90" s="172"/>
      <c r="CA90" s="172"/>
      <c r="CB90" s="24"/>
      <c r="CC90" s="25"/>
      <c r="CH90" s="89" t="s">
        <v>254</v>
      </c>
      <c r="CI90" s="50">
        <f>CI23*2.25%+50000</f>
        <v>1251090.7249999999</v>
      </c>
      <c r="CL90" s="28"/>
      <c r="CM90" s="28"/>
      <c r="CO90" s="29"/>
      <c r="CP90" s="28"/>
      <c r="CQ90" s="28"/>
      <c r="CR90" s="28"/>
      <c r="CS90" s="28"/>
      <c r="CT90" s="28"/>
      <c r="CU90" s="28"/>
      <c r="CW90" s="68"/>
      <c r="CX90" s="69" t="str">
        <f>견적관리자용!$S$12</f>
        <v>화물(1000cc 미만)</v>
      </c>
      <c r="CY90" s="70">
        <v>0</v>
      </c>
      <c r="CZ90" s="70">
        <v>0</v>
      </c>
      <c r="DA90" s="80">
        <v>0</v>
      </c>
      <c r="DB90" s="80">
        <v>0</v>
      </c>
      <c r="DC90" s="80">
        <v>0</v>
      </c>
      <c r="DD90" s="72">
        <f t="shared" si="4"/>
        <v>0</v>
      </c>
      <c r="DE90" s="73">
        <v>87</v>
      </c>
      <c r="DF90" s="72">
        <f t="shared" si="3"/>
        <v>0</v>
      </c>
      <c r="DG90" s="166"/>
      <c r="DJ90" s="25"/>
      <c r="DK90" s="25"/>
      <c r="DL90" s="25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</row>
    <row r="91" spans="1:298" s="26" customFormat="1" ht="15.95" hidden="1" customHeight="1" x14ac:dyDescent="0.3">
      <c r="A91" s="172"/>
      <c r="B91" s="172"/>
      <c r="C91" s="172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/>
      <c r="AR91" s="173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4"/>
      <c r="BZ91" s="172"/>
      <c r="CA91" s="172"/>
      <c r="CB91" s="24"/>
      <c r="CC91" s="25"/>
      <c r="CH91" s="89" t="s">
        <v>255</v>
      </c>
      <c r="CI91" s="50" t="e">
        <f>CI90-CI88</f>
        <v>#N/A</v>
      </c>
      <c r="CL91" s="28"/>
      <c r="CM91" s="28"/>
      <c r="CO91" s="29"/>
      <c r="CP91" s="28"/>
      <c r="CQ91" s="28"/>
      <c r="CR91" s="28"/>
      <c r="CS91" s="28"/>
      <c r="CT91" s="28"/>
      <c r="CU91" s="28"/>
      <c r="CW91" s="85"/>
      <c r="CX91" s="69" t="str">
        <f>견적관리자용!$S$13</f>
        <v>화물(0.6톤 미만)</v>
      </c>
      <c r="CY91" s="70">
        <v>0</v>
      </c>
      <c r="CZ91" s="125">
        <v>0.03</v>
      </c>
      <c r="DA91" s="125">
        <v>0.03</v>
      </c>
      <c r="DB91" s="125">
        <v>0.03</v>
      </c>
      <c r="DC91" s="125">
        <v>0.03</v>
      </c>
      <c r="DD91" s="72">
        <f t="shared" si="4"/>
        <v>0.03</v>
      </c>
      <c r="DE91" s="73">
        <v>88</v>
      </c>
      <c r="DF91" s="72">
        <f t="shared" si="3"/>
        <v>0</v>
      </c>
      <c r="DG91" s="166"/>
      <c r="DJ91" s="25"/>
      <c r="DK91" s="25"/>
      <c r="DL91" s="25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</row>
    <row r="92" spans="1:298" s="26" customFormat="1" ht="15.95" hidden="1" customHeight="1" x14ac:dyDescent="0.3">
      <c r="A92" s="172"/>
      <c r="B92" s="172"/>
      <c r="C92" s="172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  <c r="AQ92" s="173"/>
      <c r="AR92" s="173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4"/>
      <c r="BZ92" s="172"/>
      <c r="CA92" s="172"/>
      <c r="CB92" s="24"/>
      <c r="CC92" s="25"/>
      <c r="CH92" s="103" t="s">
        <v>256</v>
      </c>
      <c r="CI92" s="260" t="e">
        <f>ROUNDDOWN(CI91/CI23,4)</f>
        <v>#N/A</v>
      </c>
      <c r="CL92" s="28"/>
      <c r="CM92" s="28"/>
      <c r="CO92" s="29"/>
      <c r="CP92" s="28"/>
      <c r="CQ92" s="28"/>
      <c r="CR92" s="28"/>
      <c r="CS92" s="28"/>
      <c r="CT92" s="28"/>
      <c r="CU92" s="28"/>
      <c r="CW92" s="85"/>
      <c r="CX92" s="69" t="str">
        <f>견적관리자용!$S$14</f>
        <v>화물(0.6~1톤 미만)</v>
      </c>
      <c r="CY92" s="70">
        <v>0</v>
      </c>
      <c r="CZ92" s="125">
        <v>0.03</v>
      </c>
      <c r="DA92" s="125">
        <v>0.03</v>
      </c>
      <c r="DB92" s="125">
        <v>0.03</v>
      </c>
      <c r="DC92" s="125">
        <v>0.03</v>
      </c>
      <c r="DD92" s="72">
        <f t="shared" si="4"/>
        <v>0.03</v>
      </c>
      <c r="DE92" s="73">
        <v>89</v>
      </c>
      <c r="DF92" s="72">
        <f t="shared" si="3"/>
        <v>0</v>
      </c>
      <c r="DG92" s="166"/>
      <c r="DJ92" s="25"/>
      <c r="DK92" s="25"/>
      <c r="DL92" s="25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</row>
    <row r="93" spans="1:298" s="26" customFormat="1" ht="15.95" hidden="1" customHeight="1" x14ac:dyDescent="0.3">
      <c r="A93" s="172"/>
      <c r="B93" s="172"/>
      <c r="C93" s="172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  <c r="AQ93" s="173"/>
      <c r="AR93" s="173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4"/>
      <c r="BZ93" s="172"/>
      <c r="CA93" s="172"/>
      <c r="CB93" s="24"/>
      <c r="CC93" s="25"/>
      <c r="CH93" s="27"/>
      <c r="CL93" s="28"/>
      <c r="CM93" s="28"/>
      <c r="CO93" s="29"/>
      <c r="CP93" s="28"/>
      <c r="CQ93" s="28"/>
      <c r="CR93" s="28"/>
      <c r="CS93" s="28"/>
      <c r="CT93" s="28"/>
      <c r="CU93" s="28"/>
      <c r="CW93" s="85"/>
      <c r="CX93" s="69" t="str">
        <f>견적관리자용!$S$15</f>
        <v>화물(1~2.5톤 미만)</v>
      </c>
      <c r="CY93" s="70">
        <v>0</v>
      </c>
      <c r="CZ93" s="125">
        <v>0.03</v>
      </c>
      <c r="DA93" s="125">
        <v>0.03</v>
      </c>
      <c r="DB93" s="125">
        <v>0.03</v>
      </c>
      <c r="DC93" s="125">
        <v>0.03</v>
      </c>
      <c r="DD93" s="72">
        <f t="shared" si="4"/>
        <v>0.03</v>
      </c>
      <c r="DE93" s="73">
        <v>90</v>
      </c>
      <c r="DF93" s="72">
        <f t="shared" si="3"/>
        <v>0</v>
      </c>
      <c r="DG93" s="166"/>
      <c r="DJ93" s="25"/>
      <c r="DK93" s="25"/>
      <c r="DL93" s="25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</row>
    <row r="94" spans="1:298" s="26" customFormat="1" ht="15.95" hidden="1" customHeight="1" x14ac:dyDescent="0.3">
      <c r="A94" s="172"/>
      <c r="B94" s="172"/>
      <c r="C94" s="172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  <c r="AQ94" s="173"/>
      <c r="AR94" s="173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4"/>
      <c r="BZ94" s="172"/>
      <c r="CA94" s="172"/>
      <c r="CB94" s="24"/>
      <c r="CC94" s="25"/>
      <c r="CH94" s="27"/>
      <c r="CL94" s="28"/>
      <c r="CM94" s="28"/>
      <c r="CO94" s="29"/>
      <c r="CP94" s="28"/>
      <c r="CQ94" s="28"/>
      <c r="CR94" s="28"/>
      <c r="CS94" s="28"/>
      <c r="CT94" s="28"/>
      <c r="CU94" s="28"/>
      <c r="CW94" s="85"/>
      <c r="CX94" s="69" t="str">
        <f>견적관리자용!$S$16</f>
        <v>화물(2.5~4.6톤 미만)</v>
      </c>
      <c r="CY94" s="70">
        <v>0</v>
      </c>
      <c r="CZ94" s="125">
        <v>0.03</v>
      </c>
      <c r="DA94" s="125">
        <v>0.03</v>
      </c>
      <c r="DB94" s="125">
        <v>0.03</v>
      </c>
      <c r="DC94" s="125">
        <v>0.03</v>
      </c>
      <c r="DD94" s="72">
        <f t="shared" si="4"/>
        <v>0.03</v>
      </c>
      <c r="DE94" s="73">
        <v>91</v>
      </c>
      <c r="DF94" s="72">
        <f t="shared" si="3"/>
        <v>0</v>
      </c>
      <c r="DG94" s="166"/>
      <c r="DJ94" s="25"/>
      <c r="DK94" s="25"/>
      <c r="DL94" s="25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/>
    </row>
    <row r="95" spans="1:298" s="26" customFormat="1" ht="15.95" hidden="1" customHeight="1" x14ac:dyDescent="0.3">
      <c r="A95" s="172"/>
      <c r="B95" s="172"/>
      <c r="C95" s="172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4"/>
      <c r="BZ95" s="172"/>
      <c r="CA95" s="172"/>
      <c r="CB95" s="24"/>
      <c r="CC95" s="25"/>
      <c r="CH95" s="353" t="s">
        <v>643</v>
      </c>
      <c r="CI95" s="546">
        <f>VLOOKUP(BD6,차량DB!F:I,4,0)</f>
        <v>55800000</v>
      </c>
      <c r="CL95" s="28"/>
      <c r="CM95" s="28"/>
      <c r="CO95" s="29"/>
      <c r="CP95" s="28"/>
      <c r="CQ95" s="28"/>
      <c r="CR95" s="28"/>
      <c r="CS95" s="28"/>
      <c r="CT95" s="28"/>
      <c r="CU95" s="28"/>
      <c r="CW95" s="85"/>
      <c r="CX95" s="69" t="str">
        <f>견적관리자용!$S$17</f>
        <v>화물(4.6톤 이상)</v>
      </c>
      <c r="CY95" s="70">
        <v>0</v>
      </c>
      <c r="CZ95" s="180">
        <v>0.03</v>
      </c>
      <c r="DA95" s="180">
        <v>0.03</v>
      </c>
      <c r="DB95" s="180">
        <v>0.03</v>
      </c>
      <c r="DC95" s="180">
        <v>0.03</v>
      </c>
      <c r="DD95" s="72">
        <f t="shared" si="4"/>
        <v>0.03</v>
      </c>
      <c r="DE95" s="73">
        <v>92</v>
      </c>
      <c r="DF95" s="72">
        <f t="shared" si="3"/>
        <v>0</v>
      </c>
      <c r="DG95" s="166"/>
      <c r="DJ95" s="25"/>
      <c r="DK95" s="25"/>
      <c r="DL95" s="25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</row>
    <row r="96" spans="1:298" s="26" customFormat="1" ht="15.95" hidden="1" customHeight="1" x14ac:dyDescent="0.3">
      <c r="A96" s="172"/>
      <c r="B96" s="172"/>
      <c r="C96" s="172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4"/>
      <c r="BZ96" s="172"/>
      <c r="CA96" s="172"/>
      <c r="CB96" s="24"/>
      <c r="CC96" s="25"/>
      <c r="CH96" s="27"/>
      <c r="CL96" s="28"/>
      <c r="CM96" s="28"/>
      <c r="CO96" s="29"/>
      <c r="CP96" s="28"/>
      <c r="CQ96" s="28"/>
      <c r="CR96" s="28"/>
      <c r="CS96" s="28"/>
      <c r="CT96" s="28"/>
      <c r="CU96" s="28"/>
      <c r="CW96" s="58" t="s">
        <v>107</v>
      </c>
      <c r="CX96" s="59" t="str">
        <f>견적관리자용!$S$8</f>
        <v>승용일반</v>
      </c>
      <c r="CY96" s="60">
        <v>0</v>
      </c>
      <c r="CZ96" s="125">
        <f>IF($CI$9&gt;50000000,6%,0%)</f>
        <v>0</v>
      </c>
      <c r="DA96" s="125">
        <f>IF($CI$9&gt;50000000,6%,0%)</f>
        <v>0</v>
      </c>
      <c r="DB96" s="125">
        <f>IF($CI$9&gt;50000000,8%,0%)</f>
        <v>0</v>
      </c>
      <c r="DC96" s="125">
        <v>0.12</v>
      </c>
      <c r="DD96" s="62">
        <f t="shared" si="4"/>
        <v>0</v>
      </c>
      <c r="DE96" s="63">
        <v>93</v>
      </c>
      <c r="DF96" s="62">
        <f t="shared" si="3"/>
        <v>0</v>
      </c>
      <c r="DG96" s="163">
        <f>SUM(DF96:DF105)</f>
        <v>0</v>
      </c>
      <c r="DJ96" s="25"/>
      <c r="DK96" s="25"/>
      <c r="DL96" s="25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</row>
    <row r="97" spans="1:298" s="26" customFormat="1" ht="15.95" hidden="1" customHeight="1" x14ac:dyDescent="0.3">
      <c r="A97" s="172"/>
      <c r="B97" s="172"/>
      <c r="C97" s="172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4"/>
      <c r="BZ97" s="172"/>
      <c r="CA97" s="172"/>
      <c r="CB97" s="24"/>
      <c r="CC97" s="25"/>
      <c r="CH97" s="27"/>
      <c r="CL97" s="28"/>
      <c r="CM97" s="28"/>
      <c r="CO97" s="29"/>
      <c r="CP97" s="28"/>
      <c r="CQ97" s="28"/>
      <c r="CR97" s="28"/>
      <c r="CS97" s="28"/>
      <c r="CT97" s="28"/>
      <c r="CU97" s="28"/>
      <c r="CW97" s="68"/>
      <c r="CX97" s="69" t="str">
        <f>견적관리자용!$S$9</f>
        <v>승용SUV(~5인)</v>
      </c>
      <c r="CY97" s="70">
        <v>0</v>
      </c>
      <c r="CZ97" s="71">
        <f>IF($CI$9&gt;50000000,6%,0%)</f>
        <v>0</v>
      </c>
      <c r="DA97" s="71">
        <f>IF($CI$9&gt;50000000,6%,0%)</f>
        <v>0</v>
      </c>
      <c r="DB97" s="71">
        <f>IF($CI$9&gt;50000000,8%,0%)</f>
        <v>0</v>
      </c>
      <c r="DC97" s="71">
        <v>0.12</v>
      </c>
      <c r="DD97" s="72">
        <f t="shared" si="4"/>
        <v>0</v>
      </c>
      <c r="DE97" s="73">
        <v>94</v>
      </c>
      <c r="DF97" s="72">
        <f t="shared" si="3"/>
        <v>0</v>
      </c>
      <c r="DG97" s="166"/>
      <c r="DJ97" s="25"/>
      <c r="DK97" s="25"/>
      <c r="DL97" s="25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</row>
    <row r="98" spans="1:298" s="26" customFormat="1" ht="15.95" hidden="1" customHeight="1" x14ac:dyDescent="0.3">
      <c r="A98" s="172"/>
      <c r="B98" s="172"/>
      <c r="C98" s="172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4"/>
      <c r="BZ98" s="172"/>
      <c r="CA98" s="172"/>
      <c r="CB98" s="24"/>
      <c r="CC98" s="25"/>
      <c r="CH98" s="27"/>
      <c r="CL98" s="28"/>
      <c r="CM98" s="28"/>
      <c r="CO98" s="29"/>
      <c r="CP98" s="28"/>
      <c r="CQ98" s="28"/>
      <c r="CR98" s="28"/>
      <c r="CS98" s="28"/>
      <c r="CT98" s="28"/>
      <c r="CU98" s="28"/>
      <c r="CW98" s="68"/>
      <c r="CX98" s="69" t="str">
        <f>견적관리자용!$S$10</f>
        <v>승용SUV(7~10인)</v>
      </c>
      <c r="CY98" s="70">
        <v>0</v>
      </c>
      <c r="CZ98" s="71">
        <v>0.06</v>
      </c>
      <c r="DA98" s="71">
        <v>0.06</v>
      </c>
      <c r="DB98" s="71">
        <v>0.08</v>
      </c>
      <c r="DC98" s="71">
        <v>0.12</v>
      </c>
      <c r="DD98" s="72">
        <f t="shared" si="4"/>
        <v>0.08</v>
      </c>
      <c r="DE98" s="73">
        <v>95</v>
      </c>
      <c r="DF98" s="72">
        <f t="shared" si="3"/>
        <v>0</v>
      </c>
      <c r="DG98" s="166"/>
      <c r="DJ98" s="25"/>
      <c r="DK98" s="25"/>
      <c r="DL98" s="25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</row>
    <row r="99" spans="1:298" s="26" customFormat="1" ht="15.95" hidden="1" customHeight="1" x14ac:dyDescent="0.3">
      <c r="A99" s="172"/>
      <c r="B99" s="172"/>
      <c r="C99" s="172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3"/>
      <c r="AR99" s="173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4"/>
      <c r="BZ99" s="172"/>
      <c r="CA99" s="172"/>
      <c r="CB99" s="24"/>
      <c r="CC99" s="25"/>
      <c r="CH99" s="27"/>
      <c r="CL99" s="28"/>
      <c r="CM99" s="28"/>
      <c r="CO99" s="29"/>
      <c r="CP99" s="28"/>
      <c r="CQ99" s="28"/>
      <c r="CR99" s="28"/>
      <c r="CS99" s="28"/>
      <c r="CT99" s="28"/>
      <c r="CU99" s="28"/>
      <c r="CW99" s="68"/>
      <c r="CX99" s="69" t="str">
        <f>견적관리자용!$S$11</f>
        <v>승합(11~15인)</v>
      </c>
      <c r="CY99" s="70">
        <v>0</v>
      </c>
      <c r="CZ99" s="125">
        <v>0.03</v>
      </c>
      <c r="DA99" s="125">
        <v>0.03</v>
      </c>
      <c r="DB99" s="125">
        <v>0.03</v>
      </c>
      <c r="DC99" s="125">
        <v>0.03</v>
      </c>
      <c r="DD99" s="72">
        <f t="shared" si="4"/>
        <v>0.03</v>
      </c>
      <c r="DE99" s="73">
        <v>96</v>
      </c>
      <c r="DF99" s="72">
        <f t="shared" si="3"/>
        <v>0</v>
      </c>
      <c r="DG99" s="166"/>
      <c r="DJ99" s="25"/>
      <c r="DK99" s="25"/>
      <c r="DL99" s="25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</row>
    <row r="100" spans="1:298" s="26" customFormat="1" ht="15.95" hidden="1" customHeight="1" x14ac:dyDescent="0.3">
      <c r="A100" s="172"/>
      <c r="B100" s="172"/>
      <c r="C100" s="172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3"/>
      <c r="AR100" s="173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4"/>
      <c r="BZ100" s="172"/>
      <c r="CA100" s="172"/>
      <c r="CB100" s="24"/>
      <c r="CC100" s="25"/>
      <c r="CH100" s="27"/>
      <c r="CL100" s="28"/>
      <c r="CM100" s="28"/>
      <c r="CO100" s="29"/>
      <c r="CP100" s="28"/>
      <c r="CQ100" s="28"/>
      <c r="CR100" s="28"/>
      <c r="CS100" s="28"/>
      <c r="CT100" s="28"/>
      <c r="CU100" s="28"/>
      <c r="CW100" s="68"/>
      <c r="CX100" s="69" t="str">
        <f>견적관리자용!$S$12</f>
        <v>화물(1000cc 미만)</v>
      </c>
      <c r="CY100" s="70">
        <v>0</v>
      </c>
      <c r="CZ100" s="70">
        <v>0</v>
      </c>
      <c r="DA100" s="70">
        <v>0</v>
      </c>
      <c r="DB100" s="70">
        <v>0</v>
      </c>
      <c r="DC100" s="70">
        <v>0</v>
      </c>
      <c r="DD100" s="72">
        <f t="shared" si="4"/>
        <v>0</v>
      </c>
      <c r="DE100" s="73">
        <v>97</v>
      </c>
      <c r="DF100" s="72">
        <f t="shared" si="3"/>
        <v>0</v>
      </c>
      <c r="DG100" s="166"/>
      <c r="DJ100" s="25"/>
      <c r="DK100" s="25"/>
      <c r="DL100" s="25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</row>
    <row r="101" spans="1:298" s="26" customFormat="1" ht="15.95" hidden="1" customHeight="1" x14ac:dyDescent="0.3">
      <c r="A101" s="172"/>
      <c r="B101" s="172"/>
      <c r="C101" s="172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4"/>
      <c r="BZ101" s="172"/>
      <c r="CA101" s="172"/>
      <c r="CB101" s="24"/>
      <c r="CC101" s="25"/>
      <c r="CH101" s="27"/>
      <c r="CL101" s="28"/>
      <c r="CM101" s="28"/>
      <c r="CO101" s="29"/>
      <c r="CP101" s="28"/>
      <c r="CQ101" s="28"/>
      <c r="CR101" s="28"/>
      <c r="CS101" s="28"/>
      <c r="CT101" s="28"/>
      <c r="CU101" s="28"/>
      <c r="CW101" s="85"/>
      <c r="CX101" s="69" t="str">
        <f>견적관리자용!$S$13</f>
        <v>화물(0.6톤 미만)</v>
      </c>
      <c r="CY101" s="70">
        <v>0</v>
      </c>
      <c r="CZ101" s="125">
        <v>1.4999999999999999E-2</v>
      </c>
      <c r="DA101" s="125">
        <v>1.4999999999999999E-2</v>
      </c>
      <c r="DB101" s="125">
        <v>1.4999999999999999E-2</v>
      </c>
      <c r="DC101" s="125">
        <v>1.4999999999999999E-2</v>
      </c>
      <c r="DD101" s="72">
        <f t="shared" si="4"/>
        <v>1.4999999999999999E-2</v>
      </c>
      <c r="DE101" s="73">
        <v>98</v>
      </c>
      <c r="DF101" s="72">
        <f t="shared" si="3"/>
        <v>0</v>
      </c>
      <c r="DG101" s="166"/>
      <c r="DJ101" s="25"/>
      <c r="DK101" s="25"/>
      <c r="DL101" s="25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</row>
    <row r="102" spans="1:298" s="26" customFormat="1" ht="15.95" hidden="1" customHeight="1" x14ac:dyDescent="0.3">
      <c r="A102" s="172"/>
      <c r="B102" s="172"/>
      <c r="C102" s="172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4"/>
      <c r="BZ102" s="172"/>
      <c r="CA102" s="172"/>
      <c r="CB102" s="24"/>
      <c r="CC102" s="25"/>
      <c r="CH102" s="27"/>
      <c r="CL102" s="28"/>
      <c r="CM102" s="28"/>
      <c r="CO102" s="29"/>
      <c r="CP102" s="28"/>
      <c r="CQ102" s="28"/>
      <c r="CR102" s="28"/>
      <c r="CS102" s="28"/>
      <c r="CT102" s="28"/>
      <c r="CU102" s="28"/>
      <c r="CW102" s="85"/>
      <c r="CX102" s="69" t="str">
        <f>견적관리자용!$S$14</f>
        <v>화물(0.6~1톤 미만)</v>
      </c>
      <c r="CY102" s="70">
        <v>0</v>
      </c>
      <c r="CZ102" s="125">
        <v>1.4999999999999999E-2</v>
      </c>
      <c r="DA102" s="125">
        <v>1.4999999999999999E-2</v>
      </c>
      <c r="DB102" s="125">
        <v>1.4999999999999999E-2</v>
      </c>
      <c r="DC102" s="125">
        <v>1.4999999999999999E-2</v>
      </c>
      <c r="DD102" s="72">
        <f t="shared" si="4"/>
        <v>1.4999999999999999E-2</v>
      </c>
      <c r="DE102" s="73">
        <v>99</v>
      </c>
      <c r="DF102" s="72">
        <f t="shared" si="3"/>
        <v>0</v>
      </c>
      <c r="DG102" s="166"/>
      <c r="DJ102" s="25"/>
      <c r="DK102" s="25"/>
      <c r="DL102" s="25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</row>
    <row r="103" spans="1:298" s="26" customFormat="1" ht="15.95" hidden="1" customHeight="1" x14ac:dyDescent="0.3">
      <c r="A103" s="172"/>
      <c r="B103" s="172"/>
      <c r="C103" s="172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4"/>
      <c r="BZ103" s="172"/>
      <c r="CA103" s="172"/>
      <c r="CB103" s="24"/>
      <c r="CC103" s="25"/>
      <c r="CH103" s="27"/>
      <c r="CL103" s="28"/>
      <c r="CM103" s="28"/>
      <c r="CO103" s="29"/>
      <c r="CP103" s="28"/>
      <c r="CQ103" s="28"/>
      <c r="CR103" s="28"/>
      <c r="CS103" s="28"/>
      <c r="CT103" s="28"/>
      <c r="CU103" s="28"/>
      <c r="CW103" s="85"/>
      <c r="CX103" s="69" t="str">
        <f>견적관리자용!$S$15</f>
        <v>화물(1~2.5톤 미만)</v>
      </c>
      <c r="CY103" s="70">
        <v>0</v>
      </c>
      <c r="CZ103" s="125">
        <v>0.03</v>
      </c>
      <c r="DA103" s="125">
        <v>0.03</v>
      </c>
      <c r="DB103" s="125">
        <v>0.03</v>
      </c>
      <c r="DC103" s="125">
        <v>0.03</v>
      </c>
      <c r="DD103" s="72">
        <f t="shared" si="4"/>
        <v>0.03</v>
      </c>
      <c r="DE103" s="73">
        <v>100</v>
      </c>
      <c r="DF103" s="72">
        <f t="shared" si="3"/>
        <v>0</v>
      </c>
      <c r="DG103" s="166"/>
      <c r="DJ103" s="25"/>
      <c r="DK103" s="25"/>
      <c r="DL103" s="25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</row>
    <row r="104" spans="1:298" s="26" customFormat="1" ht="15.95" hidden="1" customHeight="1" x14ac:dyDescent="0.3">
      <c r="A104" s="172"/>
      <c r="B104" s="172"/>
      <c r="C104" s="172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4"/>
      <c r="BZ104" s="172"/>
      <c r="CA104" s="172"/>
      <c r="CB104" s="24"/>
      <c r="CC104" s="25"/>
      <c r="CH104" s="27"/>
      <c r="CL104" s="28"/>
      <c r="CM104" s="28"/>
      <c r="CO104" s="29"/>
      <c r="CP104" s="28"/>
      <c r="CQ104" s="28"/>
      <c r="CR104" s="28"/>
      <c r="CS104" s="28"/>
      <c r="CT104" s="28"/>
      <c r="CU104" s="28"/>
      <c r="CW104" s="85"/>
      <c r="CX104" s="69" t="str">
        <f>견적관리자용!$S$16</f>
        <v>화물(2.5~4.6톤 미만)</v>
      </c>
      <c r="CY104" s="70">
        <v>0</v>
      </c>
      <c r="CZ104" s="125">
        <v>0.03</v>
      </c>
      <c r="DA104" s="125">
        <v>0.03</v>
      </c>
      <c r="DB104" s="125">
        <v>0.03</v>
      </c>
      <c r="DC104" s="125">
        <v>0.03</v>
      </c>
      <c r="DD104" s="72">
        <f t="shared" si="4"/>
        <v>0.03</v>
      </c>
      <c r="DE104" s="73">
        <v>101</v>
      </c>
      <c r="DF104" s="72">
        <f t="shared" si="3"/>
        <v>0</v>
      </c>
      <c r="DG104" s="166"/>
      <c r="DJ104" s="25"/>
      <c r="DK104" s="25"/>
      <c r="DL104" s="25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</row>
    <row r="105" spans="1:298" s="26" customFormat="1" ht="15.95" hidden="1" customHeight="1" x14ac:dyDescent="0.3">
      <c r="A105" s="172"/>
      <c r="B105" s="172"/>
      <c r="C105" s="172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4"/>
      <c r="BZ105" s="172"/>
      <c r="CA105" s="172"/>
      <c r="CB105" s="24"/>
      <c r="CC105" s="25"/>
      <c r="CH105" s="27"/>
      <c r="CL105" s="28"/>
      <c r="CM105" s="28"/>
      <c r="CO105" s="29"/>
      <c r="CP105" s="28"/>
      <c r="CQ105" s="28"/>
      <c r="CR105" s="28"/>
      <c r="CS105" s="28"/>
      <c r="CT105" s="28"/>
      <c r="CU105" s="28"/>
      <c r="CW105" s="85"/>
      <c r="CX105" s="69" t="str">
        <f>견적관리자용!$S$17</f>
        <v>화물(4.6톤 이상)</v>
      </c>
      <c r="CY105" s="70">
        <v>0</v>
      </c>
      <c r="CZ105" s="125">
        <v>0.03</v>
      </c>
      <c r="DA105" s="125">
        <v>0.03</v>
      </c>
      <c r="DB105" s="125">
        <v>0.03</v>
      </c>
      <c r="DC105" s="125">
        <v>0.03</v>
      </c>
      <c r="DD105" s="72">
        <f t="shared" si="4"/>
        <v>0.03</v>
      </c>
      <c r="DE105" s="73">
        <v>102</v>
      </c>
      <c r="DF105" s="72">
        <f t="shared" si="3"/>
        <v>0</v>
      </c>
      <c r="DG105" s="166"/>
      <c r="DJ105" s="25"/>
      <c r="DK105" s="25"/>
      <c r="DL105" s="25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/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</row>
    <row r="106" spans="1:298" s="26" customFormat="1" ht="15.95" hidden="1" customHeight="1" x14ac:dyDescent="0.3">
      <c r="A106" s="172"/>
      <c r="B106" s="172"/>
      <c r="C106" s="172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4"/>
      <c r="BZ106" s="172"/>
      <c r="CA106" s="172"/>
      <c r="CB106" s="24"/>
      <c r="CC106" s="25"/>
      <c r="CH106" s="27"/>
      <c r="CL106" s="28"/>
      <c r="CM106" s="28"/>
      <c r="CO106" s="29"/>
      <c r="CP106" s="28"/>
      <c r="CQ106" s="28"/>
      <c r="CR106" s="28"/>
      <c r="CS106" s="28"/>
      <c r="CT106" s="28"/>
      <c r="CU106" s="28"/>
      <c r="CW106" s="58" t="s">
        <v>108</v>
      </c>
      <c r="CX106" s="59" t="str">
        <f>견적관리자용!$S$8</f>
        <v>승용일반</v>
      </c>
      <c r="CY106" s="60">
        <v>0</v>
      </c>
      <c r="CZ106" s="61">
        <v>0.04</v>
      </c>
      <c r="DA106" s="61">
        <v>0.04</v>
      </c>
      <c r="DB106" s="61">
        <v>0.04</v>
      </c>
      <c r="DC106" s="61">
        <v>0.05</v>
      </c>
      <c r="DD106" s="62">
        <f t="shared" si="4"/>
        <v>0.04</v>
      </c>
      <c r="DE106" s="63">
        <v>103</v>
      </c>
      <c r="DF106" s="62">
        <f t="shared" si="3"/>
        <v>0.04</v>
      </c>
      <c r="DG106" s="163">
        <f>SUM(DF106:DF115)</f>
        <v>0.04</v>
      </c>
      <c r="DJ106" s="25"/>
      <c r="DK106" s="25"/>
      <c r="DL106" s="25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/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</row>
    <row r="107" spans="1:298" s="26" customFormat="1" ht="15.95" hidden="1" customHeight="1" x14ac:dyDescent="0.3">
      <c r="A107" s="172"/>
      <c r="B107" s="172"/>
      <c r="C107" s="172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4"/>
      <c r="BZ107" s="172"/>
      <c r="CA107" s="172"/>
      <c r="CB107" s="24"/>
      <c r="CC107" s="25"/>
      <c r="CH107" s="27"/>
      <c r="CL107" s="28"/>
      <c r="CM107" s="28"/>
      <c r="CO107" s="29"/>
      <c r="CP107" s="28"/>
      <c r="CQ107" s="28"/>
      <c r="CR107" s="28"/>
      <c r="CS107" s="28"/>
      <c r="CT107" s="28"/>
      <c r="CU107" s="28"/>
      <c r="CW107" s="68"/>
      <c r="CX107" s="69" t="str">
        <f>견적관리자용!$S$9</f>
        <v>승용SUV(~5인)</v>
      </c>
      <c r="CY107" s="70">
        <v>0</v>
      </c>
      <c r="CZ107" s="71">
        <v>0.04</v>
      </c>
      <c r="DA107" s="71">
        <v>0.04</v>
      </c>
      <c r="DB107" s="71">
        <v>0.04</v>
      </c>
      <c r="DC107" s="71">
        <v>0.05</v>
      </c>
      <c r="DD107" s="72">
        <f t="shared" si="4"/>
        <v>0.04</v>
      </c>
      <c r="DE107" s="73">
        <v>104</v>
      </c>
      <c r="DF107" s="72">
        <f t="shared" si="3"/>
        <v>0</v>
      </c>
      <c r="DG107" s="166"/>
      <c r="DJ107" s="25"/>
      <c r="DK107" s="25"/>
      <c r="DL107" s="25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/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</row>
    <row r="108" spans="1:298" s="26" customFormat="1" ht="15.95" hidden="1" customHeight="1" x14ac:dyDescent="0.3">
      <c r="A108" s="172"/>
      <c r="B108" s="172"/>
      <c r="C108" s="172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4"/>
      <c r="BZ108" s="172"/>
      <c r="CA108" s="172"/>
      <c r="CB108" s="24"/>
      <c r="CC108" s="25"/>
      <c r="CH108" s="27"/>
      <c r="CL108" s="28"/>
      <c r="CM108" s="28"/>
      <c r="CO108" s="29"/>
      <c r="CP108" s="28"/>
      <c r="CQ108" s="28"/>
      <c r="CR108" s="28"/>
      <c r="CS108" s="28"/>
      <c r="CT108" s="28"/>
      <c r="CU108" s="28"/>
      <c r="CW108" s="68"/>
      <c r="CX108" s="69" t="str">
        <f>견적관리자용!$S$10</f>
        <v>승용SUV(7~10인)</v>
      </c>
      <c r="CY108" s="70">
        <v>0</v>
      </c>
      <c r="CZ108" s="71">
        <v>0.04</v>
      </c>
      <c r="DA108" s="71">
        <v>0.04</v>
      </c>
      <c r="DB108" s="71">
        <v>0.04</v>
      </c>
      <c r="DC108" s="71">
        <v>0.05</v>
      </c>
      <c r="DD108" s="72">
        <f t="shared" si="4"/>
        <v>0.04</v>
      </c>
      <c r="DE108" s="73">
        <v>105</v>
      </c>
      <c r="DF108" s="72">
        <f t="shared" si="3"/>
        <v>0</v>
      </c>
      <c r="DG108" s="166"/>
      <c r="DJ108" s="25"/>
      <c r="DK108" s="25"/>
      <c r="DL108" s="25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</row>
    <row r="109" spans="1:298" s="26" customFormat="1" ht="15.95" hidden="1" customHeight="1" x14ac:dyDescent="0.3">
      <c r="A109" s="172"/>
      <c r="B109" s="172"/>
      <c r="C109" s="172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4"/>
      <c r="BZ109" s="172"/>
      <c r="CA109" s="172"/>
      <c r="CB109" s="24"/>
      <c r="CC109" s="25"/>
      <c r="CH109" s="27"/>
      <c r="CL109" s="28"/>
      <c r="CM109" s="28"/>
      <c r="CO109" s="29"/>
      <c r="CP109" s="28"/>
      <c r="CQ109" s="28"/>
      <c r="CR109" s="28"/>
      <c r="CS109" s="28"/>
      <c r="CT109" s="28"/>
      <c r="CU109" s="28"/>
      <c r="CW109" s="68"/>
      <c r="CX109" s="69" t="str">
        <f>견적관리자용!$S$11</f>
        <v>승합(11~15인)</v>
      </c>
      <c r="CY109" s="70">
        <v>0</v>
      </c>
      <c r="CZ109" s="125">
        <v>0.03</v>
      </c>
      <c r="DA109" s="125">
        <v>0.03</v>
      </c>
      <c r="DB109" s="125">
        <v>0.03</v>
      </c>
      <c r="DC109" s="125">
        <v>0.03</v>
      </c>
      <c r="DD109" s="72">
        <f t="shared" si="4"/>
        <v>0.03</v>
      </c>
      <c r="DE109" s="73">
        <v>106</v>
      </c>
      <c r="DF109" s="72">
        <f t="shared" si="3"/>
        <v>0</v>
      </c>
      <c r="DG109" s="166"/>
      <c r="DJ109" s="25"/>
      <c r="DK109" s="25"/>
      <c r="DL109" s="25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</row>
    <row r="110" spans="1:298" s="26" customFormat="1" ht="15" hidden="1" customHeight="1" x14ac:dyDescent="0.3">
      <c r="A110" s="172"/>
      <c r="B110" s="172"/>
      <c r="C110" s="172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4"/>
      <c r="BZ110" s="172"/>
      <c r="CA110" s="172"/>
      <c r="CB110" s="24"/>
      <c r="CC110" s="25"/>
      <c r="CH110" s="27"/>
      <c r="CL110" s="28"/>
      <c r="CM110" s="28"/>
      <c r="CO110" s="29"/>
      <c r="CP110" s="28"/>
      <c r="CQ110" s="28"/>
      <c r="CR110" s="28"/>
      <c r="CS110" s="28"/>
      <c r="CT110" s="28"/>
      <c r="CU110" s="28"/>
      <c r="CW110" s="68"/>
      <c r="CX110" s="69" t="str">
        <f>견적관리자용!$S$12</f>
        <v>화물(1000cc 미만)</v>
      </c>
      <c r="CY110" s="70">
        <v>0</v>
      </c>
      <c r="CZ110" s="70">
        <v>0</v>
      </c>
      <c r="DA110" s="80">
        <v>0</v>
      </c>
      <c r="DB110" s="80">
        <v>0</v>
      </c>
      <c r="DC110" s="80">
        <v>0</v>
      </c>
      <c r="DD110" s="72">
        <f t="shared" si="4"/>
        <v>0</v>
      </c>
      <c r="DE110" s="73">
        <v>107</v>
      </c>
      <c r="DF110" s="72">
        <f t="shared" si="3"/>
        <v>0</v>
      </c>
      <c r="DG110" s="166"/>
      <c r="DJ110" s="25"/>
      <c r="DK110" s="25"/>
      <c r="DL110" s="25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</row>
    <row r="111" spans="1:298" s="26" customFormat="1" ht="15" hidden="1" customHeight="1" x14ac:dyDescent="0.3">
      <c r="A111" s="172"/>
      <c r="B111" s="172"/>
      <c r="C111" s="172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4"/>
      <c r="BZ111" s="172"/>
      <c r="CA111" s="172"/>
      <c r="CB111" s="24"/>
      <c r="CC111" s="25"/>
      <c r="CH111" s="27"/>
      <c r="CL111" s="28"/>
      <c r="CM111" s="28"/>
      <c r="CO111" s="29"/>
      <c r="CP111" s="28"/>
      <c r="CQ111" s="28"/>
      <c r="CR111" s="28"/>
      <c r="CS111" s="28"/>
      <c r="CT111" s="28"/>
      <c r="CU111" s="28"/>
      <c r="CW111" s="85"/>
      <c r="CX111" s="69" t="str">
        <f>견적관리자용!$S$13</f>
        <v>화물(0.6톤 미만)</v>
      </c>
      <c r="CY111" s="70">
        <v>0</v>
      </c>
      <c r="CZ111" s="125">
        <v>0.03</v>
      </c>
      <c r="DA111" s="125">
        <v>0.03</v>
      </c>
      <c r="DB111" s="125">
        <v>0.03</v>
      </c>
      <c r="DC111" s="125">
        <v>0.03</v>
      </c>
      <c r="DD111" s="72">
        <f t="shared" si="4"/>
        <v>0.03</v>
      </c>
      <c r="DE111" s="73">
        <v>108</v>
      </c>
      <c r="DF111" s="72">
        <f t="shared" si="3"/>
        <v>0</v>
      </c>
      <c r="DG111" s="166"/>
      <c r="DJ111" s="25"/>
      <c r="DK111" s="25"/>
      <c r="DL111" s="25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</row>
    <row r="112" spans="1:298" s="26" customFormat="1" ht="15" hidden="1" customHeight="1" x14ac:dyDescent="0.3">
      <c r="A112" s="172"/>
      <c r="B112" s="172"/>
      <c r="C112" s="172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4"/>
      <c r="BZ112" s="172"/>
      <c r="CA112" s="172"/>
      <c r="CB112" s="24"/>
      <c r="CC112" s="25"/>
      <c r="CH112" s="27"/>
      <c r="CL112" s="28"/>
      <c r="CM112" s="28"/>
      <c r="CO112" s="29"/>
      <c r="CP112" s="28"/>
      <c r="CQ112" s="28"/>
      <c r="CR112" s="28"/>
      <c r="CS112" s="28"/>
      <c r="CT112" s="28"/>
      <c r="CU112" s="28"/>
      <c r="CW112" s="85"/>
      <c r="CX112" s="69" t="str">
        <f>견적관리자용!$S$14</f>
        <v>화물(0.6~1톤 미만)</v>
      </c>
      <c r="CY112" s="70">
        <v>0</v>
      </c>
      <c r="CZ112" s="125">
        <v>0.03</v>
      </c>
      <c r="DA112" s="125">
        <v>0.03</v>
      </c>
      <c r="DB112" s="125">
        <v>0.03</v>
      </c>
      <c r="DC112" s="125">
        <v>0.03</v>
      </c>
      <c r="DD112" s="72">
        <f t="shared" si="4"/>
        <v>0.03</v>
      </c>
      <c r="DE112" s="73">
        <v>109</v>
      </c>
      <c r="DF112" s="72">
        <f t="shared" si="3"/>
        <v>0</v>
      </c>
      <c r="DG112" s="166"/>
      <c r="DJ112" s="25"/>
      <c r="DK112" s="25"/>
      <c r="DL112" s="25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</row>
    <row r="113" spans="1:298" s="26" customFormat="1" ht="15" hidden="1" customHeight="1" x14ac:dyDescent="0.3">
      <c r="A113" s="172"/>
      <c r="B113" s="172"/>
      <c r="C113" s="172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4"/>
      <c r="BZ113" s="172"/>
      <c r="CA113" s="172"/>
      <c r="CB113" s="24"/>
      <c r="CC113" s="25"/>
      <c r="CH113" s="27"/>
      <c r="CL113" s="28"/>
      <c r="CM113" s="28"/>
      <c r="CO113" s="29"/>
      <c r="CP113" s="28"/>
      <c r="CQ113" s="28"/>
      <c r="CR113" s="28"/>
      <c r="CS113" s="28"/>
      <c r="CT113" s="28"/>
      <c r="CU113" s="28"/>
      <c r="CW113" s="85"/>
      <c r="CX113" s="69" t="str">
        <f>견적관리자용!$S$15</f>
        <v>화물(1~2.5톤 미만)</v>
      </c>
      <c r="CY113" s="70">
        <v>0</v>
      </c>
      <c r="CZ113" s="125">
        <v>0.03</v>
      </c>
      <c r="DA113" s="125">
        <v>0.03</v>
      </c>
      <c r="DB113" s="125">
        <v>0.03</v>
      </c>
      <c r="DC113" s="125">
        <v>0.03</v>
      </c>
      <c r="DD113" s="72">
        <f t="shared" si="4"/>
        <v>0.03</v>
      </c>
      <c r="DE113" s="73">
        <v>110</v>
      </c>
      <c r="DF113" s="72">
        <f t="shared" si="3"/>
        <v>0</v>
      </c>
      <c r="DG113" s="166"/>
      <c r="DJ113" s="25"/>
      <c r="DK113" s="25"/>
      <c r="DL113" s="25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</row>
    <row r="114" spans="1:298" s="26" customFormat="1" ht="15" hidden="1" customHeight="1" x14ac:dyDescent="0.3">
      <c r="A114" s="172"/>
      <c r="B114" s="172"/>
      <c r="C114" s="172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4"/>
      <c r="BZ114" s="172"/>
      <c r="CA114" s="172"/>
      <c r="CB114" s="24"/>
      <c r="CC114" s="25"/>
      <c r="CH114" s="27"/>
      <c r="CL114" s="28"/>
      <c r="CM114" s="28"/>
      <c r="CO114" s="29"/>
      <c r="CP114" s="28"/>
      <c r="CQ114" s="28"/>
      <c r="CR114" s="28"/>
      <c r="CS114" s="28"/>
      <c r="CT114" s="28"/>
      <c r="CU114" s="28"/>
      <c r="CW114" s="85"/>
      <c r="CX114" s="69" t="str">
        <f>견적관리자용!$S$16</f>
        <v>화물(2.5~4.6톤 미만)</v>
      </c>
      <c r="CY114" s="70">
        <v>0</v>
      </c>
      <c r="CZ114" s="125">
        <v>0.03</v>
      </c>
      <c r="DA114" s="125">
        <v>0.03</v>
      </c>
      <c r="DB114" s="125">
        <v>0.03</v>
      </c>
      <c r="DC114" s="125">
        <v>0.03</v>
      </c>
      <c r="DD114" s="72">
        <f t="shared" si="4"/>
        <v>0.03</v>
      </c>
      <c r="DE114" s="73">
        <v>111</v>
      </c>
      <c r="DF114" s="72">
        <f t="shared" si="3"/>
        <v>0</v>
      </c>
      <c r="DG114" s="166"/>
      <c r="DJ114" s="25"/>
      <c r="DK114" s="25"/>
      <c r="DL114" s="25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</row>
    <row r="115" spans="1:298" s="26" customFormat="1" ht="15" hidden="1" customHeight="1" x14ac:dyDescent="0.3">
      <c r="A115" s="172"/>
      <c r="B115" s="172"/>
      <c r="C115" s="172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4"/>
      <c r="BZ115" s="172"/>
      <c r="CA115" s="172"/>
      <c r="CB115" s="24"/>
      <c r="CC115" s="25"/>
      <c r="CH115" s="27"/>
      <c r="CL115" s="28"/>
      <c r="CM115" s="28"/>
      <c r="CO115" s="29"/>
      <c r="CP115" s="28"/>
      <c r="CQ115" s="28"/>
      <c r="CR115" s="28"/>
      <c r="CS115" s="28"/>
      <c r="CT115" s="28"/>
      <c r="CU115" s="28"/>
      <c r="CW115" s="90"/>
      <c r="CX115" s="91" t="str">
        <f>견적관리자용!$S$17</f>
        <v>화물(4.6톤 이상)</v>
      </c>
      <c r="CY115" s="92">
        <v>0</v>
      </c>
      <c r="CZ115" s="180">
        <v>0.03</v>
      </c>
      <c r="DA115" s="180">
        <v>0.03</v>
      </c>
      <c r="DB115" s="180">
        <v>0.03</v>
      </c>
      <c r="DC115" s="180">
        <v>0.03</v>
      </c>
      <c r="DD115" s="93">
        <f t="shared" si="4"/>
        <v>0.03</v>
      </c>
      <c r="DE115" s="94">
        <v>112</v>
      </c>
      <c r="DF115" s="93">
        <f t="shared" si="3"/>
        <v>0</v>
      </c>
      <c r="DG115" s="181"/>
      <c r="DJ115" s="25"/>
      <c r="DK115" s="25"/>
      <c r="DL115" s="25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</row>
    <row r="116" spans="1:298" s="26" customFormat="1" ht="15" hidden="1" customHeight="1" x14ac:dyDescent="0.3">
      <c r="A116" s="172"/>
      <c r="B116" s="172"/>
      <c r="C116" s="172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4"/>
      <c r="BZ116" s="172"/>
      <c r="CA116" s="172"/>
      <c r="CB116" s="24"/>
      <c r="CC116" s="25"/>
      <c r="CH116" s="27"/>
      <c r="CL116" s="28"/>
      <c r="CM116" s="28"/>
      <c r="CO116" s="29"/>
      <c r="CP116" s="28"/>
      <c r="CQ116" s="28"/>
      <c r="CR116" s="28"/>
      <c r="CS116" s="28"/>
      <c r="CT116" s="28"/>
      <c r="CU116" s="28"/>
      <c r="CW116" s="58" t="s">
        <v>109</v>
      </c>
      <c r="CX116" s="59" t="str">
        <f>견적관리자용!$S$8</f>
        <v>승용일반</v>
      </c>
      <c r="CY116" s="60">
        <v>0</v>
      </c>
      <c r="CZ116" s="61">
        <v>0.06</v>
      </c>
      <c r="DA116" s="61">
        <v>0.06</v>
      </c>
      <c r="DB116" s="61">
        <v>0.08</v>
      </c>
      <c r="DC116" s="61">
        <v>0.12</v>
      </c>
      <c r="DD116" s="62">
        <f t="shared" si="4"/>
        <v>0.08</v>
      </c>
      <c r="DE116" s="63">
        <v>113</v>
      </c>
      <c r="DF116" s="62">
        <f t="shared" si="3"/>
        <v>0.08</v>
      </c>
      <c r="DG116" s="163">
        <f>SUM(DF116:DF125)</f>
        <v>0.08</v>
      </c>
      <c r="DJ116" s="25"/>
      <c r="DK116" s="25"/>
      <c r="DL116" s="25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</row>
    <row r="117" spans="1:298" s="26" customFormat="1" ht="15" hidden="1" customHeight="1" x14ac:dyDescent="0.3">
      <c r="A117" s="172"/>
      <c r="B117" s="172"/>
      <c r="C117" s="172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4"/>
      <c r="BZ117" s="172"/>
      <c r="CA117" s="172"/>
      <c r="CB117" s="24"/>
      <c r="CC117" s="25"/>
      <c r="CH117" s="27"/>
      <c r="CL117" s="28"/>
      <c r="CM117" s="28"/>
      <c r="CO117" s="29"/>
      <c r="CP117" s="28"/>
      <c r="CQ117" s="28"/>
      <c r="CR117" s="28"/>
      <c r="CS117" s="28"/>
      <c r="CT117" s="28"/>
      <c r="CU117" s="28"/>
      <c r="CW117" s="68"/>
      <c r="CX117" s="69" t="str">
        <f>견적관리자용!$S$9</f>
        <v>승용SUV(~5인)</v>
      </c>
      <c r="CY117" s="70">
        <v>0</v>
      </c>
      <c r="CZ117" s="71">
        <v>0.06</v>
      </c>
      <c r="DA117" s="71">
        <v>0.06</v>
      </c>
      <c r="DB117" s="71">
        <v>0.08</v>
      </c>
      <c r="DC117" s="71">
        <v>0.12</v>
      </c>
      <c r="DD117" s="72">
        <f t="shared" si="4"/>
        <v>0.08</v>
      </c>
      <c r="DE117" s="73">
        <v>114</v>
      </c>
      <c r="DF117" s="72">
        <f t="shared" si="3"/>
        <v>0</v>
      </c>
      <c r="DG117" s="166"/>
      <c r="DJ117" s="25"/>
      <c r="DK117" s="25"/>
      <c r="DL117" s="25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</row>
    <row r="118" spans="1:298" s="26" customFormat="1" ht="15" hidden="1" customHeight="1" x14ac:dyDescent="0.3">
      <c r="A118" s="172"/>
      <c r="B118" s="172"/>
      <c r="C118" s="172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4"/>
      <c r="BZ118" s="172"/>
      <c r="CA118" s="172"/>
      <c r="CB118" s="24"/>
      <c r="CC118" s="25"/>
      <c r="CH118" s="27"/>
      <c r="CL118" s="28"/>
      <c r="CM118" s="28"/>
      <c r="CO118" s="29"/>
      <c r="CP118" s="28"/>
      <c r="CQ118" s="28"/>
      <c r="CR118" s="28"/>
      <c r="CS118" s="28"/>
      <c r="CT118" s="28"/>
      <c r="CU118" s="28"/>
      <c r="CW118" s="68"/>
      <c r="CX118" s="69" t="str">
        <f>견적관리자용!$S$10</f>
        <v>승용SUV(7~10인)</v>
      </c>
      <c r="CY118" s="70">
        <v>0</v>
      </c>
      <c r="CZ118" s="71">
        <v>0.06</v>
      </c>
      <c r="DA118" s="71">
        <v>0.06</v>
      </c>
      <c r="DB118" s="71">
        <v>0.08</v>
      </c>
      <c r="DC118" s="71">
        <v>0.12</v>
      </c>
      <c r="DD118" s="72">
        <f t="shared" si="4"/>
        <v>0.08</v>
      </c>
      <c r="DE118" s="73">
        <v>115</v>
      </c>
      <c r="DF118" s="72">
        <f t="shared" si="3"/>
        <v>0</v>
      </c>
      <c r="DG118" s="166"/>
      <c r="DJ118" s="25"/>
      <c r="DK118" s="25"/>
      <c r="DL118" s="25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</row>
    <row r="119" spans="1:298" s="26" customFormat="1" ht="15" hidden="1" customHeight="1" x14ac:dyDescent="0.3">
      <c r="A119" s="172"/>
      <c r="B119" s="172"/>
      <c r="C119" s="172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4"/>
      <c r="BZ119" s="172"/>
      <c r="CA119" s="172"/>
      <c r="CB119" s="24"/>
      <c r="CC119" s="25"/>
      <c r="CH119" s="27"/>
      <c r="CL119" s="28"/>
      <c r="CM119" s="28"/>
      <c r="CO119" s="29"/>
      <c r="CP119" s="28"/>
      <c r="CQ119" s="28"/>
      <c r="CR119" s="28"/>
      <c r="CS119" s="28"/>
      <c r="CT119" s="28"/>
      <c r="CU119" s="28"/>
      <c r="CW119" s="68"/>
      <c r="CX119" s="69" t="str">
        <f>견적관리자용!$S$11</f>
        <v>승합(11~15인)</v>
      </c>
      <c r="CY119" s="70">
        <v>0</v>
      </c>
      <c r="CZ119" s="125">
        <v>0.03</v>
      </c>
      <c r="DA119" s="125">
        <v>0.03</v>
      </c>
      <c r="DB119" s="125">
        <v>0.03</v>
      </c>
      <c r="DC119" s="125">
        <v>0.03</v>
      </c>
      <c r="DD119" s="72">
        <f t="shared" si="4"/>
        <v>0.03</v>
      </c>
      <c r="DE119" s="73">
        <v>116</v>
      </c>
      <c r="DF119" s="72">
        <f t="shared" si="3"/>
        <v>0</v>
      </c>
      <c r="DG119" s="166"/>
      <c r="DJ119" s="25"/>
      <c r="DK119" s="25"/>
      <c r="DL119" s="25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</row>
    <row r="120" spans="1:298" s="26" customFormat="1" ht="15" hidden="1" customHeight="1" x14ac:dyDescent="0.3">
      <c r="A120" s="172"/>
      <c r="B120" s="172"/>
      <c r="C120" s="172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4"/>
      <c r="BZ120" s="172"/>
      <c r="CA120" s="172"/>
      <c r="CB120" s="24"/>
      <c r="CC120" s="25"/>
      <c r="CH120" s="27"/>
      <c r="CL120" s="28"/>
      <c r="CM120" s="28"/>
      <c r="CO120" s="29"/>
      <c r="CP120" s="28"/>
      <c r="CQ120" s="28"/>
      <c r="CR120" s="28"/>
      <c r="CS120" s="28"/>
      <c r="CT120" s="28"/>
      <c r="CU120" s="28"/>
      <c r="CW120" s="68"/>
      <c r="CX120" s="69" t="str">
        <f>견적관리자용!$S$12</f>
        <v>화물(1000cc 미만)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2">
        <f t="shared" si="4"/>
        <v>0</v>
      </c>
      <c r="DE120" s="73">
        <v>117</v>
      </c>
      <c r="DF120" s="72">
        <f t="shared" si="3"/>
        <v>0</v>
      </c>
      <c r="DG120" s="166"/>
      <c r="DJ120" s="25"/>
      <c r="DK120" s="25"/>
      <c r="DL120" s="25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</row>
    <row r="121" spans="1:298" s="26" customFormat="1" ht="15" hidden="1" customHeight="1" x14ac:dyDescent="0.3">
      <c r="A121" s="172"/>
      <c r="B121" s="172"/>
      <c r="C121" s="172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4"/>
      <c r="BZ121" s="172"/>
      <c r="CA121" s="172"/>
      <c r="CB121" s="24"/>
      <c r="CC121" s="25"/>
      <c r="CH121" s="27"/>
      <c r="CL121" s="28"/>
      <c r="CM121" s="28"/>
      <c r="CO121" s="29"/>
      <c r="CP121" s="28"/>
      <c r="CQ121" s="28"/>
      <c r="CR121" s="28"/>
      <c r="CS121" s="28"/>
      <c r="CT121" s="28"/>
      <c r="CU121" s="28"/>
      <c r="CW121" s="85"/>
      <c r="CX121" s="69" t="str">
        <f>견적관리자용!$S$13</f>
        <v>화물(0.6톤 미만)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2">
        <f t="shared" si="4"/>
        <v>0</v>
      </c>
      <c r="DE121" s="73">
        <v>118</v>
      </c>
      <c r="DF121" s="72">
        <f t="shared" si="3"/>
        <v>0</v>
      </c>
      <c r="DG121" s="166"/>
      <c r="DJ121" s="25"/>
      <c r="DK121" s="25"/>
      <c r="DL121" s="25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</row>
    <row r="122" spans="1:298" s="26" customFormat="1" ht="15" hidden="1" customHeight="1" x14ac:dyDescent="0.3">
      <c r="A122" s="172"/>
      <c r="B122" s="172"/>
      <c r="C122" s="172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4"/>
      <c r="BZ122" s="172"/>
      <c r="CA122" s="172"/>
      <c r="CB122" s="24"/>
      <c r="CC122" s="25"/>
      <c r="CH122" s="27"/>
      <c r="CL122" s="28"/>
      <c r="CM122" s="28"/>
      <c r="CO122" s="29"/>
      <c r="CP122" s="28"/>
      <c r="CQ122" s="28"/>
      <c r="CR122" s="28"/>
      <c r="CS122" s="28"/>
      <c r="CT122" s="28"/>
      <c r="CU122" s="28"/>
      <c r="CW122" s="85"/>
      <c r="CX122" s="69" t="str">
        <f>견적관리자용!$S$14</f>
        <v>화물(0.6~1톤 미만)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2">
        <f t="shared" si="4"/>
        <v>0</v>
      </c>
      <c r="DE122" s="73">
        <v>119</v>
      </c>
      <c r="DF122" s="72">
        <f t="shared" si="3"/>
        <v>0</v>
      </c>
      <c r="DG122" s="166"/>
      <c r="DJ122" s="25"/>
      <c r="DK122" s="25"/>
      <c r="DL122" s="25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</row>
    <row r="123" spans="1:298" s="26" customFormat="1" ht="15" hidden="1" customHeight="1" x14ac:dyDescent="0.3">
      <c r="A123" s="172"/>
      <c r="B123" s="172"/>
      <c r="C123" s="172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4"/>
      <c r="BZ123" s="172"/>
      <c r="CA123" s="172"/>
      <c r="CB123" s="24"/>
      <c r="CC123" s="25"/>
      <c r="CH123" s="27"/>
      <c r="CL123" s="28"/>
      <c r="CM123" s="28"/>
      <c r="CO123" s="29"/>
      <c r="CP123" s="28"/>
      <c r="CQ123" s="28"/>
      <c r="CR123" s="28"/>
      <c r="CS123" s="28"/>
      <c r="CT123" s="28"/>
      <c r="CU123" s="28"/>
      <c r="CW123" s="85"/>
      <c r="CX123" s="69" t="str">
        <f>견적관리자용!$S$15</f>
        <v>화물(1~2.5톤 미만)</v>
      </c>
      <c r="CY123" s="70">
        <v>0</v>
      </c>
      <c r="CZ123" s="125">
        <v>0.03</v>
      </c>
      <c r="DA123" s="125">
        <v>0.03</v>
      </c>
      <c r="DB123" s="125">
        <v>0.03</v>
      </c>
      <c r="DC123" s="125">
        <v>0.03</v>
      </c>
      <c r="DD123" s="72">
        <f t="shared" si="4"/>
        <v>0.03</v>
      </c>
      <c r="DE123" s="73">
        <v>120</v>
      </c>
      <c r="DF123" s="72">
        <f t="shared" si="3"/>
        <v>0</v>
      </c>
      <c r="DG123" s="166"/>
      <c r="DJ123" s="25"/>
      <c r="DK123" s="25"/>
      <c r="DL123" s="25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</row>
    <row r="124" spans="1:298" s="26" customFormat="1" ht="15" hidden="1" customHeight="1" x14ac:dyDescent="0.3">
      <c r="A124" s="172"/>
      <c r="B124" s="172"/>
      <c r="C124" s="172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4"/>
      <c r="BZ124" s="172"/>
      <c r="CA124" s="172"/>
      <c r="CB124" s="24"/>
      <c r="CC124" s="25"/>
      <c r="CH124" s="27"/>
      <c r="CL124" s="28"/>
      <c r="CM124" s="28"/>
      <c r="CO124" s="29"/>
      <c r="CP124" s="28"/>
      <c r="CQ124" s="28"/>
      <c r="CR124" s="28"/>
      <c r="CS124" s="28"/>
      <c r="CT124" s="28"/>
      <c r="CU124" s="28"/>
      <c r="CW124" s="85"/>
      <c r="CX124" s="69" t="str">
        <f>견적관리자용!$S$16</f>
        <v>화물(2.5~4.6톤 미만)</v>
      </c>
      <c r="CY124" s="70">
        <v>0</v>
      </c>
      <c r="CZ124" s="125">
        <v>0.03</v>
      </c>
      <c r="DA124" s="125">
        <v>0.03</v>
      </c>
      <c r="DB124" s="125">
        <v>0.03</v>
      </c>
      <c r="DC124" s="125">
        <v>0.03</v>
      </c>
      <c r="DD124" s="72">
        <f t="shared" si="4"/>
        <v>0.03</v>
      </c>
      <c r="DE124" s="73">
        <v>121</v>
      </c>
      <c r="DF124" s="72">
        <f t="shared" si="3"/>
        <v>0</v>
      </c>
      <c r="DG124" s="166"/>
      <c r="DJ124" s="25"/>
      <c r="DK124" s="25"/>
      <c r="DL124" s="25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</row>
    <row r="125" spans="1:298" s="26" customFormat="1" ht="15" hidden="1" customHeight="1" x14ac:dyDescent="0.3">
      <c r="A125" s="172"/>
      <c r="B125" s="172"/>
      <c r="C125" s="172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4"/>
      <c r="BZ125" s="172"/>
      <c r="CA125" s="172"/>
      <c r="CB125" s="24"/>
      <c r="CC125" s="25"/>
      <c r="CH125" s="27"/>
      <c r="CL125" s="28"/>
      <c r="CM125" s="28"/>
      <c r="CO125" s="29"/>
      <c r="CP125" s="28"/>
      <c r="CQ125" s="28"/>
      <c r="CR125" s="28"/>
      <c r="CS125" s="28"/>
      <c r="CT125" s="28"/>
      <c r="CU125" s="28"/>
      <c r="CW125" s="90"/>
      <c r="CX125" s="91" t="str">
        <f>견적관리자용!$S$17</f>
        <v>화물(4.6톤 이상)</v>
      </c>
      <c r="CY125" s="92">
        <v>0</v>
      </c>
      <c r="CZ125" s="180">
        <v>0.03</v>
      </c>
      <c r="DA125" s="180">
        <v>0.03</v>
      </c>
      <c r="DB125" s="180">
        <v>0.03</v>
      </c>
      <c r="DC125" s="180">
        <v>0.03</v>
      </c>
      <c r="DD125" s="93">
        <f t="shared" si="4"/>
        <v>0.03</v>
      </c>
      <c r="DE125" s="94">
        <v>122</v>
      </c>
      <c r="DF125" s="93">
        <f t="shared" si="3"/>
        <v>0</v>
      </c>
      <c r="DG125" s="181"/>
      <c r="DJ125" s="25"/>
      <c r="DK125" s="25"/>
      <c r="DL125" s="25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</row>
    <row r="126" spans="1:298" s="26" customFormat="1" ht="15" hidden="1" customHeight="1" x14ac:dyDescent="0.3">
      <c r="A126" s="172"/>
      <c r="B126" s="172"/>
      <c r="C126" s="172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4"/>
      <c r="BZ126" s="172"/>
      <c r="CA126" s="172"/>
      <c r="CB126" s="24"/>
      <c r="CC126" s="25"/>
      <c r="CH126" s="27"/>
      <c r="CL126" s="28"/>
      <c r="CM126" s="28"/>
      <c r="CO126" s="29"/>
      <c r="CP126" s="28"/>
      <c r="CQ126" s="28"/>
      <c r="CR126" s="28"/>
      <c r="CS126" s="28"/>
      <c r="CT126" s="28"/>
      <c r="CU126" s="28"/>
      <c r="CW126" s="68" t="s">
        <v>110</v>
      </c>
      <c r="CX126" s="124" t="str">
        <f>견적관리자용!$S$8</f>
        <v>승용일반</v>
      </c>
      <c r="CY126" s="70">
        <v>0</v>
      </c>
      <c r="CZ126" s="125">
        <v>0.04</v>
      </c>
      <c r="DA126" s="125">
        <v>0.04</v>
      </c>
      <c r="DB126" s="125">
        <v>0.06</v>
      </c>
      <c r="DC126" s="125">
        <v>0.1</v>
      </c>
      <c r="DD126" s="72">
        <f t="shared" si="4"/>
        <v>0.06</v>
      </c>
      <c r="DE126" s="73">
        <v>123</v>
      </c>
      <c r="DF126" s="72">
        <f t="shared" si="3"/>
        <v>0.06</v>
      </c>
      <c r="DG126" s="166">
        <f>SUM(DF126:DF135)</f>
        <v>0.06</v>
      </c>
      <c r="DJ126" s="25"/>
      <c r="DK126" s="25"/>
      <c r="DL126" s="25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</row>
    <row r="127" spans="1:298" s="26" customFormat="1" ht="15" hidden="1" customHeight="1" x14ac:dyDescent="0.3">
      <c r="A127" s="172"/>
      <c r="B127" s="172"/>
      <c r="C127" s="172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4"/>
      <c r="BZ127" s="172"/>
      <c r="CA127" s="172"/>
      <c r="CB127" s="24"/>
      <c r="CC127" s="25"/>
      <c r="CH127" s="27"/>
      <c r="CL127" s="28"/>
      <c r="CM127" s="28"/>
      <c r="CO127" s="29"/>
      <c r="CP127" s="28"/>
      <c r="CQ127" s="28"/>
      <c r="CR127" s="28"/>
      <c r="CS127" s="28"/>
      <c r="CT127" s="28"/>
      <c r="CU127" s="28"/>
      <c r="CW127" s="68"/>
      <c r="CX127" s="69" t="str">
        <f>견적관리자용!$S$9</f>
        <v>승용SUV(~5인)</v>
      </c>
      <c r="CY127" s="70">
        <v>0</v>
      </c>
      <c r="CZ127" s="71">
        <v>0.04</v>
      </c>
      <c r="DA127" s="71">
        <v>0.04</v>
      </c>
      <c r="DB127" s="71">
        <v>0.06</v>
      </c>
      <c r="DC127" s="71">
        <v>0.1</v>
      </c>
      <c r="DD127" s="72">
        <f t="shared" si="4"/>
        <v>0.06</v>
      </c>
      <c r="DE127" s="73">
        <v>124</v>
      </c>
      <c r="DF127" s="72">
        <f t="shared" si="3"/>
        <v>0</v>
      </c>
      <c r="DG127" s="166"/>
      <c r="DJ127" s="25"/>
      <c r="DK127" s="25"/>
      <c r="DL127" s="25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</row>
    <row r="128" spans="1:298" s="26" customFormat="1" ht="15" hidden="1" customHeight="1" x14ac:dyDescent="0.3">
      <c r="A128" s="172"/>
      <c r="B128" s="172"/>
      <c r="C128" s="172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4"/>
      <c r="BZ128" s="172"/>
      <c r="CA128" s="172"/>
      <c r="CB128" s="24"/>
      <c r="CC128" s="25"/>
      <c r="CH128" s="27"/>
      <c r="CL128" s="28"/>
      <c r="CM128" s="28"/>
      <c r="CO128" s="29"/>
      <c r="CP128" s="28"/>
      <c r="CQ128" s="28"/>
      <c r="CR128" s="28"/>
      <c r="CS128" s="28"/>
      <c r="CT128" s="28"/>
      <c r="CU128" s="28"/>
      <c r="CW128" s="68"/>
      <c r="CX128" s="69" t="str">
        <f>견적관리자용!$S$10</f>
        <v>승용SUV(7~10인)</v>
      </c>
      <c r="CY128" s="70">
        <v>0</v>
      </c>
      <c r="CZ128" s="71">
        <v>0.04</v>
      </c>
      <c r="DA128" s="71">
        <v>0.04</v>
      </c>
      <c r="DB128" s="71">
        <v>0.06</v>
      </c>
      <c r="DC128" s="71">
        <v>0.1</v>
      </c>
      <c r="DD128" s="72">
        <f t="shared" si="4"/>
        <v>0.06</v>
      </c>
      <c r="DE128" s="73">
        <v>125</v>
      </c>
      <c r="DF128" s="72">
        <f t="shared" si="3"/>
        <v>0</v>
      </c>
      <c r="DG128" s="166"/>
      <c r="DJ128" s="25"/>
      <c r="DK128" s="25"/>
      <c r="DL128" s="25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</row>
    <row r="129" spans="1:298" s="26" customFormat="1" ht="15" hidden="1" customHeight="1" x14ac:dyDescent="0.3">
      <c r="A129" s="172"/>
      <c r="B129" s="172"/>
      <c r="C129" s="172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4"/>
      <c r="BZ129" s="172"/>
      <c r="CA129" s="172"/>
      <c r="CB129" s="24"/>
      <c r="CC129" s="25"/>
      <c r="CH129" s="27"/>
      <c r="CL129" s="28"/>
      <c r="CM129" s="28"/>
      <c r="CO129" s="29"/>
      <c r="CP129" s="28"/>
      <c r="CQ129" s="28"/>
      <c r="CR129" s="28"/>
      <c r="CS129" s="28"/>
      <c r="CT129" s="28"/>
      <c r="CU129" s="28"/>
      <c r="CW129" s="68"/>
      <c r="CX129" s="69" t="str">
        <f>견적관리자용!$S$11</f>
        <v>승합(11~15인)</v>
      </c>
      <c r="CY129" s="70">
        <v>0</v>
      </c>
      <c r="CZ129" s="125">
        <v>1.4999999999999999E-2</v>
      </c>
      <c r="DA129" s="125">
        <v>1.4999999999999999E-2</v>
      </c>
      <c r="DB129" s="125">
        <v>1.4999999999999999E-2</v>
      </c>
      <c r="DC129" s="125">
        <v>1.4999999999999999E-2</v>
      </c>
      <c r="DD129" s="72">
        <f t="shared" si="4"/>
        <v>1.4999999999999999E-2</v>
      </c>
      <c r="DE129" s="73">
        <v>126</v>
      </c>
      <c r="DF129" s="72">
        <f t="shared" si="3"/>
        <v>0</v>
      </c>
      <c r="DG129" s="166"/>
      <c r="DJ129" s="25"/>
      <c r="DK129" s="25"/>
      <c r="DL129" s="25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</row>
    <row r="130" spans="1:298" s="26" customFormat="1" ht="15" hidden="1" customHeight="1" x14ac:dyDescent="0.3">
      <c r="A130" s="172"/>
      <c r="B130" s="172"/>
      <c r="C130" s="172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4"/>
      <c r="BZ130" s="172"/>
      <c r="CA130" s="172"/>
      <c r="CB130" s="24"/>
      <c r="CC130" s="25"/>
      <c r="CH130" s="27"/>
      <c r="CL130" s="28"/>
      <c r="CM130" s="28"/>
      <c r="CO130" s="29"/>
      <c r="CP130" s="28"/>
      <c r="CQ130" s="28"/>
      <c r="CR130" s="28"/>
      <c r="CS130" s="28"/>
      <c r="CT130" s="28"/>
      <c r="CU130" s="28"/>
      <c r="CW130" s="68"/>
      <c r="CX130" s="69" t="str">
        <f>견적관리자용!$S$12</f>
        <v>화물(1000cc 미만)</v>
      </c>
      <c r="CY130" s="70">
        <v>0</v>
      </c>
      <c r="CZ130" s="70">
        <v>0</v>
      </c>
      <c r="DA130" s="80">
        <v>0</v>
      </c>
      <c r="DB130" s="80">
        <v>0</v>
      </c>
      <c r="DC130" s="80">
        <v>0</v>
      </c>
      <c r="DD130" s="72">
        <f t="shared" si="4"/>
        <v>0</v>
      </c>
      <c r="DE130" s="73">
        <v>127</v>
      </c>
      <c r="DF130" s="72">
        <f t="shared" si="3"/>
        <v>0</v>
      </c>
      <c r="DG130" s="166"/>
      <c r="DJ130" s="25"/>
      <c r="DK130" s="25"/>
      <c r="DL130" s="25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</row>
    <row r="131" spans="1:298" s="26" customFormat="1" ht="15" hidden="1" customHeight="1" x14ac:dyDescent="0.3">
      <c r="A131" s="172"/>
      <c r="B131" s="172"/>
      <c r="C131" s="172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4"/>
      <c r="BZ131" s="172"/>
      <c r="CA131" s="172"/>
      <c r="CB131" s="24"/>
      <c r="CC131" s="25"/>
      <c r="CH131" s="27"/>
      <c r="CL131" s="28"/>
      <c r="CM131" s="28"/>
      <c r="CO131" s="29"/>
      <c r="CP131" s="28"/>
      <c r="CQ131" s="28"/>
      <c r="CR131" s="28"/>
      <c r="CS131" s="28"/>
      <c r="CT131" s="28"/>
      <c r="CU131" s="28"/>
      <c r="CW131" s="85"/>
      <c r="CX131" s="69" t="str">
        <f>견적관리자용!$S$13</f>
        <v>화물(0.6톤 미만)</v>
      </c>
      <c r="CY131" s="70">
        <v>0</v>
      </c>
      <c r="CZ131" s="70">
        <v>0</v>
      </c>
      <c r="DA131" s="80">
        <v>0</v>
      </c>
      <c r="DB131" s="80">
        <v>0</v>
      </c>
      <c r="DC131" s="80">
        <v>0</v>
      </c>
      <c r="DD131" s="72">
        <f t="shared" si="4"/>
        <v>0</v>
      </c>
      <c r="DE131" s="73">
        <v>128</v>
      </c>
      <c r="DF131" s="72">
        <f t="shared" si="3"/>
        <v>0</v>
      </c>
      <c r="DG131" s="166"/>
      <c r="DJ131" s="25"/>
      <c r="DK131" s="25"/>
      <c r="DL131" s="25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</row>
    <row r="132" spans="1:298" s="26" customFormat="1" ht="15" hidden="1" customHeight="1" x14ac:dyDescent="0.3">
      <c r="A132" s="172"/>
      <c r="B132" s="172"/>
      <c r="C132" s="172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4"/>
      <c r="BZ132" s="172"/>
      <c r="CA132" s="172"/>
      <c r="CB132" s="24"/>
      <c r="CC132" s="25"/>
      <c r="CH132" s="27"/>
      <c r="CL132" s="28"/>
      <c r="CM132" s="28"/>
      <c r="CO132" s="29"/>
      <c r="CP132" s="28"/>
      <c r="CQ132" s="28"/>
      <c r="CR132" s="28"/>
      <c r="CS132" s="28"/>
      <c r="CT132" s="28"/>
      <c r="CU132" s="28"/>
      <c r="CW132" s="85"/>
      <c r="CX132" s="69" t="str">
        <f>견적관리자용!$S$14</f>
        <v>화물(0.6~1톤 미만)</v>
      </c>
      <c r="CY132" s="70">
        <v>0</v>
      </c>
      <c r="CZ132" s="125">
        <v>1.4999999999999999E-2</v>
      </c>
      <c r="DA132" s="125">
        <v>1.4999999999999999E-2</v>
      </c>
      <c r="DB132" s="125">
        <v>1.4999999999999999E-2</v>
      </c>
      <c r="DC132" s="125">
        <v>1.4999999999999999E-2</v>
      </c>
      <c r="DD132" s="72">
        <f t="shared" si="4"/>
        <v>1.4999999999999999E-2</v>
      </c>
      <c r="DE132" s="73">
        <v>129</v>
      </c>
      <c r="DF132" s="72">
        <f t="shared" si="3"/>
        <v>0</v>
      </c>
      <c r="DG132" s="166"/>
      <c r="DJ132" s="25"/>
      <c r="DK132" s="25"/>
      <c r="DL132" s="25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</row>
    <row r="133" spans="1:298" s="26" customFormat="1" ht="15" hidden="1" customHeight="1" x14ac:dyDescent="0.3">
      <c r="A133" s="172"/>
      <c r="B133" s="172"/>
      <c r="C133" s="172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4"/>
      <c r="BZ133" s="172"/>
      <c r="CA133" s="172"/>
      <c r="CB133" s="24"/>
      <c r="CC133" s="25"/>
      <c r="CH133" s="27"/>
      <c r="CL133" s="28"/>
      <c r="CM133" s="28"/>
      <c r="CO133" s="29"/>
      <c r="CP133" s="28"/>
      <c r="CQ133" s="28"/>
      <c r="CR133" s="28"/>
      <c r="CS133" s="28"/>
      <c r="CT133" s="28"/>
      <c r="CU133" s="28"/>
      <c r="CW133" s="85"/>
      <c r="CX133" s="69" t="str">
        <f>견적관리자용!$S$15</f>
        <v>화물(1~2.5톤 미만)</v>
      </c>
      <c r="CY133" s="70">
        <v>0</v>
      </c>
      <c r="CZ133" s="125">
        <v>1.4999999999999999E-2</v>
      </c>
      <c r="DA133" s="125">
        <v>1.4999999999999999E-2</v>
      </c>
      <c r="DB133" s="125">
        <v>1.4999999999999999E-2</v>
      </c>
      <c r="DC133" s="125">
        <v>1.4999999999999999E-2</v>
      </c>
      <c r="DD133" s="72">
        <f t="shared" si="4"/>
        <v>1.4999999999999999E-2</v>
      </c>
      <c r="DE133" s="73">
        <v>130</v>
      </c>
      <c r="DF133" s="72">
        <f t="shared" si="3"/>
        <v>0</v>
      </c>
      <c r="DG133" s="166"/>
      <c r="DJ133" s="25"/>
      <c r="DK133" s="25"/>
      <c r="DL133" s="25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</row>
    <row r="134" spans="1:298" s="26" customFormat="1" ht="15" hidden="1" customHeight="1" x14ac:dyDescent="0.3">
      <c r="A134" s="172"/>
      <c r="B134" s="172"/>
      <c r="C134" s="172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4"/>
      <c r="BZ134" s="172"/>
      <c r="CA134" s="172"/>
      <c r="CB134" s="24"/>
      <c r="CC134" s="25"/>
      <c r="CH134" s="27"/>
      <c r="CL134" s="28"/>
      <c r="CM134" s="28"/>
      <c r="CO134" s="29"/>
      <c r="CP134" s="28"/>
      <c r="CQ134" s="28"/>
      <c r="CR134" s="28"/>
      <c r="CS134" s="28"/>
      <c r="CT134" s="28"/>
      <c r="CU134" s="28"/>
      <c r="CW134" s="85"/>
      <c r="CX134" s="69" t="str">
        <f>견적관리자용!$S$16</f>
        <v>화물(2.5~4.6톤 미만)</v>
      </c>
      <c r="CY134" s="70">
        <v>0</v>
      </c>
      <c r="CZ134" s="125">
        <v>1.4999999999999999E-2</v>
      </c>
      <c r="DA134" s="125">
        <v>1.4999999999999999E-2</v>
      </c>
      <c r="DB134" s="125">
        <v>1.4999999999999999E-2</v>
      </c>
      <c r="DC134" s="125">
        <v>1.4999999999999999E-2</v>
      </c>
      <c r="DD134" s="72">
        <f t="shared" si="4"/>
        <v>1.4999999999999999E-2</v>
      </c>
      <c r="DE134" s="73">
        <v>131</v>
      </c>
      <c r="DF134" s="72">
        <f t="shared" ref="DF134:DF145" si="5">IF($CI$5=CX134,DD134,0)</f>
        <v>0</v>
      </c>
      <c r="DG134" s="166"/>
      <c r="DJ134" s="25"/>
      <c r="DK134" s="25"/>
      <c r="DL134" s="25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</row>
    <row r="135" spans="1:298" s="26" customFormat="1" ht="15" hidden="1" customHeight="1" x14ac:dyDescent="0.3">
      <c r="A135" s="172"/>
      <c r="B135" s="172"/>
      <c r="C135" s="172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4"/>
      <c r="BZ135" s="172"/>
      <c r="CA135" s="172"/>
      <c r="CB135" s="24"/>
      <c r="CC135" s="25"/>
      <c r="CH135" s="27"/>
      <c r="CL135" s="28"/>
      <c r="CM135" s="28"/>
      <c r="CO135" s="29"/>
      <c r="CP135" s="28"/>
      <c r="CQ135" s="28"/>
      <c r="CR135" s="28"/>
      <c r="CS135" s="28"/>
      <c r="CT135" s="28"/>
      <c r="CU135" s="28"/>
      <c r="CW135" s="85"/>
      <c r="CX135" s="69" t="str">
        <f>견적관리자용!$S$17</f>
        <v>화물(4.6톤 이상)</v>
      </c>
      <c r="CY135" s="70">
        <v>0</v>
      </c>
      <c r="CZ135" s="180">
        <v>1.4999999999999999E-2</v>
      </c>
      <c r="DA135" s="180">
        <v>1.4999999999999999E-2</v>
      </c>
      <c r="DB135" s="180">
        <v>1.4999999999999999E-2</v>
      </c>
      <c r="DC135" s="180">
        <v>1.4999999999999999E-2</v>
      </c>
      <c r="DD135" s="72">
        <f t="shared" si="4"/>
        <v>1.4999999999999999E-2</v>
      </c>
      <c r="DE135" s="73">
        <v>132</v>
      </c>
      <c r="DF135" s="72">
        <f t="shared" si="5"/>
        <v>0</v>
      </c>
      <c r="DG135" s="166"/>
      <c r="DJ135" s="25"/>
      <c r="DK135" s="25"/>
      <c r="DL135" s="25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</row>
    <row r="136" spans="1:298" s="26" customFormat="1" ht="15" hidden="1" customHeight="1" x14ac:dyDescent="0.3">
      <c r="A136" s="172"/>
      <c r="B136" s="172"/>
      <c r="C136" s="172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4"/>
      <c r="BZ136" s="172"/>
      <c r="CA136" s="172"/>
      <c r="CB136" s="24"/>
      <c r="CC136" s="25"/>
      <c r="CH136" s="27"/>
      <c r="CL136" s="28"/>
      <c r="CM136" s="28"/>
      <c r="CO136" s="29"/>
      <c r="CP136" s="28"/>
      <c r="CQ136" s="28"/>
      <c r="CR136" s="28"/>
      <c r="CS136" s="28"/>
      <c r="CT136" s="28"/>
      <c r="CU136" s="28"/>
      <c r="CW136" s="58" t="s">
        <v>94</v>
      </c>
      <c r="CX136" s="59" t="str">
        <f>견적관리자용!$S$8</f>
        <v>승용일반</v>
      </c>
      <c r="CY136" s="60">
        <v>0</v>
      </c>
      <c r="CZ136" s="61">
        <v>0</v>
      </c>
      <c r="DA136" s="61">
        <v>0.04</v>
      </c>
      <c r="DB136" s="61">
        <v>0.04</v>
      </c>
      <c r="DC136" s="61">
        <v>0.05</v>
      </c>
      <c r="DD136" s="191">
        <f t="shared" ref="DD136:DD145" si="6">HLOOKUP($CI$6,$CY$4:$DC$145,DE136,TRUE)</f>
        <v>0.04</v>
      </c>
      <c r="DE136" s="63">
        <v>133</v>
      </c>
      <c r="DF136" s="62">
        <f t="shared" si="5"/>
        <v>0.04</v>
      </c>
      <c r="DG136" s="163">
        <f>SUM(DF136:DF145)</f>
        <v>0.04</v>
      </c>
      <c r="DJ136" s="25"/>
      <c r="DK136" s="25"/>
      <c r="DL136" s="25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</row>
    <row r="137" spans="1:298" s="26" customFormat="1" ht="15" hidden="1" customHeight="1" x14ac:dyDescent="0.3">
      <c r="A137" s="172"/>
      <c r="B137" s="172"/>
      <c r="C137" s="172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4"/>
      <c r="BZ137" s="172"/>
      <c r="CA137" s="172"/>
      <c r="CB137" s="24"/>
      <c r="CC137" s="25"/>
      <c r="CH137" s="27"/>
      <c r="CL137" s="28"/>
      <c r="CM137" s="28"/>
      <c r="CO137" s="29"/>
      <c r="CP137" s="28"/>
      <c r="CQ137" s="28"/>
      <c r="CR137" s="28"/>
      <c r="CS137" s="28"/>
      <c r="CT137" s="28"/>
      <c r="CU137" s="28"/>
      <c r="CW137" s="68"/>
      <c r="CX137" s="69" t="str">
        <f>견적관리자용!$S$9</f>
        <v>승용SUV(~5인)</v>
      </c>
      <c r="CY137" s="70">
        <v>0</v>
      </c>
      <c r="CZ137" s="71">
        <v>0.04</v>
      </c>
      <c r="DA137" s="71">
        <v>0.04</v>
      </c>
      <c r="DB137" s="71">
        <v>0.04</v>
      </c>
      <c r="DC137" s="71">
        <v>0.04</v>
      </c>
      <c r="DD137" s="192">
        <f t="shared" si="6"/>
        <v>0.04</v>
      </c>
      <c r="DE137" s="73">
        <v>134</v>
      </c>
      <c r="DF137" s="72">
        <f t="shared" si="5"/>
        <v>0</v>
      </c>
      <c r="DG137" s="166"/>
      <c r="DJ137" s="25"/>
      <c r="DK137" s="25"/>
      <c r="DL137" s="25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</row>
    <row r="138" spans="1:298" s="26" customFormat="1" ht="15" hidden="1" customHeight="1" x14ac:dyDescent="0.3">
      <c r="A138" s="172"/>
      <c r="B138" s="172"/>
      <c r="C138" s="172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4"/>
      <c r="BZ138" s="172"/>
      <c r="CA138" s="172"/>
      <c r="CB138" s="24"/>
      <c r="CC138" s="25"/>
      <c r="CH138" s="27"/>
      <c r="CL138" s="28"/>
      <c r="CM138" s="28"/>
      <c r="CO138" s="29"/>
      <c r="CP138" s="28"/>
      <c r="CQ138" s="28"/>
      <c r="CR138" s="28"/>
      <c r="CS138" s="28"/>
      <c r="CT138" s="28"/>
      <c r="CU138" s="28"/>
      <c r="CW138" s="68"/>
      <c r="CX138" s="69" t="str">
        <f>견적관리자용!$S$10</f>
        <v>승용SUV(7~10인)</v>
      </c>
      <c r="CY138" s="70">
        <v>0</v>
      </c>
      <c r="CZ138" s="70">
        <v>390000</v>
      </c>
      <c r="DA138" s="80">
        <v>390000</v>
      </c>
      <c r="DB138" s="80">
        <v>390000</v>
      </c>
      <c r="DC138" s="80">
        <v>390000</v>
      </c>
      <c r="DD138" s="192">
        <f t="shared" si="6"/>
        <v>390000</v>
      </c>
      <c r="DE138" s="73">
        <v>135</v>
      </c>
      <c r="DF138" s="72">
        <f t="shared" si="5"/>
        <v>0</v>
      </c>
      <c r="DG138" s="166"/>
      <c r="DJ138" s="25"/>
      <c r="DK138" s="25"/>
      <c r="DL138" s="25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</row>
    <row r="139" spans="1:298" s="26" customFormat="1" ht="15" hidden="1" customHeight="1" x14ac:dyDescent="0.3">
      <c r="A139" s="172"/>
      <c r="B139" s="172"/>
      <c r="C139" s="172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4"/>
      <c r="BZ139" s="172"/>
      <c r="CA139" s="172"/>
      <c r="CB139" s="24"/>
      <c r="CC139" s="25"/>
      <c r="CH139" s="27"/>
      <c r="CL139" s="28"/>
      <c r="CM139" s="28"/>
      <c r="CO139" s="29"/>
      <c r="CP139" s="28"/>
      <c r="CQ139" s="28"/>
      <c r="CR139" s="28"/>
      <c r="CS139" s="28"/>
      <c r="CT139" s="28"/>
      <c r="CU139" s="28"/>
      <c r="CW139" s="68"/>
      <c r="CX139" s="69" t="str">
        <f>견적관리자용!$S$11</f>
        <v>승합(11~15인)</v>
      </c>
      <c r="CY139" s="70">
        <v>0</v>
      </c>
      <c r="CZ139" s="125">
        <v>1.4999999999999999E-2</v>
      </c>
      <c r="DA139" s="125">
        <v>1.4999999999999999E-2</v>
      </c>
      <c r="DB139" s="125">
        <v>1.4999999999999999E-2</v>
      </c>
      <c r="DC139" s="125">
        <v>1.4999999999999999E-2</v>
      </c>
      <c r="DD139" s="192">
        <f t="shared" si="6"/>
        <v>1.4999999999999999E-2</v>
      </c>
      <c r="DE139" s="73">
        <v>136</v>
      </c>
      <c r="DF139" s="72">
        <f t="shared" si="5"/>
        <v>0</v>
      </c>
      <c r="DG139" s="166"/>
      <c r="DJ139" s="25"/>
      <c r="DK139" s="25"/>
      <c r="DL139" s="25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</row>
    <row r="140" spans="1:298" s="26" customFormat="1" ht="15" hidden="1" customHeight="1" x14ac:dyDescent="0.3">
      <c r="A140" s="172"/>
      <c r="B140" s="172"/>
      <c r="C140" s="172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4"/>
      <c r="BZ140" s="172"/>
      <c r="CA140" s="172"/>
      <c r="CB140" s="24"/>
      <c r="CC140" s="25"/>
      <c r="CH140" s="27"/>
      <c r="CL140" s="28"/>
      <c r="CM140" s="28"/>
      <c r="CO140" s="29"/>
      <c r="CP140" s="28"/>
      <c r="CQ140" s="28"/>
      <c r="CR140" s="28"/>
      <c r="CS140" s="28"/>
      <c r="CT140" s="28"/>
      <c r="CU140" s="28"/>
      <c r="CW140" s="68"/>
      <c r="CX140" s="69" t="str">
        <f>견적관리자용!$S$12</f>
        <v>화물(1000cc 미만)</v>
      </c>
      <c r="CY140" s="70">
        <v>0</v>
      </c>
      <c r="CZ140" s="70">
        <v>0</v>
      </c>
      <c r="DA140" s="80">
        <v>0</v>
      </c>
      <c r="DB140" s="80">
        <v>0</v>
      </c>
      <c r="DC140" s="80">
        <v>0</v>
      </c>
      <c r="DD140" s="192">
        <f t="shared" si="6"/>
        <v>0</v>
      </c>
      <c r="DE140" s="73">
        <v>137</v>
      </c>
      <c r="DF140" s="72">
        <f t="shared" si="5"/>
        <v>0</v>
      </c>
      <c r="DG140" s="166"/>
      <c r="DJ140" s="25"/>
      <c r="DK140" s="25"/>
      <c r="DL140" s="25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</row>
    <row r="141" spans="1:298" s="26" customFormat="1" ht="15" hidden="1" customHeight="1" x14ac:dyDescent="0.3">
      <c r="A141" s="172"/>
      <c r="B141" s="172"/>
      <c r="C141" s="172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  <c r="AQ141" s="173"/>
      <c r="AR141" s="173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4"/>
      <c r="BZ141" s="172"/>
      <c r="CA141" s="172"/>
      <c r="CB141" s="24"/>
      <c r="CC141" s="25"/>
      <c r="CH141" s="27"/>
      <c r="CL141" s="28"/>
      <c r="CM141" s="28"/>
      <c r="CO141" s="29"/>
      <c r="CP141" s="28"/>
      <c r="CQ141" s="28"/>
      <c r="CR141" s="28"/>
      <c r="CS141" s="28"/>
      <c r="CT141" s="28"/>
      <c r="CU141" s="28"/>
      <c r="CW141" s="85"/>
      <c r="CX141" s="69" t="str">
        <f>견적관리자용!$S$13</f>
        <v>화물(0.6톤 미만)</v>
      </c>
      <c r="CY141" s="70">
        <v>0</v>
      </c>
      <c r="CZ141" s="70">
        <v>0</v>
      </c>
      <c r="DA141" s="70">
        <v>0</v>
      </c>
      <c r="DB141" s="70">
        <v>0</v>
      </c>
      <c r="DC141" s="86">
        <v>0</v>
      </c>
      <c r="DD141" s="192">
        <f t="shared" si="6"/>
        <v>0</v>
      </c>
      <c r="DE141" s="73">
        <v>138</v>
      </c>
      <c r="DF141" s="72">
        <f t="shared" si="5"/>
        <v>0</v>
      </c>
      <c r="DG141" s="166"/>
      <c r="DJ141" s="25"/>
      <c r="DK141" s="25"/>
      <c r="DL141" s="25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</row>
    <row r="142" spans="1:298" s="26" customFormat="1" ht="15" hidden="1" customHeight="1" x14ac:dyDescent="0.3">
      <c r="A142" s="172"/>
      <c r="B142" s="172"/>
      <c r="C142" s="172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4"/>
      <c r="BZ142" s="172"/>
      <c r="CA142" s="172"/>
      <c r="CB142" s="24"/>
      <c r="CC142" s="25"/>
      <c r="CH142" s="27"/>
      <c r="CL142" s="28"/>
      <c r="CM142" s="28"/>
      <c r="CO142" s="29"/>
      <c r="CP142" s="28"/>
      <c r="CQ142" s="28"/>
      <c r="CR142" s="28"/>
      <c r="CS142" s="28"/>
      <c r="CT142" s="28"/>
      <c r="CU142" s="28"/>
      <c r="CW142" s="85"/>
      <c r="CX142" s="69" t="str">
        <f>견적관리자용!$S$14</f>
        <v>화물(0.6~1톤 미만)</v>
      </c>
      <c r="CY142" s="70">
        <v>0</v>
      </c>
      <c r="CZ142" s="125">
        <v>1.4999999999999999E-2</v>
      </c>
      <c r="DA142" s="125">
        <v>1.4999999999999999E-2</v>
      </c>
      <c r="DB142" s="125">
        <v>1.4999999999999999E-2</v>
      </c>
      <c r="DC142" s="125">
        <v>1.4999999999999999E-2</v>
      </c>
      <c r="DD142" s="192">
        <f t="shared" si="6"/>
        <v>1.4999999999999999E-2</v>
      </c>
      <c r="DE142" s="73">
        <v>139</v>
      </c>
      <c r="DF142" s="72">
        <f t="shared" si="5"/>
        <v>0</v>
      </c>
      <c r="DG142" s="166"/>
      <c r="DJ142" s="25"/>
      <c r="DK142" s="25"/>
      <c r="DL142" s="25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</row>
    <row r="143" spans="1:298" s="26" customFormat="1" ht="15" hidden="1" customHeight="1" x14ac:dyDescent="0.3">
      <c r="A143" s="172"/>
      <c r="B143" s="172"/>
      <c r="C143" s="172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  <c r="AQ143" s="173"/>
      <c r="AR143" s="173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4"/>
      <c r="BZ143" s="172"/>
      <c r="CA143" s="172"/>
      <c r="CB143" s="24"/>
      <c r="CC143" s="25"/>
      <c r="CH143" s="27"/>
      <c r="CL143" s="28"/>
      <c r="CM143" s="28"/>
      <c r="CO143" s="29"/>
      <c r="CP143" s="28"/>
      <c r="CQ143" s="28"/>
      <c r="CR143" s="28"/>
      <c r="CS143" s="28"/>
      <c r="CT143" s="28"/>
      <c r="CU143" s="28"/>
      <c r="CW143" s="85"/>
      <c r="CX143" s="69" t="str">
        <f>견적관리자용!$S$15</f>
        <v>화물(1~2.5톤 미만)</v>
      </c>
      <c r="CY143" s="70">
        <v>0</v>
      </c>
      <c r="CZ143" s="125">
        <v>1.4999999999999999E-2</v>
      </c>
      <c r="DA143" s="125">
        <v>1.4999999999999999E-2</v>
      </c>
      <c r="DB143" s="125">
        <v>1.4999999999999999E-2</v>
      </c>
      <c r="DC143" s="125">
        <v>1.4999999999999999E-2</v>
      </c>
      <c r="DD143" s="192">
        <f t="shared" si="6"/>
        <v>1.4999999999999999E-2</v>
      </c>
      <c r="DE143" s="73">
        <v>140</v>
      </c>
      <c r="DF143" s="72">
        <f t="shared" si="5"/>
        <v>0</v>
      </c>
      <c r="DG143" s="166"/>
      <c r="DJ143" s="25"/>
      <c r="DK143" s="25"/>
      <c r="DL143" s="25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</row>
    <row r="144" spans="1:298" s="26" customFormat="1" ht="15" hidden="1" customHeight="1" x14ac:dyDescent="0.3">
      <c r="A144" s="172"/>
      <c r="B144" s="172"/>
      <c r="C144" s="172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4"/>
      <c r="BZ144" s="172"/>
      <c r="CA144" s="172"/>
      <c r="CB144" s="24"/>
      <c r="CC144" s="25"/>
      <c r="CH144" s="27"/>
      <c r="CL144" s="28"/>
      <c r="CM144" s="28"/>
      <c r="CO144" s="29"/>
      <c r="CP144" s="28"/>
      <c r="CQ144" s="28"/>
      <c r="CR144" s="28"/>
      <c r="CS144" s="28"/>
      <c r="CT144" s="28"/>
      <c r="CU144" s="28"/>
      <c r="CW144" s="85"/>
      <c r="CX144" s="69" t="str">
        <f>견적관리자용!$S$16</f>
        <v>화물(2.5~4.6톤 미만)</v>
      </c>
      <c r="CY144" s="70">
        <v>0</v>
      </c>
      <c r="CZ144" s="125">
        <v>1.4999999999999999E-2</v>
      </c>
      <c r="DA144" s="125">
        <v>1.4999999999999999E-2</v>
      </c>
      <c r="DB144" s="125">
        <v>1.4999999999999999E-2</v>
      </c>
      <c r="DC144" s="125">
        <v>1.4999999999999999E-2</v>
      </c>
      <c r="DD144" s="192">
        <f t="shared" si="6"/>
        <v>1.4999999999999999E-2</v>
      </c>
      <c r="DE144" s="73">
        <v>141</v>
      </c>
      <c r="DF144" s="72">
        <f t="shared" si="5"/>
        <v>0</v>
      </c>
      <c r="DG144" s="166"/>
      <c r="DJ144" s="25"/>
      <c r="DK144" s="25"/>
      <c r="DL144" s="25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</row>
    <row r="145" spans="1:113" ht="15" hidden="1" customHeight="1" x14ac:dyDescent="0.3">
      <c r="A145" s="172"/>
      <c r="B145" s="172"/>
      <c r="C145" s="172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4"/>
      <c r="BZ145" s="172"/>
      <c r="CA145" s="172"/>
      <c r="CW145" s="90"/>
      <c r="CX145" s="91" t="str">
        <f>견적관리자용!$S$17</f>
        <v>화물(4.6톤 이상)</v>
      </c>
      <c r="CY145" s="92">
        <v>0</v>
      </c>
      <c r="CZ145" s="180">
        <v>1.4999999999999999E-2</v>
      </c>
      <c r="DA145" s="180">
        <v>1.4999999999999999E-2</v>
      </c>
      <c r="DB145" s="180">
        <v>1.4999999999999999E-2</v>
      </c>
      <c r="DC145" s="180">
        <v>1.4999999999999999E-2</v>
      </c>
      <c r="DD145" s="193">
        <f t="shared" si="6"/>
        <v>1.4999999999999999E-2</v>
      </c>
      <c r="DE145" s="94">
        <v>142</v>
      </c>
      <c r="DF145" s="93">
        <f t="shared" si="5"/>
        <v>0</v>
      </c>
      <c r="DG145" s="181"/>
    </row>
    <row r="146" spans="1:113" ht="15" hidden="1" customHeight="1" x14ac:dyDescent="0.3">
      <c r="A146" s="172"/>
      <c r="B146" s="172"/>
      <c r="C146" s="172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4"/>
      <c r="BZ146" s="172"/>
      <c r="CA146" s="172"/>
    </row>
    <row r="147" spans="1:113" ht="15" hidden="1" customHeight="1" x14ac:dyDescent="0.3">
      <c r="A147" s="172"/>
      <c r="B147" s="172"/>
      <c r="C147" s="172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4"/>
      <c r="BZ147" s="172"/>
      <c r="CA147" s="172"/>
    </row>
    <row r="148" spans="1:113" s="24" customFormat="1" hidden="1" x14ac:dyDescent="0.3">
      <c r="A148" s="172"/>
      <c r="B148" s="172"/>
      <c r="C148" s="172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4"/>
      <c r="BZ148" s="172"/>
      <c r="CA148" s="172"/>
      <c r="CD148" s="194"/>
      <c r="CE148" s="194"/>
      <c r="CF148" s="194"/>
      <c r="CG148" s="194"/>
      <c r="CH148" s="27"/>
      <c r="CI148" s="26"/>
      <c r="CJ148" s="194"/>
      <c r="CK148" s="194"/>
      <c r="CL148" s="196"/>
      <c r="CM148" s="196"/>
      <c r="CN148" s="194"/>
      <c r="CO148" s="197"/>
      <c r="CP148" s="196"/>
      <c r="CQ148" s="196"/>
      <c r="CR148" s="196"/>
      <c r="CS148" s="196"/>
      <c r="CT148" s="196"/>
      <c r="CU148" s="196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6"/>
      <c r="DG148" s="198"/>
      <c r="DH148" s="194"/>
      <c r="DI148" s="194"/>
    </row>
    <row r="149" spans="1:113" s="24" customFormat="1" hidden="1" x14ac:dyDescent="0.3">
      <c r="A149" s="172"/>
      <c r="B149" s="172"/>
      <c r="C149" s="172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4"/>
      <c r="BZ149" s="172"/>
      <c r="CA149" s="172"/>
      <c r="CD149" s="194"/>
      <c r="CE149" s="194"/>
      <c r="CF149" s="194"/>
      <c r="CG149" s="194"/>
      <c r="CH149" s="195"/>
      <c r="CI149" s="194"/>
      <c r="CJ149" s="194"/>
      <c r="CK149" s="194"/>
      <c r="CL149" s="196"/>
      <c r="CM149" s="196"/>
      <c r="CN149" s="194"/>
      <c r="CO149" s="197"/>
      <c r="CP149" s="196"/>
      <c r="CQ149" s="196"/>
      <c r="CR149" s="196"/>
      <c r="CS149" s="196"/>
      <c r="CT149" s="196"/>
      <c r="CU149" s="196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6"/>
      <c r="DG149" s="198"/>
      <c r="DH149" s="194"/>
      <c r="DI149" s="194"/>
    </row>
    <row r="150" spans="1:113" s="24" customFormat="1" hidden="1" x14ac:dyDescent="0.3">
      <c r="A150" s="172"/>
      <c r="B150" s="172"/>
      <c r="C150" s="172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4"/>
      <c r="BZ150" s="172"/>
      <c r="CA150" s="172"/>
      <c r="CD150" s="194"/>
      <c r="CE150" s="194"/>
      <c r="CF150" s="194"/>
      <c r="CG150" s="194"/>
      <c r="CH150" s="195"/>
      <c r="CI150" s="194"/>
      <c r="CJ150" s="194"/>
      <c r="CK150" s="194"/>
      <c r="CL150" s="196"/>
      <c r="CM150" s="196"/>
      <c r="CN150" s="194"/>
      <c r="CO150" s="197"/>
      <c r="CP150" s="196"/>
      <c r="CQ150" s="196"/>
      <c r="CR150" s="196"/>
      <c r="CS150" s="196"/>
      <c r="CT150" s="196"/>
      <c r="CU150" s="196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6"/>
      <c r="DG150" s="198"/>
      <c r="DH150" s="194"/>
      <c r="DI150" s="194"/>
    </row>
    <row r="151" spans="1:113" s="24" customFormat="1" hidden="1" x14ac:dyDescent="0.3">
      <c r="A151" s="172"/>
      <c r="B151" s="172"/>
      <c r="C151" s="172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4"/>
      <c r="BZ151" s="172"/>
      <c r="CA151" s="172"/>
      <c r="CD151" s="194"/>
      <c r="CE151" s="194"/>
      <c r="CF151" s="194"/>
      <c r="CG151" s="194"/>
      <c r="CH151" s="195"/>
      <c r="CI151" s="194"/>
      <c r="CJ151" s="194"/>
      <c r="CK151" s="194"/>
      <c r="CL151" s="196"/>
      <c r="CM151" s="196"/>
      <c r="CN151" s="194"/>
      <c r="CO151" s="197"/>
      <c r="CP151" s="196"/>
      <c r="CQ151" s="196"/>
      <c r="CR151" s="196"/>
      <c r="CS151" s="196"/>
      <c r="CT151" s="196"/>
      <c r="CU151" s="196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6"/>
      <c r="DG151" s="198"/>
      <c r="DH151" s="194"/>
      <c r="DI151" s="194"/>
    </row>
    <row r="152" spans="1:113" s="24" customFormat="1" hidden="1" x14ac:dyDescent="0.3">
      <c r="A152" s="172"/>
      <c r="B152" s="172"/>
      <c r="C152" s="172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4"/>
      <c r="BZ152" s="172"/>
      <c r="CA152" s="172"/>
      <c r="CD152" s="194"/>
      <c r="CE152" s="194"/>
      <c r="CF152" s="194"/>
      <c r="CG152" s="194"/>
      <c r="CH152" s="195"/>
      <c r="CI152" s="194"/>
      <c r="CJ152" s="194"/>
      <c r="CK152" s="194"/>
      <c r="CL152" s="196"/>
      <c r="CM152" s="196"/>
      <c r="CN152" s="194"/>
      <c r="CO152" s="197"/>
      <c r="CP152" s="196"/>
      <c r="CQ152" s="196"/>
      <c r="CR152" s="196"/>
      <c r="CS152" s="196"/>
      <c r="CT152" s="196"/>
      <c r="CU152" s="196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6"/>
      <c r="DG152" s="198"/>
      <c r="DH152" s="194"/>
      <c r="DI152" s="194"/>
    </row>
    <row r="153" spans="1:113" s="24" customFormat="1" hidden="1" x14ac:dyDescent="0.3">
      <c r="A153" s="172"/>
      <c r="B153" s="172"/>
      <c r="C153" s="172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4"/>
      <c r="BZ153" s="172"/>
      <c r="CA153" s="172"/>
      <c r="CD153" s="194"/>
      <c r="CE153" s="194"/>
      <c r="CF153" s="194"/>
      <c r="CG153" s="194"/>
      <c r="CH153" s="195"/>
      <c r="CI153" s="194"/>
      <c r="CJ153" s="194"/>
      <c r="CK153" s="194"/>
      <c r="CL153" s="196"/>
      <c r="CM153" s="196"/>
      <c r="CN153" s="194"/>
      <c r="CO153" s="197"/>
      <c r="CP153" s="196"/>
      <c r="CQ153" s="196"/>
      <c r="CR153" s="196"/>
      <c r="CS153" s="196"/>
      <c r="CT153" s="196"/>
      <c r="CU153" s="196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6"/>
      <c r="DG153" s="198"/>
      <c r="DH153" s="194"/>
      <c r="DI153" s="194"/>
    </row>
    <row r="154" spans="1:113" s="24" customFormat="1" hidden="1" x14ac:dyDescent="0.3">
      <c r="A154" s="172"/>
      <c r="B154" s="172"/>
      <c r="C154" s="172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4"/>
      <c r="BZ154" s="172"/>
      <c r="CA154" s="172"/>
      <c r="CD154" s="194"/>
      <c r="CE154" s="194"/>
      <c r="CF154" s="194"/>
      <c r="CG154" s="194"/>
      <c r="CH154" s="195"/>
      <c r="CI154" s="194"/>
      <c r="CJ154" s="194"/>
      <c r="CK154" s="194"/>
      <c r="CL154" s="196"/>
      <c r="CM154" s="196"/>
      <c r="CN154" s="194"/>
      <c r="CO154" s="197"/>
      <c r="CP154" s="196"/>
      <c r="CQ154" s="196"/>
      <c r="CR154" s="196"/>
      <c r="CS154" s="196"/>
      <c r="CT154" s="196"/>
      <c r="CU154" s="196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6"/>
      <c r="DG154" s="198"/>
      <c r="DH154" s="194"/>
      <c r="DI154" s="194"/>
    </row>
    <row r="155" spans="1:113" s="24" customFormat="1" hidden="1" x14ac:dyDescent="0.3">
      <c r="A155" s="172"/>
      <c r="B155" s="172"/>
      <c r="C155" s="172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4"/>
      <c r="BZ155" s="172"/>
      <c r="CA155" s="172"/>
      <c r="CD155" s="194"/>
      <c r="CE155" s="194"/>
      <c r="CF155" s="194"/>
      <c r="CG155" s="194"/>
      <c r="CH155" s="195"/>
      <c r="CI155" s="194"/>
      <c r="CJ155" s="194"/>
      <c r="CK155" s="194"/>
      <c r="CL155" s="196"/>
      <c r="CM155" s="196"/>
      <c r="CN155" s="194"/>
      <c r="CO155" s="197"/>
      <c r="CP155" s="196"/>
      <c r="CQ155" s="196"/>
      <c r="CR155" s="196"/>
      <c r="CS155" s="196"/>
      <c r="CT155" s="196"/>
      <c r="CU155" s="196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6"/>
      <c r="DG155" s="198"/>
      <c r="DH155" s="194"/>
      <c r="DI155" s="194"/>
    </row>
    <row r="156" spans="1:113" s="24" customFormat="1" hidden="1" x14ac:dyDescent="0.3">
      <c r="A156" s="172"/>
      <c r="B156" s="172"/>
      <c r="C156" s="172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4"/>
      <c r="BZ156" s="172"/>
      <c r="CA156" s="172"/>
      <c r="CD156" s="194"/>
      <c r="CE156" s="194"/>
      <c r="CF156" s="194"/>
      <c r="CG156" s="194"/>
      <c r="CH156" s="195"/>
      <c r="CI156" s="194"/>
      <c r="CJ156" s="194"/>
      <c r="CK156" s="194"/>
      <c r="CL156" s="196"/>
      <c r="CM156" s="196"/>
      <c r="CN156" s="194"/>
      <c r="CO156" s="197"/>
      <c r="CP156" s="196"/>
      <c r="CQ156" s="196"/>
      <c r="CR156" s="196"/>
      <c r="CS156" s="196"/>
      <c r="CT156" s="196"/>
      <c r="CU156" s="196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6"/>
      <c r="DG156" s="198"/>
      <c r="DH156" s="194"/>
      <c r="DI156" s="194"/>
    </row>
    <row r="157" spans="1:113" s="24" customFormat="1" hidden="1" x14ac:dyDescent="0.3">
      <c r="A157" s="172"/>
      <c r="B157" s="172"/>
      <c r="C157" s="172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4"/>
      <c r="BZ157" s="172"/>
      <c r="CA157" s="172"/>
      <c r="CD157" s="194"/>
      <c r="CE157" s="194"/>
      <c r="CF157" s="194"/>
      <c r="CG157" s="194"/>
      <c r="CH157" s="195"/>
      <c r="CI157" s="194"/>
      <c r="CJ157" s="194"/>
      <c r="CK157" s="194"/>
      <c r="CL157" s="196"/>
      <c r="CM157" s="196"/>
      <c r="CN157" s="194"/>
      <c r="CO157" s="197"/>
      <c r="CP157" s="196"/>
      <c r="CQ157" s="196"/>
      <c r="CR157" s="196"/>
      <c r="CS157" s="196"/>
      <c r="CT157" s="196"/>
      <c r="CU157" s="196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6"/>
      <c r="DG157" s="198"/>
      <c r="DH157" s="194"/>
      <c r="DI157" s="194"/>
    </row>
    <row r="158" spans="1:113" s="24" customFormat="1" hidden="1" x14ac:dyDescent="0.3">
      <c r="A158" s="172"/>
      <c r="B158" s="172"/>
      <c r="C158" s="172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4"/>
      <c r="BZ158" s="172"/>
      <c r="CA158" s="172"/>
      <c r="CD158" s="194"/>
      <c r="CE158" s="194"/>
      <c r="CF158" s="194"/>
      <c r="CG158" s="194"/>
      <c r="CH158" s="195"/>
      <c r="CI158" s="194"/>
      <c r="CJ158" s="194"/>
      <c r="CK158" s="194"/>
      <c r="CL158" s="196"/>
      <c r="CM158" s="196"/>
      <c r="CN158" s="194"/>
      <c r="CO158" s="197"/>
      <c r="CP158" s="196"/>
      <c r="CQ158" s="196"/>
      <c r="CR158" s="196"/>
      <c r="CS158" s="196"/>
      <c r="CT158" s="196"/>
      <c r="CU158" s="196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6"/>
      <c r="DG158" s="198"/>
      <c r="DH158" s="194"/>
      <c r="DI158" s="194"/>
    </row>
    <row r="159" spans="1:113" s="24" customFormat="1" hidden="1" x14ac:dyDescent="0.3">
      <c r="A159" s="172"/>
      <c r="B159" s="172"/>
      <c r="C159" s="172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4"/>
      <c r="BZ159" s="172"/>
      <c r="CA159" s="172"/>
      <c r="CD159" s="194"/>
      <c r="CE159" s="194"/>
      <c r="CF159" s="194"/>
      <c r="CG159" s="194"/>
      <c r="CH159" s="195"/>
      <c r="CI159" s="194"/>
      <c r="CJ159" s="194"/>
      <c r="CK159" s="194"/>
      <c r="CL159" s="196"/>
      <c r="CM159" s="196"/>
      <c r="CN159" s="194"/>
      <c r="CO159" s="197"/>
      <c r="CP159" s="196"/>
      <c r="CQ159" s="196"/>
      <c r="CR159" s="196"/>
      <c r="CS159" s="196"/>
      <c r="CT159" s="196"/>
      <c r="CU159" s="196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6"/>
      <c r="DG159" s="198"/>
      <c r="DH159" s="194"/>
      <c r="DI159" s="194"/>
    </row>
    <row r="160" spans="1:113" s="24" customFormat="1" hidden="1" x14ac:dyDescent="0.3">
      <c r="A160" s="172"/>
      <c r="B160" s="172"/>
      <c r="C160" s="172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4"/>
      <c r="BZ160" s="172"/>
      <c r="CA160" s="172"/>
      <c r="CD160" s="194"/>
      <c r="CE160" s="194"/>
      <c r="CF160" s="194"/>
      <c r="CG160" s="194"/>
      <c r="CH160" s="195"/>
      <c r="CI160" s="194"/>
      <c r="CJ160" s="194"/>
      <c r="CK160" s="194"/>
      <c r="CL160" s="196"/>
      <c r="CM160" s="196"/>
      <c r="CN160" s="194"/>
      <c r="CO160" s="197"/>
      <c r="CP160" s="196"/>
      <c r="CQ160" s="196"/>
      <c r="CR160" s="196"/>
      <c r="CS160" s="196"/>
      <c r="CT160" s="196"/>
      <c r="CU160" s="196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6"/>
      <c r="DG160" s="198"/>
      <c r="DH160" s="194"/>
      <c r="DI160" s="194"/>
    </row>
    <row r="161" spans="1:113" s="24" customFormat="1" hidden="1" x14ac:dyDescent="0.3">
      <c r="A161" s="172"/>
      <c r="B161" s="172"/>
      <c r="C161" s="172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4"/>
      <c r="BZ161" s="172"/>
      <c r="CA161" s="172"/>
      <c r="CD161" s="194"/>
      <c r="CE161" s="194"/>
      <c r="CF161" s="194"/>
      <c r="CG161" s="194"/>
      <c r="CH161" s="195"/>
      <c r="CI161" s="194"/>
      <c r="CJ161" s="194"/>
      <c r="CK161" s="194"/>
      <c r="CL161" s="196"/>
      <c r="CM161" s="196"/>
      <c r="CN161" s="194"/>
      <c r="CO161" s="197"/>
      <c r="CP161" s="196"/>
      <c r="CQ161" s="196"/>
      <c r="CR161" s="196"/>
      <c r="CS161" s="196"/>
      <c r="CT161" s="196"/>
      <c r="CU161" s="196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6"/>
      <c r="DG161" s="198"/>
      <c r="DH161" s="194"/>
      <c r="DI161" s="194"/>
    </row>
    <row r="162" spans="1:113" s="24" customFormat="1" hidden="1" x14ac:dyDescent="0.3">
      <c r="A162" s="172"/>
      <c r="B162" s="172"/>
      <c r="C162" s="172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4"/>
      <c r="BZ162" s="172"/>
      <c r="CA162" s="172"/>
      <c r="CD162" s="194"/>
      <c r="CE162" s="194"/>
      <c r="CF162" s="194"/>
      <c r="CG162" s="194"/>
      <c r="CH162" s="195"/>
      <c r="CI162" s="194"/>
      <c r="CJ162" s="194"/>
      <c r="CK162" s="194"/>
      <c r="CL162" s="196"/>
      <c r="CM162" s="196"/>
      <c r="CN162" s="194"/>
      <c r="CO162" s="197"/>
      <c r="CP162" s="196"/>
      <c r="CQ162" s="196"/>
      <c r="CR162" s="196"/>
      <c r="CS162" s="196"/>
      <c r="CT162" s="196"/>
      <c r="CU162" s="196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6"/>
      <c r="DG162" s="198"/>
      <c r="DH162" s="194"/>
      <c r="DI162" s="194"/>
    </row>
    <row r="163" spans="1:113" s="24" customFormat="1" hidden="1" x14ac:dyDescent="0.3">
      <c r="A163" s="172"/>
      <c r="B163" s="172"/>
      <c r="C163" s="172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4"/>
      <c r="BZ163" s="172"/>
      <c r="CA163" s="172"/>
      <c r="CD163" s="194"/>
      <c r="CE163" s="194"/>
      <c r="CF163" s="194"/>
      <c r="CG163" s="194"/>
      <c r="CH163" s="195"/>
      <c r="CI163" s="194"/>
      <c r="CJ163" s="194"/>
      <c r="CK163" s="194"/>
      <c r="CL163" s="196"/>
      <c r="CM163" s="196"/>
      <c r="CN163" s="194"/>
      <c r="CO163" s="197"/>
      <c r="CP163" s="196"/>
      <c r="CQ163" s="196"/>
      <c r="CR163" s="196"/>
      <c r="CS163" s="196"/>
      <c r="CT163" s="196"/>
      <c r="CU163" s="196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6"/>
      <c r="DG163" s="198"/>
      <c r="DH163" s="194"/>
      <c r="DI163" s="194"/>
    </row>
    <row r="164" spans="1:113" s="24" customFormat="1" hidden="1" x14ac:dyDescent="0.3">
      <c r="A164" s="172"/>
      <c r="B164" s="172"/>
      <c r="C164" s="172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4"/>
      <c r="BZ164" s="172"/>
      <c r="CA164" s="172"/>
      <c r="CD164" s="194"/>
      <c r="CE164" s="194"/>
      <c r="CF164" s="194"/>
      <c r="CG164" s="194"/>
      <c r="CH164" s="195"/>
      <c r="CI164" s="194"/>
      <c r="CJ164" s="194"/>
      <c r="CK164" s="194"/>
      <c r="CL164" s="196"/>
      <c r="CM164" s="196"/>
      <c r="CN164" s="194"/>
      <c r="CO164" s="197"/>
      <c r="CP164" s="196"/>
      <c r="CQ164" s="196"/>
      <c r="CR164" s="196"/>
      <c r="CS164" s="196"/>
      <c r="CT164" s="196"/>
      <c r="CU164" s="196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6"/>
      <c r="DG164" s="198"/>
      <c r="DH164" s="194"/>
      <c r="DI164" s="194"/>
    </row>
    <row r="165" spans="1:113" s="24" customFormat="1" hidden="1" x14ac:dyDescent="0.3">
      <c r="A165" s="172"/>
      <c r="B165" s="172"/>
      <c r="C165" s="172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4"/>
      <c r="BZ165" s="172"/>
      <c r="CA165" s="172"/>
      <c r="CD165" s="194"/>
      <c r="CE165" s="194"/>
      <c r="CF165" s="194"/>
      <c r="CG165" s="194"/>
      <c r="CH165" s="195"/>
      <c r="CI165" s="194"/>
      <c r="CJ165" s="194"/>
      <c r="CK165" s="194"/>
      <c r="CL165" s="196"/>
      <c r="CM165" s="196"/>
      <c r="CN165" s="194"/>
      <c r="CO165" s="197"/>
      <c r="CP165" s="196"/>
      <c r="CQ165" s="196"/>
      <c r="CR165" s="196"/>
      <c r="CS165" s="196"/>
      <c r="CT165" s="196"/>
      <c r="CU165" s="196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6"/>
      <c r="DG165" s="198"/>
      <c r="DH165" s="194"/>
      <c r="DI165" s="194"/>
    </row>
    <row r="166" spans="1:113" s="24" customFormat="1" hidden="1" x14ac:dyDescent="0.3">
      <c r="A166" s="172"/>
      <c r="B166" s="172"/>
      <c r="C166" s="172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4"/>
      <c r="BZ166" s="172"/>
      <c r="CA166" s="172"/>
      <c r="CD166" s="194"/>
      <c r="CE166" s="194"/>
      <c r="CF166" s="194"/>
      <c r="CG166" s="194"/>
      <c r="CH166" s="195"/>
      <c r="CI166" s="194"/>
      <c r="CJ166" s="194"/>
      <c r="CK166" s="194"/>
      <c r="CL166" s="196"/>
      <c r="CM166" s="196"/>
      <c r="CN166" s="194"/>
      <c r="CO166" s="197"/>
      <c r="CP166" s="196"/>
      <c r="CQ166" s="196"/>
      <c r="CR166" s="196"/>
      <c r="CS166" s="196"/>
      <c r="CT166" s="196"/>
      <c r="CU166" s="196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6"/>
      <c r="DG166" s="198"/>
      <c r="DH166" s="194"/>
      <c r="DI166" s="194"/>
    </row>
    <row r="167" spans="1:113" s="24" customFormat="1" hidden="1" x14ac:dyDescent="0.3">
      <c r="A167" s="172"/>
      <c r="B167" s="172"/>
      <c r="C167" s="172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4"/>
      <c r="BZ167" s="172"/>
      <c r="CA167" s="172"/>
      <c r="CD167" s="194"/>
      <c r="CE167" s="194"/>
      <c r="CF167" s="194"/>
      <c r="CG167" s="194"/>
      <c r="CH167" s="195"/>
      <c r="CI167" s="194"/>
      <c r="CJ167" s="194"/>
      <c r="CK167" s="194"/>
      <c r="CL167" s="196"/>
      <c r="CM167" s="196"/>
      <c r="CN167" s="194"/>
      <c r="CO167" s="197"/>
      <c r="CP167" s="196"/>
      <c r="CQ167" s="196"/>
      <c r="CR167" s="196"/>
      <c r="CS167" s="196"/>
      <c r="CT167" s="196"/>
      <c r="CU167" s="196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6"/>
      <c r="DG167" s="198"/>
      <c r="DH167" s="194"/>
      <c r="DI167" s="194"/>
    </row>
    <row r="168" spans="1:113" s="24" customFormat="1" hidden="1" x14ac:dyDescent="0.3">
      <c r="A168" s="172"/>
      <c r="B168" s="172"/>
      <c r="C168" s="172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4"/>
      <c r="BZ168" s="172"/>
      <c r="CA168" s="172"/>
      <c r="CD168" s="194"/>
      <c r="CE168" s="194"/>
      <c r="CF168" s="194"/>
      <c r="CG168" s="194"/>
      <c r="CH168" s="195"/>
      <c r="CI168" s="194"/>
      <c r="CJ168" s="194"/>
      <c r="CK168" s="194"/>
      <c r="CL168" s="196"/>
      <c r="CM168" s="196"/>
      <c r="CN168" s="194"/>
      <c r="CO168" s="197"/>
      <c r="CP168" s="196"/>
      <c r="CQ168" s="196"/>
      <c r="CR168" s="196"/>
      <c r="CS168" s="196"/>
      <c r="CT168" s="196"/>
      <c r="CU168" s="196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6"/>
      <c r="DG168" s="198"/>
      <c r="DH168" s="194"/>
      <c r="DI168" s="194"/>
    </row>
    <row r="169" spans="1:113" s="24" customFormat="1" hidden="1" x14ac:dyDescent="0.3">
      <c r="A169" s="172"/>
      <c r="B169" s="172"/>
      <c r="C169" s="172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4"/>
      <c r="BZ169" s="172"/>
      <c r="CA169" s="172"/>
      <c r="CD169" s="194"/>
      <c r="CE169" s="194"/>
      <c r="CF169" s="194"/>
      <c r="CG169" s="194"/>
      <c r="CH169" s="195"/>
      <c r="CI169" s="194"/>
      <c r="CJ169" s="194"/>
      <c r="CK169" s="194"/>
      <c r="CL169" s="196"/>
      <c r="CM169" s="196"/>
      <c r="CN169" s="194"/>
      <c r="CO169" s="197"/>
      <c r="CP169" s="196"/>
      <c r="CQ169" s="196"/>
      <c r="CR169" s="196"/>
      <c r="CS169" s="196"/>
      <c r="CT169" s="196"/>
      <c r="CU169" s="196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6"/>
      <c r="DG169" s="198"/>
      <c r="DH169" s="194"/>
      <c r="DI169" s="194"/>
    </row>
    <row r="170" spans="1:113" s="24" customFormat="1" hidden="1" x14ac:dyDescent="0.3">
      <c r="A170" s="172"/>
      <c r="B170" s="172"/>
      <c r="C170" s="172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4"/>
      <c r="BZ170" s="172"/>
      <c r="CA170" s="172"/>
      <c r="CD170" s="194"/>
      <c r="CE170" s="194"/>
      <c r="CF170" s="194"/>
      <c r="CG170" s="194"/>
      <c r="CH170" s="195"/>
      <c r="CI170" s="194"/>
      <c r="CJ170" s="194"/>
      <c r="CK170" s="194"/>
      <c r="CL170" s="196"/>
      <c r="CM170" s="196"/>
      <c r="CN170" s="194"/>
      <c r="CO170" s="197"/>
      <c r="CP170" s="196"/>
      <c r="CQ170" s="196"/>
      <c r="CR170" s="196"/>
      <c r="CS170" s="196"/>
      <c r="CT170" s="196"/>
      <c r="CU170" s="196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6"/>
      <c r="DG170" s="198"/>
      <c r="DH170" s="194"/>
      <c r="DI170" s="194"/>
    </row>
    <row r="171" spans="1:113" s="24" customFormat="1" hidden="1" x14ac:dyDescent="0.3">
      <c r="A171" s="172"/>
      <c r="B171" s="172"/>
      <c r="C171" s="172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4"/>
      <c r="BZ171" s="172"/>
      <c r="CA171" s="172"/>
      <c r="CD171" s="194"/>
      <c r="CE171" s="194"/>
      <c r="CF171" s="194"/>
      <c r="CG171" s="194"/>
      <c r="CH171" s="195"/>
      <c r="CI171" s="194"/>
      <c r="CJ171" s="194"/>
      <c r="CK171" s="194"/>
      <c r="CL171" s="196"/>
      <c r="CM171" s="196"/>
      <c r="CN171" s="194"/>
      <c r="CO171" s="197"/>
      <c r="CP171" s="196"/>
      <c r="CQ171" s="196"/>
      <c r="CR171" s="196"/>
      <c r="CS171" s="196"/>
      <c r="CT171" s="196"/>
      <c r="CU171" s="196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6"/>
      <c r="DG171" s="198"/>
      <c r="DH171" s="194"/>
      <c r="DI171" s="194"/>
    </row>
    <row r="172" spans="1:113" s="24" customFormat="1" hidden="1" x14ac:dyDescent="0.3">
      <c r="A172" s="172"/>
      <c r="B172" s="172"/>
      <c r="C172" s="172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4"/>
      <c r="BZ172" s="172"/>
      <c r="CA172" s="172"/>
      <c r="CD172" s="194"/>
      <c r="CE172" s="194"/>
      <c r="CF172" s="194"/>
      <c r="CG172" s="194"/>
      <c r="CH172" s="195"/>
      <c r="CI172" s="194"/>
      <c r="CJ172" s="194"/>
      <c r="CK172" s="194"/>
      <c r="CL172" s="196"/>
      <c r="CM172" s="196"/>
      <c r="CN172" s="194"/>
      <c r="CO172" s="197"/>
      <c r="CP172" s="196"/>
      <c r="CQ172" s="196"/>
      <c r="CR172" s="196"/>
      <c r="CS172" s="196"/>
      <c r="CT172" s="196"/>
      <c r="CU172" s="196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6"/>
      <c r="DG172" s="198"/>
      <c r="DH172" s="194"/>
      <c r="DI172" s="194"/>
    </row>
    <row r="173" spans="1:113" s="24" customFormat="1" hidden="1" x14ac:dyDescent="0.3">
      <c r="A173" s="172"/>
      <c r="B173" s="172"/>
      <c r="C173" s="172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4"/>
      <c r="BZ173" s="172"/>
      <c r="CA173" s="172"/>
      <c r="CD173" s="194"/>
      <c r="CE173" s="194"/>
      <c r="CF173" s="194"/>
      <c r="CG173" s="194"/>
      <c r="CH173" s="195"/>
      <c r="CI173" s="194"/>
      <c r="CJ173" s="194"/>
      <c r="CK173" s="194"/>
      <c r="CL173" s="196"/>
      <c r="CM173" s="196"/>
      <c r="CN173" s="194"/>
      <c r="CO173" s="197"/>
      <c r="CP173" s="196"/>
      <c r="CQ173" s="196"/>
      <c r="CR173" s="196"/>
      <c r="CS173" s="196"/>
      <c r="CT173" s="196"/>
      <c r="CU173" s="196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6"/>
      <c r="DG173" s="198"/>
      <c r="DH173" s="194"/>
      <c r="DI173" s="194"/>
    </row>
    <row r="174" spans="1:113" s="24" customFormat="1" hidden="1" x14ac:dyDescent="0.3">
      <c r="A174" s="172"/>
      <c r="B174" s="172"/>
      <c r="C174" s="172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4"/>
      <c r="BZ174" s="172"/>
      <c r="CA174" s="172"/>
      <c r="CD174" s="194"/>
      <c r="CE174" s="194"/>
      <c r="CF174" s="194"/>
      <c r="CG174" s="194"/>
      <c r="CH174" s="195"/>
      <c r="CI174" s="194"/>
      <c r="CJ174" s="194"/>
      <c r="CK174" s="194"/>
      <c r="CL174" s="196"/>
      <c r="CM174" s="196"/>
      <c r="CN174" s="194"/>
      <c r="CO174" s="197"/>
      <c r="CP174" s="196"/>
      <c r="CQ174" s="196"/>
      <c r="CR174" s="196"/>
      <c r="CS174" s="196"/>
      <c r="CT174" s="196"/>
      <c r="CU174" s="196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6"/>
      <c r="DG174" s="198"/>
      <c r="DH174" s="194"/>
      <c r="DI174" s="194"/>
    </row>
    <row r="175" spans="1:113" s="24" customFormat="1" hidden="1" x14ac:dyDescent="0.3">
      <c r="A175" s="172"/>
      <c r="B175" s="172"/>
      <c r="C175" s="172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4"/>
      <c r="BZ175" s="172"/>
      <c r="CA175" s="172"/>
      <c r="CD175" s="194"/>
      <c r="CE175" s="194"/>
      <c r="CF175" s="194"/>
      <c r="CG175" s="194"/>
      <c r="CH175" s="195"/>
      <c r="CI175" s="194"/>
      <c r="CJ175" s="194"/>
      <c r="CK175" s="194"/>
      <c r="CL175" s="196"/>
      <c r="CM175" s="196"/>
      <c r="CN175" s="194"/>
      <c r="CO175" s="197"/>
      <c r="CP175" s="196"/>
      <c r="CQ175" s="196"/>
      <c r="CR175" s="196"/>
      <c r="CS175" s="196"/>
      <c r="CT175" s="196"/>
      <c r="CU175" s="196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6"/>
      <c r="DG175" s="198"/>
      <c r="DH175" s="194"/>
      <c r="DI175" s="194"/>
    </row>
    <row r="176" spans="1:113" s="24" customFormat="1" hidden="1" x14ac:dyDescent="0.3">
      <c r="A176" s="172"/>
      <c r="B176" s="172"/>
      <c r="C176" s="172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4"/>
      <c r="BZ176" s="172"/>
      <c r="CA176" s="172"/>
      <c r="CD176" s="194"/>
      <c r="CE176" s="194"/>
      <c r="CF176" s="194"/>
      <c r="CG176" s="194"/>
      <c r="CH176" s="195"/>
      <c r="CI176" s="194"/>
      <c r="CJ176" s="194"/>
      <c r="CK176" s="194"/>
      <c r="CL176" s="196"/>
      <c r="CM176" s="196"/>
      <c r="CN176" s="194"/>
      <c r="CO176" s="197"/>
      <c r="CP176" s="196"/>
      <c r="CQ176" s="196"/>
      <c r="CR176" s="196"/>
      <c r="CS176" s="196"/>
      <c r="CT176" s="196"/>
      <c r="CU176" s="196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6"/>
      <c r="DG176" s="198"/>
      <c r="DH176" s="194"/>
      <c r="DI176" s="194"/>
    </row>
    <row r="177" spans="1:113" s="24" customFormat="1" hidden="1" x14ac:dyDescent="0.3">
      <c r="A177" s="172"/>
      <c r="B177" s="172"/>
      <c r="C177" s="172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4"/>
      <c r="BZ177" s="172"/>
      <c r="CA177" s="172"/>
      <c r="CD177" s="194"/>
      <c r="CE177" s="194"/>
      <c r="CF177" s="194"/>
      <c r="CG177" s="194"/>
      <c r="CH177" s="195"/>
      <c r="CI177" s="194"/>
      <c r="CJ177" s="194"/>
      <c r="CK177" s="194"/>
      <c r="CL177" s="196"/>
      <c r="CM177" s="196"/>
      <c r="CN177" s="194"/>
      <c r="CO177" s="197"/>
      <c r="CP177" s="196"/>
      <c r="CQ177" s="196"/>
      <c r="CR177" s="196"/>
      <c r="CS177" s="196"/>
      <c r="CT177" s="196"/>
      <c r="CU177" s="196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6"/>
      <c r="DG177" s="198"/>
      <c r="DH177" s="194"/>
      <c r="DI177" s="194"/>
    </row>
    <row r="178" spans="1:113" s="24" customFormat="1" hidden="1" x14ac:dyDescent="0.3">
      <c r="A178" s="172"/>
      <c r="B178" s="172"/>
      <c r="C178" s="172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4"/>
      <c r="BZ178" s="172"/>
      <c r="CA178" s="172"/>
      <c r="CD178" s="194"/>
      <c r="CE178" s="194"/>
      <c r="CF178" s="194"/>
      <c r="CG178" s="194"/>
      <c r="CH178" s="195"/>
      <c r="CI178" s="194"/>
      <c r="CJ178" s="194"/>
      <c r="CK178" s="194"/>
      <c r="CL178" s="196"/>
      <c r="CM178" s="196"/>
      <c r="CN178" s="194"/>
      <c r="CO178" s="197"/>
      <c r="CP178" s="196"/>
      <c r="CQ178" s="196"/>
      <c r="CR178" s="196"/>
      <c r="CS178" s="196"/>
      <c r="CT178" s="196"/>
      <c r="CU178" s="196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6"/>
      <c r="DG178" s="198"/>
      <c r="DH178" s="194"/>
      <c r="DI178" s="194"/>
    </row>
    <row r="179" spans="1:113" s="24" customFormat="1" hidden="1" x14ac:dyDescent="0.3">
      <c r="A179" s="172"/>
      <c r="B179" s="172"/>
      <c r="C179" s="172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4"/>
      <c r="BZ179" s="172"/>
      <c r="CA179" s="172"/>
      <c r="CD179" s="194"/>
      <c r="CE179" s="194"/>
      <c r="CF179" s="194"/>
      <c r="CG179" s="194"/>
      <c r="CH179" s="195"/>
      <c r="CI179" s="194"/>
      <c r="CJ179" s="194"/>
      <c r="CK179" s="194"/>
      <c r="CL179" s="196"/>
      <c r="CM179" s="196"/>
      <c r="CN179" s="194"/>
      <c r="CO179" s="197"/>
      <c r="CP179" s="196"/>
      <c r="CQ179" s="196"/>
      <c r="CR179" s="196"/>
      <c r="CS179" s="196"/>
      <c r="CT179" s="196"/>
      <c r="CU179" s="196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6"/>
      <c r="DG179" s="198"/>
      <c r="DH179" s="194"/>
      <c r="DI179" s="194"/>
    </row>
    <row r="180" spans="1:113" s="24" customFormat="1" hidden="1" x14ac:dyDescent="0.3">
      <c r="A180" s="172"/>
      <c r="B180" s="172"/>
      <c r="C180" s="172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4"/>
      <c r="BZ180" s="172"/>
      <c r="CA180" s="172"/>
      <c r="CD180" s="194"/>
      <c r="CE180" s="194"/>
      <c r="CF180" s="194"/>
      <c r="CG180" s="194"/>
      <c r="CH180" s="195"/>
      <c r="CI180" s="194"/>
      <c r="CJ180" s="194"/>
      <c r="CK180" s="194"/>
      <c r="CL180" s="196"/>
      <c r="CM180" s="196"/>
      <c r="CN180" s="194"/>
      <c r="CO180" s="197"/>
      <c r="CP180" s="196"/>
      <c r="CQ180" s="196"/>
      <c r="CR180" s="196"/>
      <c r="CS180" s="196"/>
      <c r="CT180" s="196"/>
      <c r="CU180" s="196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6"/>
      <c r="DG180" s="198"/>
      <c r="DH180" s="194"/>
      <c r="DI180" s="194"/>
    </row>
    <row r="181" spans="1:113" s="24" customFormat="1" hidden="1" x14ac:dyDescent="0.3">
      <c r="A181" s="172"/>
      <c r="B181" s="172"/>
      <c r="C181" s="172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4"/>
      <c r="BZ181" s="172"/>
      <c r="CA181" s="172"/>
      <c r="CD181" s="194"/>
      <c r="CE181" s="194"/>
      <c r="CF181" s="194"/>
      <c r="CG181" s="194"/>
      <c r="CH181" s="195"/>
      <c r="CI181" s="194"/>
      <c r="CJ181" s="194"/>
      <c r="CK181" s="194"/>
      <c r="CL181" s="196"/>
      <c r="CM181" s="196"/>
      <c r="CN181" s="194"/>
      <c r="CO181" s="197"/>
      <c r="CP181" s="196"/>
      <c r="CQ181" s="196"/>
      <c r="CR181" s="196"/>
      <c r="CS181" s="196"/>
      <c r="CT181" s="196"/>
      <c r="CU181" s="196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6"/>
      <c r="DG181" s="198"/>
      <c r="DH181" s="194"/>
      <c r="DI181" s="194"/>
    </row>
    <row r="182" spans="1:113" s="24" customFormat="1" hidden="1" x14ac:dyDescent="0.3">
      <c r="A182" s="172"/>
      <c r="B182" s="172"/>
      <c r="C182" s="172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4"/>
      <c r="BZ182" s="172"/>
      <c r="CA182" s="172"/>
      <c r="CD182" s="194"/>
      <c r="CE182" s="194"/>
      <c r="CF182" s="194"/>
      <c r="CG182" s="194"/>
      <c r="CH182" s="195"/>
      <c r="CI182" s="194"/>
      <c r="CJ182" s="194"/>
      <c r="CK182" s="194"/>
      <c r="CL182" s="196"/>
      <c r="CM182" s="196"/>
      <c r="CN182" s="194"/>
      <c r="CO182" s="197"/>
      <c r="CP182" s="196"/>
      <c r="CQ182" s="196"/>
      <c r="CR182" s="196"/>
      <c r="CS182" s="196"/>
      <c r="CT182" s="196"/>
      <c r="CU182" s="196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6"/>
      <c r="DG182" s="198"/>
      <c r="DH182" s="194"/>
      <c r="DI182" s="194"/>
    </row>
    <row r="183" spans="1:113" s="24" customFormat="1" hidden="1" x14ac:dyDescent="0.3">
      <c r="A183" s="172"/>
      <c r="B183" s="172"/>
      <c r="C183" s="172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4"/>
      <c r="BZ183" s="172"/>
      <c r="CA183" s="172"/>
      <c r="CD183" s="194"/>
      <c r="CE183" s="194"/>
      <c r="CF183" s="194"/>
      <c r="CG183" s="194"/>
      <c r="CH183" s="195"/>
      <c r="CI183" s="194"/>
      <c r="CJ183" s="194"/>
      <c r="CK183" s="194"/>
      <c r="CL183" s="196"/>
      <c r="CM183" s="196"/>
      <c r="CN183" s="194"/>
      <c r="CO183" s="197"/>
      <c r="CP183" s="196"/>
      <c r="CQ183" s="196"/>
      <c r="CR183" s="196"/>
      <c r="CS183" s="196"/>
      <c r="CT183" s="196"/>
      <c r="CU183" s="196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6"/>
      <c r="DG183" s="198"/>
      <c r="DH183" s="194"/>
      <c r="DI183" s="194"/>
    </row>
    <row r="184" spans="1:113" s="24" customFormat="1" hidden="1" x14ac:dyDescent="0.3">
      <c r="A184" s="172"/>
      <c r="B184" s="172"/>
      <c r="C184" s="172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4"/>
      <c r="BZ184" s="172"/>
      <c r="CA184" s="172"/>
      <c r="CD184" s="194"/>
      <c r="CE184" s="194"/>
      <c r="CF184" s="194"/>
      <c r="CG184" s="194"/>
      <c r="CH184" s="195"/>
      <c r="CI184" s="194"/>
      <c r="CJ184" s="194"/>
      <c r="CK184" s="194"/>
      <c r="CL184" s="196"/>
      <c r="CM184" s="196"/>
      <c r="CN184" s="194"/>
      <c r="CO184" s="197"/>
      <c r="CP184" s="196"/>
      <c r="CQ184" s="196"/>
      <c r="CR184" s="196"/>
      <c r="CS184" s="196"/>
      <c r="CT184" s="196"/>
      <c r="CU184" s="196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6"/>
      <c r="DG184" s="198"/>
      <c r="DH184" s="194"/>
      <c r="DI184" s="194"/>
    </row>
    <row r="185" spans="1:113" s="24" customFormat="1" hidden="1" x14ac:dyDescent="0.3">
      <c r="A185" s="172"/>
      <c r="B185" s="172"/>
      <c r="C185" s="172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4"/>
      <c r="BZ185" s="172"/>
      <c r="CA185" s="172"/>
      <c r="CD185" s="194"/>
      <c r="CE185" s="194"/>
      <c r="CF185" s="194"/>
      <c r="CG185" s="194"/>
      <c r="CH185" s="195"/>
      <c r="CI185" s="194"/>
      <c r="CJ185" s="194"/>
      <c r="CK185" s="194"/>
      <c r="CL185" s="196"/>
      <c r="CM185" s="196"/>
      <c r="CN185" s="194"/>
      <c r="CO185" s="197"/>
      <c r="CP185" s="196"/>
      <c r="CQ185" s="196"/>
      <c r="CR185" s="196"/>
      <c r="CS185" s="196"/>
      <c r="CT185" s="196"/>
      <c r="CU185" s="196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6"/>
      <c r="DG185" s="198"/>
      <c r="DH185" s="194"/>
      <c r="DI185" s="194"/>
    </row>
    <row r="186" spans="1:113" s="24" customFormat="1" hidden="1" x14ac:dyDescent="0.3">
      <c r="A186" s="172"/>
      <c r="B186" s="172"/>
      <c r="C186" s="172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4"/>
      <c r="BZ186" s="172"/>
      <c r="CA186" s="172"/>
      <c r="CD186" s="194"/>
      <c r="CE186" s="194"/>
      <c r="CF186" s="194"/>
      <c r="CG186" s="194"/>
      <c r="CH186" s="195"/>
      <c r="CI186" s="194"/>
      <c r="CJ186" s="194"/>
      <c r="CK186" s="194"/>
      <c r="CL186" s="196"/>
      <c r="CM186" s="196"/>
      <c r="CN186" s="194"/>
      <c r="CO186" s="197"/>
      <c r="CP186" s="196"/>
      <c r="CQ186" s="196"/>
      <c r="CR186" s="196"/>
      <c r="CS186" s="196"/>
      <c r="CT186" s="196"/>
      <c r="CU186" s="196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6"/>
      <c r="DG186" s="198"/>
      <c r="DH186" s="194"/>
      <c r="DI186" s="194"/>
    </row>
    <row r="187" spans="1:113" s="24" customFormat="1" hidden="1" x14ac:dyDescent="0.3">
      <c r="A187" s="172"/>
      <c r="B187" s="172"/>
      <c r="C187" s="172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4"/>
      <c r="BZ187" s="172"/>
      <c r="CA187" s="172"/>
      <c r="CD187" s="194"/>
      <c r="CE187" s="194"/>
      <c r="CF187" s="194"/>
      <c r="CG187" s="194"/>
      <c r="CH187" s="195"/>
      <c r="CI187" s="194"/>
      <c r="CJ187" s="194"/>
      <c r="CK187" s="194"/>
      <c r="CL187" s="196"/>
      <c r="CM187" s="196"/>
      <c r="CN187" s="194"/>
      <c r="CO187" s="197"/>
      <c r="CP187" s="196"/>
      <c r="CQ187" s="196"/>
      <c r="CR187" s="196"/>
      <c r="CS187" s="196"/>
      <c r="CT187" s="196"/>
      <c r="CU187" s="196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6"/>
      <c r="DG187" s="198"/>
      <c r="DH187" s="194"/>
      <c r="DI187" s="194"/>
    </row>
    <row r="188" spans="1:113" s="24" customFormat="1" hidden="1" x14ac:dyDescent="0.3">
      <c r="A188" s="172"/>
      <c r="B188" s="172"/>
      <c r="C188" s="172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4"/>
      <c r="BZ188" s="172"/>
      <c r="CA188" s="172"/>
      <c r="CD188" s="194"/>
      <c r="CE188" s="194"/>
      <c r="CF188" s="194"/>
      <c r="CG188" s="194"/>
      <c r="CH188" s="195"/>
      <c r="CI188" s="194"/>
      <c r="CJ188" s="194"/>
      <c r="CK188" s="194"/>
      <c r="CL188" s="196"/>
      <c r="CM188" s="196"/>
      <c r="CN188" s="194"/>
      <c r="CO188" s="197"/>
      <c r="CP188" s="196"/>
      <c r="CQ188" s="196"/>
      <c r="CR188" s="196"/>
      <c r="CS188" s="196"/>
      <c r="CT188" s="196"/>
      <c r="CU188" s="196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6"/>
      <c r="DG188" s="198"/>
      <c r="DH188" s="194"/>
      <c r="DI188" s="194"/>
    </row>
    <row r="189" spans="1:113" s="24" customFormat="1" hidden="1" x14ac:dyDescent="0.3">
      <c r="A189" s="172"/>
      <c r="B189" s="172"/>
      <c r="C189" s="172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4"/>
      <c r="BZ189" s="172"/>
      <c r="CA189" s="172"/>
      <c r="CD189" s="194"/>
      <c r="CE189" s="194"/>
      <c r="CF189" s="194"/>
      <c r="CG189" s="194"/>
      <c r="CH189" s="195"/>
      <c r="CI189" s="194"/>
      <c r="CJ189" s="194"/>
      <c r="CK189" s="194"/>
      <c r="CL189" s="196"/>
      <c r="CM189" s="196"/>
      <c r="CN189" s="194"/>
      <c r="CO189" s="197"/>
      <c r="CP189" s="196"/>
      <c r="CQ189" s="196"/>
      <c r="CR189" s="196"/>
      <c r="CS189" s="196"/>
      <c r="CT189" s="196"/>
      <c r="CU189" s="196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6"/>
      <c r="DG189" s="198"/>
      <c r="DH189" s="194"/>
      <c r="DI189" s="194"/>
    </row>
    <row r="190" spans="1:113" s="24" customFormat="1" hidden="1" x14ac:dyDescent="0.3">
      <c r="A190" s="172"/>
      <c r="B190" s="172"/>
      <c r="C190" s="172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4"/>
      <c r="BZ190" s="172"/>
      <c r="CA190" s="172"/>
      <c r="CD190" s="194"/>
      <c r="CE190" s="194"/>
      <c r="CF190" s="194"/>
      <c r="CG190" s="194"/>
      <c r="CH190" s="195"/>
      <c r="CI190" s="194"/>
      <c r="CJ190" s="194"/>
      <c r="CK190" s="194"/>
      <c r="CL190" s="196"/>
      <c r="CM190" s="196"/>
      <c r="CN190" s="194"/>
      <c r="CO190" s="197"/>
      <c r="CP190" s="196"/>
      <c r="CQ190" s="196"/>
      <c r="CR190" s="196"/>
      <c r="CS190" s="196"/>
      <c r="CT190" s="196"/>
      <c r="CU190" s="196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6"/>
      <c r="DG190" s="198"/>
      <c r="DH190" s="194"/>
      <c r="DI190" s="194"/>
    </row>
    <row r="191" spans="1:113" s="24" customFormat="1" hidden="1" x14ac:dyDescent="0.3">
      <c r="A191" s="172"/>
      <c r="B191" s="172"/>
      <c r="C191" s="172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4"/>
      <c r="BZ191" s="172"/>
      <c r="CA191" s="172"/>
      <c r="CD191" s="194"/>
      <c r="CE191" s="194"/>
      <c r="CF191" s="194"/>
      <c r="CG191" s="194"/>
      <c r="CH191" s="195"/>
      <c r="CI191" s="194"/>
      <c r="CJ191" s="194"/>
      <c r="CK191" s="194"/>
      <c r="CL191" s="196"/>
      <c r="CM191" s="196"/>
      <c r="CN191" s="194"/>
      <c r="CO191" s="197"/>
      <c r="CP191" s="196"/>
      <c r="CQ191" s="196"/>
      <c r="CR191" s="196"/>
      <c r="CS191" s="196"/>
      <c r="CT191" s="196"/>
      <c r="CU191" s="196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6"/>
      <c r="DG191" s="198"/>
      <c r="DH191" s="194"/>
      <c r="DI191" s="194"/>
    </row>
    <row r="192" spans="1:113" s="24" customFormat="1" hidden="1" x14ac:dyDescent="0.3">
      <c r="A192" s="172"/>
      <c r="B192" s="172"/>
      <c r="C192" s="172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4"/>
      <c r="BZ192" s="172"/>
      <c r="CA192" s="172"/>
      <c r="CD192" s="194"/>
      <c r="CE192" s="194"/>
      <c r="CF192" s="194"/>
      <c r="CG192" s="194"/>
      <c r="CH192" s="195"/>
      <c r="CI192" s="194"/>
      <c r="CJ192" s="194"/>
      <c r="CK192" s="194"/>
      <c r="CL192" s="196"/>
      <c r="CM192" s="196"/>
      <c r="CN192" s="194"/>
      <c r="CO192" s="197"/>
      <c r="CP192" s="196"/>
      <c r="CQ192" s="196"/>
      <c r="CR192" s="196"/>
      <c r="CS192" s="196"/>
      <c r="CT192" s="196"/>
      <c r="CU192" s="196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6"/>
      <c r="DG192" s="198"/>
      <c r="DH192" s="194"/>
      <c r="DI192" s="194"/>
    </row>
    <row r="193" spans="1:113" s="24" customFormat="1" hidden="1" x14ac:dyDescent="0.3">
      <c r="A193" s="172"/>
      <c r="B193" s="172"/>
      <c r="C193" s="172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4"/>
      <c r="BZ193" s="172"/>
      <c r="CA193" s="172"/>
      <c r="CD193" s="194"/>
      <c r="CE193" s="194"/>
      <c r="CF193" s="194"/>
      <c r="CG193" s="194"/>
      <c r="CH193" s="195"/>
      <c r="CI193" s="194"/>
      <c r="CJ193" s="194"/>
      <c r="CK193" s="194"/>
      <c r="CL193" s="196"/>
      <c r="CM193" s="196"/>
      <c r="CN193" s="194"/>
      <c r="CO193" s="197"/>
      <c r="CP193" s="196"/>
      <c r="CQ193" s="196"/>
      <c r="CR193" s="196"/>
      <c r="CS193" s="196"/>
      <c r="CT193" s="196"/>
      <c r="CU193" s="196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6"/>
      <c r="DG193" s="198"/>
      <c r="DH193" s="194"/>
      <c r="DI193" s="194"/>
    </row>
    <row r="194" spans="1:113" s="24" customFormat="1" hidden="1" x14ac:dyDescent="0.3">
      <c r="A194" s="172"/>
      <c r="B194" s="172"/>
      <c r="C194" s="172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4"/>
      <c r="BZ194" s="172"/>
      <c r="CA194" s="172"/>
      <c r="CD194" s="194"/>
      <c r="CE194" s="194"/>
      <c r="CF194" s="194"/>
      <c r="CG194" s="194"/>
      <c r="CH194" s="195"/>
      <c r="CI194" s="194"/>
      <c r="CJ194" s="194"/>
      <c r="CK194" s="194"/>
      <c r="CL194" s="196"/>
      <c r="CM194" s="196"/>
      <c r="CN194" s="194"/>
      <c r="CO194" s="197"/>
      <c r="CP194" s="196"/>
      <c r="CQ194" s="196"/>
      <c r="CR194" s="196"/>
      <c r="CS194" s="196"/>
      <c r="CT194" s="196"/>
      <c r="CU194" s="196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6"/>
      <c r="DG194" s="198"/>
      <c r="DH194" s="194"/>
      <c r="DI194" s="194"/>
    </row>
    <row r="195" spans="1:113" s="24" customFormat="1" hidden="1" x14ac:dyDescent="0.3">
      <c r="A195" s="172"/>
      <c r="B195" s="172"/>
      <c r="C195" s="172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4"/>
      <c r="BZ195" s="172"/>
      <c r="CA195" s="172"/>
      <c r="CD195" s="194"/>
      <c r="CE195" s="194"/>
      <c r="CF195" s="194"/>
      <c r="CG195" s="194"/>
      <c r="CH195" s="195"/>
      <c r="CI195" s="194"/>
      <c r="CJ195" s="194"/>
      <c r="CK195" s="194"/>
      <c r="CL195" s="196"/>
      <c r="CM195" s="196"/>
      <c r="CN195" s="194"/>
      <c r="CO195" s="197"/>
      <c r="CP195" s="196"/>
      <c r="CQ195" s="196"/>
      <c r="CR195" s="196"/>
      <c r="CS195" s="196"/>
      <c r="CT195" s="196"/>
      <c r="CU195" s="196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6"/>
      <c r="DG195" s="198"/>
      <c r="DH195" s="194"/>
      <c r="DI195" s="194"/>
    </row>
    <row r="196" spans="1:113" s="24" customFormat="1" hidden="1" x14ac:dyDescent="0.3">
      <c r="A196" s="172"/>
      <c r="B196" s="172"/>
      <c r="C196" s="172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4"/>
      <c r="BZ196" s="172"/>
      <c r="CA196" s="172"/>
      <c r="CD196" s="194"/>
      <c r="CE196" s="194"/>
      <c r="CF196" s="194"/>
      <c r="CG196" s="194"/>
      <c r="CH196" s="195"/>
      <c r="CI196" s="194"/>
      <c r="CJ196" s="194"/>
      <c r="CK196" s="194"/>
      <c r="CL196" s="196"/>
      <c r="CM196" s="196"/>
      <c r="CN196" s="194"/>
      <c r="CO196" s="197"/>
      <c r="CP196" s="196"/>
      <c r="CQ196" s="196"/>
      <c r="CR196" s="196"/>
      <c r="CS196" s="196"/>
      <c r="CT196" s="196"/>
      <c r="CU196" s="196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6"/>
      <c r="DG196" s="198"/>
      <c r="DH196" s="194"/>
      <c r="DI196" s="194"/>
    </row>
    <row r="197" spans="1:113" s="24" customFormat="1" hidden="1" x14ac:dyDescent="0.3">
      <c r="A197" s="172"/>
      <c r="B197" s="172"/>
      <c r="C197" s="172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4"/>
      <c r="BZ197" s="172"/>
      <c r="CA197" s="172"/>
      <c r="CD197" s="194"/>
      <c r="CE197" s="194"/>
      <c r="CF197" s="194"/>
      <c r="CG197" s="194"/>
      <c r="CH197" s="195"/>
      <c r="CI197" s="194"/>
      <c r="CJ197" s="194"/>
      <c r="CK197" s="194"/>
      <c r="CL197" s="196"/>
      <c r="CM197" s="196"/>
      <c r="CN197" s="194"/>
      <c r="CO197" s="197"/>
      <c r="CP197" s="196"/>
      <c r="CQ197" s="196"/>
      <c r="CR197" s="196"/>
      <c r="CS197" s="196"/>
      <c r="CT197" s="196"/>
      <c r="CU197" s="196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6"/>
      <c r="DG197" s="198"/>
      <c r="DH197" s="194"/>
      <c r="DI197" s="194"/>
    </row>
    <row r="198" spans="1:113" s="24" customFormat="1" hidden="1" x14ac:dyDescent="0.3">
      <c r="A198" s="172"/>
      <c r="B198" s="172"/>
      <c r="C198" s="172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4"/>
      <c r="BZ198" s="172"/>
      <c r="CA198" s="172"/>
      <c r="CD198" s="194"/>
      <c r="CE198" s="194"/>
      <c r="CF198" s="194"/>
      <c r="CG198" s="194"/>
      <c r="CH198" s="195"/>
      <c r="CI198" s="194"/>
      <c r="CJ198" s="194"/>
      <c r="CK198" s="194"/>
      <c r="CL198" s="196"/>
      <c r="CM198" s="196"/>
      <c r="CN198" s="194"/>
      <c r="CO198" s="197"/>
      <c r="CP198" s="196"/>
      <c r="CQ198" s="196"/>
      <c r="CR198" s="196"/>
      <c r="CS198" s="196"/>
      <c r="CT198" s="196"/>
      <c r="CU198" s="196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6"/>
      <c r="DG198" s="198"/>
      <c r="DH198" s="194"/>
      <c r="DI198" s="194"/>
    </row>
    <row r="199" spans="1:113" s="24" customFormat="1" hidden="1" x14ac:dyDescent="0.3">
      <c r="A199" s="172"/>
      <c r="B199" s="172"/>
      <c r="C199" s="172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4"/>
      <c r="BZ199" s="172"/>
      <c r="CA199" s="172"/>
      <c r="CD199" s="194"/>
      <c r="CE199" s="194"/>
      <c r="CF199" s="194"/>
      <c r="CG199" s="194"/>
      <c r="CH199" s="195"/>
      <c r="CI199" s="194"/>
      <c r="CJ199" s="194"/>
      <c r="CK199" s="194"/>
      <c r="CL199" s="196"/>
      <c r="CM199" s="196"/>
      <c r="CN199" s="194"/>
      <c r="CO199" s="197"/>
      <c r="CP199" s="196"/>
      <c r="CQ199" s="196"/>
      <c r="CR199" s="196"/>
      <c r="CS199" s="196"/>
      <c r="CT199" s="196"/>
      <c r="CU199" s="196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6"/>
      <c r="DG199" s="198"/>
      <c r="DH199" s="194"/>
      <c r="DI199" s="194"/>
    </row>
    <row r="200" spans="1:113" s="24" customFormat="1" hidden="1" x14ac:dyDescent="0.3">
      <c r="A200" s="172"/>
      <c r="B200" s="172"/>
      <c r="C200" s="172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4"/>
      <c r="BZ200" s="172"/>
      <c r="CA200" s="172"/>
      <c r="CD200" s="194"/>
      <c r="CE200" s="194"/>
      <c r="CF200" s="194"/>
      <c r="CG200" s="194"/>
      <c r="CH200" s="195"/>
      <c r="CI200" s="194"/>
      <c r="CJ200" s="194"/>
      <c r="CK200" s="194"/>
      <c r="CL200" s="196"/>
      <c r="CM200" s="196"/>
      <c r="CN200" s="194"/>
      <c r="CO200" s="197"/>
      <c r="CP200" s="196"/>
      <c r="CQ200" s="196"/>
      <c r="CR200" s="196"/>
      <c r="CS200" s="196"/>
      <c r="CT200" s="196"/>
      <c r="CU200" s="196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6"/>
      <c r="DG200" s="198"/>
      <c r="DH200" s="194"/>
      <c r="DI200" s="194"/>
    </row>
    <row r="201" spans="1:113" s="24" customFormat="1" hidden="1" x14ac:dyDescent="0.3">
      <c r="A201" s="172"/>
      <c r="B201" s="172"/>
      <c r="C201" s="172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4"/>
      <c r="BZ201" s="172"/>
      <c r="CA201" s="172"/>
      <c r="CD201" s="194"/>
      <c r="CE201" s="194"/>
      <c r="CF201" s="194"/>
      <c r="CG201" s="194"/>
      <c r="CH201" s="195"/>
      <c r="CI201" s="194"/>
      <c r="CJ201" s="194"/>
      <c r="CK201" s="194"/>
      <c r="CL201" s="196"/>
      <c r="CM201" s="196"/>
      <c r="CN201" s="194"/>
      <c r="CO201" s="197"/>
      <c r="CP201" s="196"/>
      <c r="CQ201" s="196"/>
      <c r="CR201" s="196"/>
      <c r="CS201" s="196"/>
      <c r="CT201" s="196"/>
      <c r="CU201" s="196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6"/>
      <c r="DG201" s="198"/>
      <c r="DH201" s="194"/>
      <c r="DI201" s="194"/>
    </row>
    <row r="202" spans="1:113" s="24" customFormat="1" hidden="1" x14ac:dyDescent="0.3">
      <c r="A202" s="172"/>
      <c r="B202" s="172"/>
      <c r="C202" s="172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4"/>
      <c r="BZ202" s="172"/>
      <c r="CA202" s="172"/>
      <c r="CD202" s="194"/>
      <c r="CE202" s="194"/>
      <c r="CF202" s="194"/>
      <c r="CG202" s="194"/>
      <c r="CH202" s="195"/>
      <c r="CI202" s="194"/>
      <c r="CJ202" s="194"/>
      <c r="CK202" s="194"/>
      <c r="CL202" s="196"/>
      <c r="CM202" s="196"/>
      <c r="CN202" s="194"/>
      <c r="CO202" s="197"/>
      <c r="CP202" s="196"/>
      <c r="CQ202" s="196"/>
      <c r="CR202" s="196"/>
      <c r="CS202" s="196"/>
      <c r="CT202" s="196"/>
      <c r="CU202" s="196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6"/>
      <c r="DG202" s="198"/>
      <c r="DH202" s="194"/>
      <c r="DI202" s="194"/>
    </row>
    <row r="203" spans="1:113" s="24" customFormat="1" hidden="1" x14ac:dyDescent="0.3">
      <c r="A203" s="172"/>
      <c r="B203" s="172"/>
      <c r="C203" s="172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4"/>
      <c r="BZ203" s="172"/>
      <c r="CA203" s="172"/>
      <c r="CD203" s="194"/>
      <c r="CE203" s="194"/>
      <c r="CF203" s="194"/>
      <c r="CG203" s="194"/>
      <c r="CH203" s="195"/>
      <c r="CI203" s="194"/>
      <c r="CJ203" s="194"/>
      <c r="CK203" s="194"/>
      <c r="CL203" s="196"/>
      <c r="CM203" s="196"/>
      <c r="CN203" s="194"/>
      <c r="CO203" s="197"/>
      <c r="CP203" s="196"/>
      <c r="CQ203" s="196"/>
      <c r="CR203" s="196"/>
      <c r="CS203" s="196"/>
      <c r="CT203" s="196"/>
      <c r="CU203" s="196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6"/>
      <c r="DG203" s="198"/>
      <c r="DH203" s="194"/>
      <c r="DI203" s="194"/>
    </row>
    <row r="204" spans="1:113" s="24" customFormat="1" hidden="1" x14ac:dyDescent="0.3">
      <c r="A204" s="172"/>
      <c r="B204" s="172"/>
      <c r="C204" s="172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4"/>
      <c r="BZ204" s="172"/>
      <c r="CA204" s="172"/>
      <c r="CD204" s="194"/>
      <c r="CE204" s="194"/>
      <c r="CF204" s="194"/>
      <c r="CG204" s="194"/>
      <c r="CH204" s="195"/>
      <c r="CI204" s="194"/>
      <c r="CJ204" s="194"/>
      <c r="CK204" s="194"/>
      <c r="CL204" s="196"/>
      <c r="CM204" s="196"/>
      <c r="CN204" s="194"/>
      <c r="CO204" s="197"/>
      <c r="CP204" s="196"/>
      <c r="CQ204" s="196"/>
      <c r="CR204" s="196"/>
      <c r="CS204" s="196"/>
      <c r="CT204" s="196"/>
      <c r="CU204" s="196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6"/>
      <c r="DG204" s="198"/>
      <c r="DH204" s="194"/>
      <c r="DI204" s="194"/>
    </row>
    <row r="205" spans="1:113" s="24" customFormat="1" hidden="1" x14ac:dyDescent="0.3">
      <c r="A205" s="172"/>
      <c r="B205" s="172"/>
      <c r="C205" s="172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4"/>
      <c r="BZ205" s="172"/>
      <c r="CA205" s="172"/>
      <c r="CD205" s="194"/>
      <c r="CE205" s="194"/>
      <c r="CF205" s="194"/>
      <c r="CG205" s="194"/>
      <c r="CH205" s="195"/>
      <c r="CI205" s="194"/>
      <c r="CJ205" s="194"/>
      <c r="CK205" s="194"/>
      <c r="CL205" s="196"/>
      <c r="CM205" s="196"/>
      <c r="CN205" s="194"/>
      <c r="CO205" s="197"/>
      <c r="CP205" s="196"/>
      <c r="CQ205" s="196"/>
      <c r="CR205" s="196"/>
      <c r="CS205" s="196"/>
      <c r="CT205" s="196"/>
      <c r="CU205" s="196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6"/>
      <c r="DG205" s="198"/>
      <c r="DH205" s="194"/>
      <c r="DI205" s="194"/>
    </row>
    <row r="206" spans="1:113" s="24" customFormat="1" hidden="1" x14ac:dyDescent="0.3">
      <c r="A206" s="172"/>
      <c r="B206" s="172"/>
      <c r="C206" s="172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4"/>
      <c r="BZ206" s="172"/>
      <c r="CA206" s="172"/>
      <c r="CD206" s="194"/>
      <c r="CE206" s="194"/>
      <c r="CF206" s="194"/>
      <c r="CG206" s="194"/>
      <c r="CH206" s="195"/>
      <c r="CI206" s="194"/>
      <c r="CJ206" s="194"/>
      <c r="CK206" s="194"/>
      <c r="CL206" s="196"/>
      <c r="CM206" s="196"/>
      <c r="CN206" s="194"/>
      <c r="CO206" s="197"/>
      <c r="CP206" s="196"/>
      <c r="CQ206" s="196"/>
      <c r="CR206" s="196"/>
      <c r="CS206" s="196"/>
      <c r="CT206" s="196"/>
      <c r="CU206" s="196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6"/>
      <c r="DG206" s="198"/>
      <c r="DH206" s="194"/>
      <c r="DI206" s="194"/>
    </row>
    <row r="207" spans="1:113" s="24" customFormat="1" hidden="1" x14ac:dyDescent="0.3">
      <c r="A207" s="172"/>
      <c r="B207" s="172"/>
      <c r="C207" s="172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4"/>
      <c r="BZ207" s="172"/>
      <c r="CA207" s="172"/>
      <c r="CD207" s="194"/>
      <c r="CE207" s="194"/>
      <c r="CF207" s="194"/>
      <c r="CG207" s="194"/>
      <c r="CH207" s="195"/>
      <c r="CI207" s="194"/>
      <c r="CJ207" s="194"/>
      <c r="CK207" s="194"/>
      <c r="CL207" s="196"/>
      <c r="CM207" s="196"/>
      <c r="CN207" s="194"/>
      <c r="CO207" s="197"/>
      <c r="CP207" s="196"/>
      <c r="CQ207" s="196"/>
      <c r="CR207" s="196"/>
      <c r="CS207" s="196"/>
      <c r="CT207" s="196"/>
      <c r="CU207" s="196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6"/>
      <c r="DG207" s="198"/>
      <c r="DH207" s="194"/>
      <c r="DI207" s="194"/>
    </row>
    <row r="208" spans="1:113" s="24" customFormat="1" hidden="1" x14ac:dyDescent="0.3">
      <c r="A208" s="172"/>
      <c r="B208" s="172"/>
      <c r="C208" s="172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4"/>
      <c r="BZ208" s="172"/>
      <c r="CA208" s="172"/>
      <c r="CD208" s="194"/>
      <c r="CE208" s="194"/>
      <c r="CF208" s="194"/>
      <c r="CG208" s="194"/>
      <c r="CH208" s="195"/>
      <c r="CI208" s="194"/>
      <c r="CJ208" s="194"/>
      <c r="CK208" s="194"/>
      <c r="CL208" s="196"/>
      <c r="CM208" s="196"/>
      <c r="CN208" s="194"/>
      <c r="CO208" s="197"/>
      <c r="CP208" s="196"/>
      <c r="CQ208" s="196"/>
      <c r="CR208" s="196"/>
      <c r="CS208" s="196"/>
      <c r="CT208" s="196"/>
      <c r="CU208" s="196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6"/>
      <c r="DG208" s="198"/>
      <c r="DH208" s="194"/>
      <c r="DI208" s="194"/>
    </row>
    <row r="209" spans="1:113" s="24" customFormat="1" hidden="1" x14ac:dyDescent="0.3">
      <c r="A209" s="172"/>
      <c r="B209" s="172"/>
      <c r="C209" s="172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4"/>
      <c r="BZ209" s="172"/>
      <c r="CA209" s="172"/>
      <c r="CD209" s="194"/>
      <c r="CE209" s="194"/>
      <c r="CF209" s="194"/>
      <c r="CG209" s="194"/>
      <c r="CH209" s="195"/>
      <c r="CI209" s="194"/>
      <c r="CJ209" s="194"/>
      <c r="CK209" s="194"/>
      <c r="CL209" s="196"/>
      <c r="CM209" s="196"/>
      <c r="CN209" s="194"/>
      <c r="CO209" s="197"/>
      <c r="CP209" s="196"/>
      <c r="CQ209" s="196"/>
      <c r="CR209" s="196"/>
      <c r="CS209" s="196"/>
      <c r="CT209" s="196"/>
      <c r="CU209" s="196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6"/>
      <c r="DG209" s="198"/>
      <c r="DH209" s="194"/>
      <c r="DI209" s="194"/>
    </row>
    <row r="210" spans="1:113" s="24" customFormat="1" hidden="1" x14ac:dyDescent="0.3">
      <c r="A210" s="172"/>
      <c r="B210" s="172"/>
      <c r="C210" s="172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4"/>
      <c r="BZ210" s="172"/>
      <c r="CA210" s="172"/>
      <c r="CD210" s="194"/>
      <c r="CE210" s="194"/>
      <c r="CF210" s="194"/>
      <c r="CG210" s="194"/>
      <c r="CH210" s="195"/>
      <c r="CI210" s="194"/>
      <c r="CJ210" s="194"/>
      <c r="CK210" s="194"/>
      <c r="CL210" s="196"/>
      <c r="CM210" s="196"/>
      <c r="CN210" s="194"/>
      <c r="CO210" s="197"/>
      <c r="CP210" s="196"/>
      <c r="CQ210" s="196"/>
      <c r="CR210" s="196"/>
      <c r="CS210" s="196"/>
      <c r="CT210" s="196"/>
      <c r="CU210" s="196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6"/>
      <c r="DG210" s="198"/>
      <c r="DH210" s="194"/>
      <c r="DI210" s="194"/>
    </row>
    <row r="211" spans="1:113" s="24" customFormat="1" hidden="1" x14ac:dyDescent="0.3">
      <c r="A211" s="172"/>
      <c r="B211" s="172"/>
      <c r="C211" s="172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4"/>
      <c r="BZ211" s="172"/>
      <c r="CA211" s="172"/>
      <c r="CD211" s="194"/>
      <c r="CE211" s="194"/>
      <c r="CF211" s="194"/>
      <c r="CG211" s="194"/>
      <c r="CH211" s="195"/>
      <c r="CI211" s="194"/>
      <c r="CJ211" s="194"/>
      <c r="CK211" s="194"/>
      <c r="CL211" s="196"/>
      <c r="CM211" s="196"/>
      <c r="CN211" s="194"/>
      <c r="CO211" s="197"/>
      <c r="CP211" s="196"/>
      <c r="CQ211" s="196"/>
      <c r="CR211" s="196"/>
      <c r="CS211" s="196"/>
      <c r="CT211" s="196"/>
      <c r="CU211" s="196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6"/>
      <c r="DG211" s="198"/>
      <c r="DH211" s="194"/>
      <c r="DI211" s="194"/>
    </row>
    <row r="212" spans="1:113" s="24" customFormat="1" hidden="1" x14ac:dyDescent="0.3">
      <c r="A212" s="172"/>
      <c r="B212" s="172"/>
      <c r="C212" s="172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4"/>
      <c r="BZ212" s="172"/>
      <c r="CA212" s="172"/>
      <c r="CD212" s="194"/>
      <c r="CE212" s="194"/>
      <c r="CF212" s="194"/>
      <c r="CG212" s="194"/>
      <c r="CH212" s="195"/>
      <c r="CI212" s="194"/>
      <c r="CJ212" s="194"/>
      <c r="CK212" s="194"/>
      <c r="CL212" s="196"/>
      <c r="CM212" s="196"/>
      <c r="CN212" s="194"/>
      <c r="CO212" s="197"/>
      <c r="CP212" s="196"/>
      <c r="CQ212" s="196"/>
      <c r="CR212" s="196"/>
      <c r="CS212" s="196"/>
      <c r="CT212" s="196"/>
      <c r="CU212" s="196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6"/>
      <c r="DG212" s="198"/>
      <c r="DH212" s="194"/>
      <c r="DI212" s="194"/>
    </row>
    <row r="213" spans="1:113" s="24" customFormat="1" hidden="1" x14ac:dyDescent="0.3">
      <c r="A213" s="172"/>
      <c r="B213" s="172"/>
      <c r="C213" s="172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4"/>
      <c r="BZ213" s="172"/>
      <c r="CA213" s="172"/>
      <c r="CD213" s="194"/>
      <c r="CE213" s="194"/>
      <c r="CF213" s="194"/>
      <c r="CG213" s="194"/>
      <c r="CH213" s="195"/>
      <c r="CI213" s="194"/>
      <c r="CJ213" s="194"/>
      <c r="CK213" s="194"/>
      <c r="CL213" s="196"/>
      <c r="CM213" s="196"/>
      <c r="CN213" s="194"/>
      <c r="CO213" s="197"/>
      <c r="CP213" s="196"/>
      <c r="CQ213" s="196"/>
      <c r="CR213" s="196"/>
      <c r="CS213" s="196"/>
      <c r="CT213" s="196"/>
      <c r="CU213" s="196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6"/>
      <c r="DG213" s="198"/>
      <c r="DH213" s="194"/>
      <c r="DI213" s="194"/>
    </row>
    <row r="214" spans="1:113" s="24" customFormat="1" hidden="1" x14ac:dyDescent="0.3">
      <c r="A214" s="172"/>
      <c r="B214" s="172"/>
      <c r="C214" s="172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4"/>
      <c r="BZ214" s="172"/>
      <c r="CA214" s="172"/>
      <c r="CD214" s="194"/>
      <c r="CE214" s="194"/>
      <c r="CF214" s="194"/>
      <c r="CG214" s="194"/>
      <c r="CH214" s="195"/>
      <c r="CI214" s="194"/>
      <c r="CJ214" s="194"/>
      <c r="CK214" s="194"/>
      <c r="CL214" s="196"/>
      <c r="CM214" s="196"/>
      <c r="CN214" s="194"/>
      <c r="CO214" s="197"/>
      <c r="CP214" s="196"/>
      <c r="CQ214" s="196"/>
      <c r="CR214" s="196"/>
      <c r="CS214" s="196"/>
      <c r="CT214" s="196"/>
      <c r="CU214" s="196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6"/>
      <c r="DG214" s="198"/>
      <c r="DH214" s="194"/>
      <c r="DI214" s="194"/>
    </row>
    <row r="215" spans="1:113" s="24" customFormat="1" hidden="1" x14ac:dyDescent="0.3">
      <c r="A215" s="172"/>
      <c r="B215" s="172"/>
      <c r="C215" s="172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4"/>
      <c r="BZ215" s="172"/>
      <c r="CA215" s="172"/>
      <c r="CD215" s="194"/>
      <c r="CE215" s="194"/>
      <c r="CF215" s="194"/>
      <c r="CG215" s="194"/>
      <c r="CH215" s="195"/>
      <c r="CI215" s="194"/>
      <c r="CJ215" s="194"/>
      <c r="CK215" s="194"/>
      <c r="CL215" s="196"/>
      <c r="CM215" s="196"/>
      <c r="CN215" s="194"/>
      <c r="CO215" s="197"/>
      <c r="CP215" s="196"/>
      <c r="CQ215" s="196"/>
      <c r="CR215" s="196"/>
      <c r="CS215" s="196"/>
      <c r="CT215" s="196"/>
      <c r="CU215" s="196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6"/>
      <c r="DG215" s="198"/>
      <c r="DH215" s="194"/>
      <c r="DI215" s="194"/>
    </row>
    <row r="216" spans="1:113" s="24" customFormat="1" hidden="1" x14ac:dyDescent="0.3">
      <c r="A216" s="172"/>
      <c r="B216" s="172"/>
      <c r="C216" s="172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4"/>
      <c r="BZ216" s="172"/>
      <c r="CA216" s="172"/>
      <c r="CD216" s="194"/>
      <c r="CE216" s="194"/>
      <c r="CF216" s="194"/>
      <c r="CG216" s="194"/>
      <c r="CH216" s="195"/>
      <c r="CI216" s="194"/>
      <c r="CJ216" s="194"/>
      <c r="CK216" s="194"/>
      <c r="CL216" s="196"/>
      <c r="CM216" s="196"/>
      <c r="CN216" s="194"/>
      <c r="CO216" s="197"/>
      <c r="CP216" s="196"/>
      <c r="CQ216" s="196"/>
      <c r="CR216" s="196"/>
      <c r="CS216" s="196"/>
      <c r="CT216" s="196"/>
      <c r="CU216" s="196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6"/>
      <c r="DG216" s="198"/>
      <c r="DH216" s="194"/>
      <c r="DI216" s="194"/>
    </row>
    <row r="217" spans="1:113" s="24" customFormat="1" hidden="1" x14ac:dyDescent="0.3">
      <c r="A217" s="172"/>
      <c r="B217" s="172"/>
      <c r="C217" s="172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4"/>
      <c r="BZ217" s="172"/>
      <c r="CA217" s="172"/>
      <c r="CD217" s="194"/>
      <c r="CE217" s="194"/>
      <c r="CF217" s="194"/>
      <c r="CG217" s="194"/>
      <c r="CH217" s="195"/>
      <c r="CI217" s="194"/>
      <c r="CJ217" s="194"/>
      <c r="CK217" s="194"/>
      <c r="CL217" s="196"/>
      <c r="CM217" s="196"/>
      <c r="CN217" s="194"/>
      <c r="CO217" s="197"/>
      <c r="CP217" s="196"/>
      <c r="CQ217" s="196"/>
      <c r="CR217" s="196"/>
      <c r="CS217" s="196"/>
      <c r="CT217" s="196"/>
      <c r="CU217" s="196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6"/>
      <c r="DG217" s="198"/>
      <c r="DH217" s="194"/>
      <c r="DI217" s="194"/>
    </row>
    <row r="218" spans="1:113" s="24" customFormat="1" hidden="1" x14ac:dyDescent="0.3">
      <c r="A218" s="172"/>
      <c r="B218" s="172"/>
      <c r="C218" s="172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4"/>
      <c r="BZ218" s="172"/>
      <c r="CA218" s="172"/>
      <c r="CD218" s="194"/>
      <c r="CE218" s="194"/>
      <c r="CF218" s="194"/>
      <c r="CG218" s="194"/>
      <c r="CH218" s="195"/>
      <c r="CI218" s="194"/>
      <c r="CJ218" s="194"/>
      <c r="CK218" s="194"/>
      <c r="CL218" s="196"/>
      <c r="CM218" s="196"/>
      <c r="CN218" s="194"/>
      <c r="CO218" s="197"/>
      <c r="CP218" s="196"/>
      <c r="CQ218" s="196"/>
      <c r="CR218" s="196"/>
      <c r="CS218" s="196"/>
      <c r="CT218" s="196"/>
      <c r="CU218" s="196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6"/>
      <c r="DG218" s="198"/>
      <c r="DH218" s="194"/>
      <c r="DI218" s="194"/>
    </row>
    <row r="219" spans="1:113" s="24" customFormat="1" hidden="1" x14ac:dyDescent="0.3">
      <c r="A219" s="172"/>
      <c r="B219" s="172"/>
      <c r="C219" s="172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4"/>
      <c r="BZ219" s="172"/>
      <c r="CA219" s="172"/>
      <c r="CD219" s="194"/>
      <c r="CE219" s="194"/>
      <c r="CF219" s="194"/>
      <c r="CG219" s="194"/>
      <c r="CH219" s="195"/>
      <c r="CI219" s="194"/>
      <c r="CJ219" s="194"/>
      <c r="CK219" s="194"/>
      <c r="CL219" s="196"/>
      <c r="CM219" s="196"/>
      <c r="CN219" s="194"/>
      <c r="CO219" s="197"/>
      <c r="CP219" s="196"/>
      <c r="CQ219" s="196"/>
      <c r="CR219" s="196"/>
      <c r="CS219" s="196"/>
      <c r="CT219" s="196"/>
      <c r="CU219" s="196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6"/>
      <c r="DG219" s="198"/>
      <c r="DH219" s="194"/>
      <c r="DI219" s="194"/>
    </row>
    <row r="220" spans="1:113" s="24" customFormat="1" hidden="1" x14ac:dyDescent="0.3">
      <c r="A220" s="172"/>
      <c r="B220" s="172"/>
      <c r="C220" s="172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4"/>
      <c r="BZ220" s="172"/>
      <c r="CA220" s="172"/>
      <c r="CD220" s="194"/>
      <c r="CE220" s="194"/>
      <c r="CF220" s="194"/>
      <c r="CG220" s="194"/>
      <c r="CH220" s="195"/>
      <c r="CI220" s="194"/>
      <c r="CJ220" s="194"/>
      <c r="CK220" s="194"/>
      <c r="CL220" s="196"/>
      <c r="CM220" s="196"/>
      <c r="CN220" s="194"/>
      <c r="CO220" s="197"/>
      <c r="CP220" s="196"/>
      <c r="CQ220" s="196"/>
      <c r="CR220" s="196"/>
      <c r="CS220" s="196"/>
      <c r="CT220" s="196"/>
      <c r="CU220" s="196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6"/>
      <c r="DG220" s="198"/>
      <c r="DH220" s="194"/>
      <c r="DI220" s="194"/>
    </row>
    <row r="221" spans="1:113" s="24" customFormat="1" hidden="1" x14ac:dyDescent="0.3">
      <c r="A221" s="172"/>
      <c r="B221" s="172"/>
      <c r="C221" s="172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4"/>
      <c r="BZ221" s="172"/>
      <c r="CA221" s="172"/>
      <c r="CD221" s="194"/>
      <c r="CE221" s="194"/>
      <c r="CF221" s="194"/>
      <c r="CG221" s="194"/>
      <c r="CH221" s="195"/>
      <c r="CI221" s="194"/>
      <c r="CJ221" s="194"/>
      <c r="CK221" s="194"/>
      <c r="CL221" s="196"/>
      <c r="CM221" s="196"/>
      <c r="CN221" s="194"/>
      <c r="CO221" s="197"/>
      <c r="CP221" s="196"/>
      <c r="CQ221" s="196"/>
      <c r="CR221" s="196"/>
      <c r="CS221" s="196"/>
      <c r="CT221" s="196"/>
      <c r="CU221" s="196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6"/>
      <c r="DG221" s="198"/>
      <c r="DH221" s="194"/>
      <c r="DI221" s="194"/>
    </row>
    <row r="222" spans="1:113" s="24" customFormat="1" hidden="1" x14ac:dyDescent="0.3">
      <c r="A222" s="172"/>
      <c r="B222" s="172"/>
      <c r="C222" s="172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4"/>
      <c r="BZ222" s="172"/>
      <c r="CA222" s="172"/>
      <c r="CD222" s="194"/>
      <c r="CE222" s="194"/>
      <c r="CF222" s="194"/>
      <c r="CG222" s="194"/>
      <c r="CH222" s="195"/>
      <c r="CI222" s="194"/>
      <c r="CJ222" s="194"/>
      <c r="CK222" s="194"/>
      <c r="CL222" s="196"/>
      <c r="CM222" s="196"/>
      <c r="CN222" s="194"/>
      <c r="CO222" s="197"/>
      <c r="CP222" s="196"/>
      <c r="CQ222" s="196"/>
      <c r="CR222" s="196"/>
      <c r="CS222" s="196"/>
      <c r="CT222" s="196"/>
      <c r="CU222" s="196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6"/>
      <c r="DG222" s="198"/>
      <c r="DH222" s="194"/>
      <c r="DI222" s="194"/>
    </row>
    <row r="223" spans="1:113" s="24" customFormat="1" hidden="1" x14ac:dyDescent="0.3">
      <c r="A223" s="172"/>
      <c r="B223" s="172"/>
      <c r="C223" s="172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4"/>
      <c r="BZ223" s="172"/>
      <c r="CA223" s="172"/>
      <c r="CD223" s="194"/>
      <c r="CE223" s="194"/>
      <c r="CF223" s="194"/>
      <c r="CG223" s="194"/>
      <c r="CH223" s="195"/>
      <c r="CI223" s="194"/>
      <c r="CJ223" s="194"/>
      <c r="CK223" s="194"/>
      <c r="CL223" s="196"/>
      <c r="CM223" s="196"/>
      <c r="CN223" s="194"/>
      <c r="CO223" s="197"/>
      <c r="CP223" s="196"/>
      <c r="CQ223" s="196"/>
      <c r="CR223" s="196"/>
      <c r="CS223" s="196"/>
      <c r="CT223" s="196"/>
      <c r="CU223" s="196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6"/>
      <c r="DG223" s="198"/>
      <c r="DH223" s="194"/>
      <c r="DI223" s="194"/>
    </row>
    <row r="224" spans="1:113" s="24" customFormat="1" hidden="1" x14ac:dyDescent="0.3">
      <c r="A224" s="172"/>
      <c r="B224" s="172"/>
      <c r="C224" s="172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4"/>
      <c r="BZ224" s="172"/>
      <c r="CA224" s="172"/>
      <c r="CD224" s="194"/>
      <c r="CE224" s="194"/>
      <c r="CF224" s="194"/>
      <c r="CG224" s="194"/>
      <c r="CH224" s="195"/>
      <c r="CI224" s="194"/>
      <c r="CJ224" s="194"/>
      <c r="CK224" s="194"/>
      <c r="CL224" s="196"/>
      <c r="CM224" s="196"/>
      <c r="CN224" s="194"/>
      <c r="CO224" s="197"/>
      <c r="CP224" s="196"/>
      <c r="CQ224" s="196"/>
      <c r="CR224" s="196"/>
      <c r="CS224" s="196"/>
      <c r="CT224" s="196"/>
      <c r="CU224" s="196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6"/>
      <c r="DG224" s="198"/>
      <c r="DH224" s="194"/>
      <c r="DI224" s="194"/>
    </row>
    <row r="225" spans="1:113" s="24" customFormat="1" hidden="1" x14ac:dyDescent="0.3">
      <c r="A225" s="172"/>
      <c r="B225" s="172"/>
      <c r="C225" s="172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4"/>
      <c r="BZ225" s="172"/>
      <c r="CA225" s="172"/>
      <c r="CD225" s="194"/>
      <c r="CE225" s="194"/>
      <c r="CF225" s="194"/>
      <c r="CG225" s="194"/>
      <c r="CH225" s="195"/>
      <c r="CI225" s="194"/>
      <c r="CJ225" s="194"/>
      <c r="CK225" s="194"/>
      <c r="CL225" s="196"/>
      <c r="CM225" s="196"/>
      <c r="CN225" s="194"/>
      <c r="CO225" s="197"/>
      <c r="CP225" s="196"/>
      <c r="CQ225" s="196"/>
      <c r="CR225" s="196"/>
      <c r="CS225" s="196"/>
      <c r="CT225" s="196"/>
      <c r="CU225" s="196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6"/>
      <c r="DG225" s="198"/>
      <c r="DH225" s="194"/>
      <c r="DI225" s="194"/>
    </row>
    <row r="226" spans="1:113" s="24" customFormat="1" hidden="1" x14ac:dyDescent="0.3">
      <c r="A226" s="172"/>
      <c r="B226" s="172"/>
      <c r="C226" s="172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4"/>
      <c r="BZ226" s="172"/>
      <c r="CA226" s="172"/>
      <c r="CD226" s="194"/>
      <c r="CE226" s="194"/>
      <c r="CF226" s="194"/>
      <c r="CG226" s="194"/>
      <c r="CH226" s="195"/>
      <c r="CI226" s="194"/>
      <c r="CJ226" s="194"/>
      <c r="CK226" s="194"/>
      <c r="CL226" s="196"/>
      <c r="CM226" s="196"/>
      <c r="CN226" s="194"/>
      <c r="CO226" s="197"/>
      <c r="CP226" s="196"/>
      <c r="CQ226" s="196"/>
      <c r="CR226" s="196"/>
      <c r="CS226" s="196"/>
      <c r="CT226" s="196"/>
      <c r="CU226" s="196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6"/>
      <c r="DG226" s="198"/>
      <c r="DH226" s="194"/>
      <c r="DI226" s="194"/>
    </row>
    <row r="227" spans="1:113" s="24" customFormat="1" hidden="1" x14ac:dyDescent="0.3">
      <c r="A227" s="172"/>
      <c r="B227" s="172"/>
      <c r="C227" s="172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4"/>
      <c r="BZ227" s="172"/>
      <c r="CA227" s="172"/>
      <c r="CD227" s="194"/>
      <c r="CE227" s="194"/>
      <c r="CF227" s="194"/>
      <c r="CG227" s="194"/>
      <c r="CH227" s="195"/>
      <c r="CI227" s="194"/>
      <c r="CJ227" s="194"/>
      <c r="CK227" s="194"/>
      <c r="CL227" s="196"/>
      <c r="CM227" s="196"/>
      <c r="CN227" s="194"/>
      <c r="CO227" s="197"/>
      <c r="CP227" s="196"/>
      <c r="CQ227" s="196"/>
      <c r="CR227" s="196"/>
      <c r="CS227" s="196"/>
      <c r="CT227" s="196"/>
      <c r="CU227" s="196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6"/>
      <c r="DG227" s="198"/>
      <c r="DH227" s="194"/>
      <c r="DI227" s="194"/>
    </row>
    <row r="228" spans="1:113" s="24" customFormat="1" hidden="1" x14ac:dyDescent="0.3">
      <c r="A228" s="172"/>
      <c r="B228" s="172"/>
      <c r="C228" s="172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4"/>
      <c r="BZ228" s="172"/>
      <c r="CA228" s="172"/>
      <c r="CD228" s="194"/>
      <c r="CE228" s="194"/>
      <c r="CF228" s="194"/>
      <c r="CG228" s="194"/>
      <c r="CH228" s="195"/>
      <c r="CI228" s="194"/>
      <c r="CJ228" s="194"/>
      <c r="CK228" s="194"/>
      <c r="CL228" s="196"/>
      <c r="CM228" s="196"/>
      <c r="CN228" s="194"/>
      <c r="CO228" s="197"/>
      <c r="CP228" s="196"/>
      <c r="CQ228" s="196"/>
      <c r="CR228" s="196"/>
      <c r="CS228" s="196"/>
      <c r="CT228" s="196"/>
      <c r="CU228" s="196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6"/>
      <c r="DG228" s="198"/>
      <c r="DH228" s="194"/>
      <c r="DI228" s="194"/>
    </row>
    <row r="229" spans="1:113" s="24" customFormat="1" hidden="1" x14ac:dyDescent="0.3">
      <c r="A229" s="172"/>
      <c r="B229" s="172"/>
      <c r="C229" s="172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4"/>
      <c r="BZ229" s="172"/>
      <c r="CA229" s="172"/>
      <c r="CD229" s="194"/>
      <c r="CE229" s="194"/>
      <c r="CF229" s="194"/>
      <c r="CG229" s="194"/>
      <c r="CH229" s="195"/>
      <c r="CI229" s="194"/>
      <c r="CJ229" s="194"/>
      <c r="CK229" s="194"/>
      <c r="CL229" s="196"/>
      <c r="CM229" s="196"/>
      <c r="CN229" s="194"/>
      <c r="CO229" s="197"/>
      <c r="CP229" s="196"/>
      <c r="CQ229" s="196"/>
      <c r="CR229" s="196"/>
      <c r="CS229" s="196"/>
      <c r="CT229" s="196"/>
      <c r="CU229" s="196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6"/>
      <c r="DG229" s="198"/>
      <c r="DH229" s="194"/>
      <c r="DI229" s="194"/>
    </row>
    <row r="230" spans="1:113" s="24" customFormat="1" hidden="1" x14ac:dyDescent="0.3">
      <c r="A230" s="172"/>
      <c r="B230" s="172"/>
      <c r="C230" s="172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4"/>
      <c r="BZ230" s="172"/>
      <c r="CA230" s="172"/>
      <c r="CD230" s="194"/>
      <c r="CE230" s="194"/>
      <c r="CF230" s="194"/>
      <c r="CG230" s="194"/>
      <c r="CH230" s="195"/>
      <c r="CI230" s="194"/>
      <c r="CJ230" s="194"/>
      <c r="CK230" s="194"/>
      <c r="CL230" s="196"/>
      <c r="CM230" s="196"/>
      <c r="CN230" s="194"/>
      <c r="CO230" s="197"/>
      <c r="CP230" s="196"/>
      <c r="CQ230" s="196"/>
      <c r="CR230" s="196"/>
      <c r="CS230" s="196"/>
      <c r="CT230" s="196"/>
      <c r="CU230" s="196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6"/>
      <c r="DG230" s="198"/>
      <c r="DH230" s="194"/>
      <c r="DI230" s="194"/>
    </row>
    <row r="231" spans="1:113" s="24" customFormat="1" hidden="1" x14ac:dyDescent="0.3">
      <c r="A231" s="172"/>
      <c r="B231" s="172"/>
      <c r="C231" s="172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4"/>
      <c r="BZ231" s="172"/>
      <c r="CA231" s="172"/>
      <c r="CD231" s="194"/>
      <c r="CE231" s="194"/>
      <c r="CF231" s="194"/>
      <c r="CG231" s="194"/>
      <c r="CH231" s="195"/>
      <c r="CI231" s="194"/>
      <c r="CJ231" s="194"/>
      <c r="CK231" s="194"/>
      <c r="CL231" s="196"/>
      <c r="CM231" s="196"/>
      <c r="CN231" s="194"/>
      <c r="CO231" s="197"/>
      <c r="CP231" s="196"/>
      <c r="CQ231" s="196"/>
      <c r="CR231" s="196"/>
      <c r="CS231" s="196"/>
      <c r="CT231" s="196"/>
      <c r="CU231" s="196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6"/>
      <c r="DG231" s="198"/>
      <c r="DH231" s="194"/>
      <c r="DI231" s="194"/>
    </row>
    <row r="232" spans="1:113" s="24" customFormat="1" hidden="1" x14ac:dyDescent="0.3">
      <c r="A232" s="172"/>
      <c r="B232" s="172"/>
      <c r="C232" s="172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4"/>
      <c r="BZ232" s="172"/>
      <c r="CA232" s="172"/>
      <c r="CD232" s="194"/>
      <c r="CE232" s="194"/>
      <c r="CF232" s="194"/>
      <c r="CG232" s="194"/>
      <c r="CH232" s="195"/>
      <c r="CI232" s="194"/>
      <c r="CJ232" s="194"/>
      <c r="CK232" s="194"/>
      <c r="CL232" s="196"/>
      <c r="CM232" s="196"/>
      <c r="CN232" s="194"/>
      <c r="CO232" s="197"/>
      <c r="CP232" s="196"/>
      <c r="CQ232" s="196"/>
      <c r="CR232" s="196"/>
      <c r="CS232" s="196"/>
      <c r="CT232" s="196"/>
      <c r="CU232" s="196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6"/>
      <c r="DG232" s="198"/>
      <c r="DH232" s="194"/>
      <c r="DI232" s="194"/>
    </row>
    <row r="233" spans="1:113" s="24" customFormat="1" hidden="1" x14ac:dyDescent="0.3">
      <c r="A233" s="172"/>
      <c r="B233" s="172"/>
      <c r="C233" s="172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4"/>
      <c r="BZ233" s="172"/>
      <c r="CA233" s="172"/>
      <c r="CD233" s="194"/>
      <c r="CE233" s="194"/>
      <c r="CF233" s="194"/>
      <c r="CG233" s="194"/>
      <c r="CH233" s="195"/>
      <c r="CI233" s="194"/>
      <c r="CJ233" s="194"/>
      <c r="CK233" s="194"/>
      <c r="CL233" s="196"/>
      <c r="CM233" s="196"/>
      <c r="CN233" s="194"/>
      <c r="CO233" s="197"/>
      <c r="CP233" s="196"/>
      <c r="CQ233" s="196"/>
      <c r="CR233" s="196"/>
      <c r="CS233" s="196"/>
      <c r="CT233" s="196"/>
      <c r="CU233" s="196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6"/>
      <c r="DG233" s="198"/>
      <c r="DH233" s="194"/>
      <c r="DI233" s="194"/>
    </row>
    <row r="234" spans="1:113" s="24" customFormat="1" hidden="1" x14ac:dyDescent="0.3">
      <c r="A234" s="172"/>
      <c r="B234" s="172"/>
      <c r="C234" s="172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4"/>
      <c r="BZ234" s="172"/>
      <c r="CA234" s="172"/>
      <c r="CD234" s="194"/>
      <c r="CE234" s="194"/>
      <c r="CF234" s="194"/>
      <c r="CG234" s="194"/>
      <c r="CH234" s="195"/>
      <c r="CI234" s="194"/>
      <c r="CJ234" s="194"/>
      <c r="CK234" s="194"/>
      <c r="CL234" s="196"/>
      <c r="CM234" s="196"/>
      <c r="CN234" s="194"/>
      <c r="CO234" s="197"/>
      <c r="CP234" s="196"/>
      <c r="CQ234" s="196"/>
      <c r="CR234" s="196"/>
      <c r="CS234" s="196"/>
      <c r="CT234" s="196"/>
      <c r="CU234" s="196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6"/>
      <c r="DG234" s="198"/>
      <c r="DH234" s="194"/>
      <c r="DI234" s="194"/>
    </row>
    <row r="235" spans="1:113" s="24" customFormat="1" hidden="1" x14ac:dyDescent="0.3">
      <c r="A235" s="172"/>
      <c r="B235" s="172"/>
      <c r="C235" s="172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4"/>
      <c r="BZ235" s="172"/>
      <c r="CA235" s="172"/>
      <c r="CD235" s="194"/>
      <c r="CE235" s="194"/>
      <c r="CF235" s="194"/>
      <c r="CG235" s="194"/>
      <c r="CH235" s="195"/>
      <c r="CI235" s="194"/>
      <c r="CJ235" s="194"/>
      <c r="CK235" s="194"/>
      <c r="CL235" s="196"/>
      <c r="CM235" s="196"/>
      <c r="CN235" s="194"/>
      <c r="CO235" s="197"/>
      <c r="CP235" s="196"/>
      <c r="CQ235" s="196"/>
      <c r="CR235" s="196"/>
      <c r="CS235" s="196"/>
      <c r="CT235" s="196"/>
      <c r="CU235" s="196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6"/>
      <c r="DG235" s="198"/>
      <c r="DH235" s="194"/>
      <c r="DI235" s="194"/>
    </row>
    <row r="236" spans="1:113" s="24" customFormat="1" hidden="1" x14ac:dyDescent="0.3">
      <c r="A236" s="172"/>
      <c r="B236" s="172"/>
      <c r="C236" s="172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4"/>
      <c r="BZ236" s="172"/>
      <c r="CA236" s="172"/>
      <c r="CD236" s="194"/>
      <c r="CE236" s="194"/>
      <c r="CF236" s="194"/>
      <c r="CG236" s="194"/>
      <c r="CH236" s="195"/>
      <c r="CI236" s="194"/>
      <c r="CJ236" s="194"/>
      <c r="CK236" s="194"/>
      <c r="CL236" s="196"/>
      <c r="CM236" s="196"/>
      <c r="CN236" s="194"/>
      <c r="CO236" s="197"/>
      <c r="CP236" s="196"/>
      <c r="CQ236" s="196"/>
      <c r="CR236" s="196"/>
      <c r="CS236" s="196"/>
      <c r="CT236" s="196"/>
      <c r="CU236" s="196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6"/>
      <c r="DG236" s="198"/>
      <c r="DH236" s="194"/>
      <c r="DI236" s="194"/>
    </row>
    <row r="237" spans="1:113" s="24" customFormat="1" hidden="1" x14ac:dyDescent="0.3">
      <c r="A237" s="172"/>
      <c r="B237" s="172"/>
      <c r="C237" s="172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4"/>
      <c r="BZ237" s="172"/>
      <c r="CA237" s="172"/>
      <c r="CD237" s="194"/>
      <c r="CE237" s="194"/>
      <c r="CF237" s="194"/>
      <c r="CG237" s="194"/>
      <c r="CH237" s="195"/>
      <c r="CI237" s="194"/>
      <c r="CJ237" s="194"/>
      <c r="CK237" s="194"/>
      <c r="CL237" s="196"/>
      <c r="CM237" s="196"/>
      <c r="CN237" s="194"/>
      <c r="CO237" s="197"/>
      <c r="CP237" s="196"/>
      <c r="CQ237" s="196"/>
      <c r="CR237" s="196"/>
      <c r="CS237" s="196"/>
      <c r="CT237" s="196"/>
      <c r="CU237" s="196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6"/>
      <c r="DG237" s="198"/>
      <c r="DH237" s="194"/>
      <c r="DI237" s="194"/>
    </row>
    <row r="238" spans="1:113" s="24" customFormat="1" hidden="1" x14ac:dyDescent="0.3">
      <c r="A238" s="172"/>
      <c r="B238" s="172"/>
      <c r="C238" s="172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4"/>
      <c r="BZ238" s="172"/>
      <c r="CA238" s="172"/>
      <c r="CD238" s="194"/>
      <c r="CE238" s="194"/>
      <c r="CF238" s="194"/>
      <c r="CG238" s="194"/>
      <c r="CH238" s="195"/>
      <c r="CI238" s="194"/>
      <c r="CJ238" s="194"/>
      <c r="CK238" s="194"/>
      <c r="CL238" s="196"/>
      <c r="CM238" s="196"/>
      <c r="CN238" s="194"/>
      <c r="CO238" s="197"/>
      <c r="CP238" s="196"/>
      <c r="CQ238" s="196"/>
      <c r="CR238" s="196"/>
      <c r="CS238" s="196"/>
      <c r="CT238" s="196"/>
      <c r="CU238" s="196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6"/>
      <c r="DG238" s="198"/>
      <c r="DH238" s="194"/>
      <c r="DI238" s="194"/>
    </row>
    <row r="239" spans="1:113" s="24" customFormat="1" hidden="1" x14ac:dyDescent="0.3">
      <c r="A239" s="172"/>
      <c r="B239" s="172"/>
      <c r="C239" s="172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4"/>
      <c r="BZ239" s="172"/>
      <c r="CA239" s="172"/>
      <c r="CD239" s="194"/>
      <c r="CE239" s="194"/>
      <c r="CF239" s="194"/>
      <c r="CG239" s="194"/>
      <c r="CH239" s="195"/>
      <c r="CI239" s="194"/>
      <c r="CJ239" s="194"/>
      <c r="CK239" s="194"/>
      <c r="CL239" s="196"/>
      <c r="CM239" s="196"/>
      <c r="CN239" s="194"/>
      <c r="CO239" s="197"/>
      <c r="CP239" s="196"/>
      <c r="CQ239" s="196"/>
      <c r="CR239" s="196"/>
      <c r="CS239" s="196"/>
      <c r="CT239" s="196"/>
      <c r="CU239" s="196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6"/>
      <c r="DG239" s="198"/>
      <c r="DH239" s="194"/>
      <c r="DI239" s="194"/>
    </row>
    <row r="240" spans="1:113" s="24" customFormat="1" hidden="1" x14ac:dyDescent="0.3">
      <c r="A240" s="172"/>
      <c r="B240" s="172"/>
      <c r="C240" s="172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4"/>
      <c r="BZ240" s="172"/>
      <c r="CA240" s="172"/>
      <c r="CD240" s="194"/>
      <c r="CE240" s="194"/>
      <c r="CF240" s="194"/>
      <c r="CG240" s="194"/>
      <c r="CH240" s="195"/>
      <c r="CI240" s="194"/>
      <c r="CJ240" s="194"/>
      <c r="CK240" s="194"/>
      <c r="CL240" s="196"/>
      <c r="CM240" s="196"/>
      <c r="CN240" s="194"/>
      <c r="CO240" s="197"/>
      <c r="CP240" s="196"/>
      <c r="CQ240" s="196"/>
      <c r="CR240" s="196"/>
      <c r="CS240" s="196"/>
      <c r="CT240" s="196"/>
      <c r="CU240" s="196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6"/>
      <c r="DG240" s="198"/>
      <c r="DH240" s="194"/>
      <c r="DI240" s="194"/>
    </row>
    <row r="241" spans="1:113" s="24" customFormat="1" hidden="1" x14ac:dyDescent="0.3">
      <c r="A241" s="172"/>
      <c r="B241" s="172"/>
      <c r="C241" s="172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4"/>
      <c r="BZ241" s="172"/>
      <c r="CA241" s="172"/>
      <c r="CD241" s="194"/>
      <c r="CE241" s="194"/>
      <c r="CF241" s="194"/>
      <c r="CG241" s="194"/>
      <c r="CH241" s="195"/>
      <c r="CI241" s="194"/>
      <c r="CJ241" s="194"/>
      <c r="CK241" s="194"/>
      <c r="CL241" s="196"/>
      <c r="CM241" s="196"/>
      <c r="CN241" s="194"/>
      <c r="CO241" s="197"/>
      <c r="CP241" s="196"/>
      <c r="CQ241" s="196"/>
      <c r="CR241" s="196"/>
      <c r="CS241" s="196"/>
      <c r="CT241" s="196"/>
      <c r="CU241" s="196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6"/>
      <c r="DG241" s="198"/>
      <c r="DH241" s="194"/>
      <c r="DI241" s="194"/>
    </row>
    <row r="242" spans="1:113" s="24" customFormat="1" hidden="1" x14ac:dyDescent="0.3">
      <c r="A242" s="172"/>
      <c r="B242" s="172"/>
      <c r="C242" s="172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4"/>
      <c r="BZ242" s="172"/>
      <c r="CA242" s="172"/>
      <c r="CD242" s="194"/>
      <c r="CE242" s="194"/>
      <c r="CF242" s="194"/>
      <c r="CG242" s="194"/>
      <c r="CH242" s="195"/>
      <c r="CI242" s="194"/>
      <c r="CJ242" s="194"/>
      <c r="CK242" s="194"/>
      <c r="CL242" s="196"/>
      <c r="CM242" s="196"/>
      <c r="CN242" s="194"/>
      <c r="CO242" s="197"/>
      <c r="CP242" s="196"/>
      <c r="CQ242" s="196"/>
      <c r="CR242" s="196"/>
      <c r="CS242" s="196"/>
      <c r="CT242" s="196"/>
      <c r="CU242" s="196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6"/>
      <c r="DG242" s="198"/>
      <c r="DH242" s="194"/>
      <c r="DI242" s="194"/>
    </row>
    <row r="243" spans="1:113" s="24" customFormat="1" hidden="1" x14ac:dyDescent="0.3">
      <c r="A243" s="172"/>
      <c r="B243" s="172"/>
      <c r="C243" s="172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4"/>
      <c r="BZ243" s="172"/>
      <c r="CA243" s="172"/>
      <c r="CD243" s="194"/>
      <c r="CE243" s="194"/>
      <c r="CF243" s="194"/>
      <c r="CG243" s="194"/>
      <c r="CH243" s="195"/>
      <c r="CI243" s="194"/>
      <c r="CJ243" s="194"/>
      <c r="CK243" s="194"/>
      <c r="CL243" s="196"/>
      <c r="CM243" s="196"/>
      <c r="CN243" s="194"/>
      <c r="CO243" s="197"/>
      <c r="CP243" s="196"/>
      <c r="CQ243" s="196"/>
      <c r="CR243" s="196"/>
      <c r="CS243" s="196"/>
      <c r="CT243" s="196"/>
      <c r="CU243" s="196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6"/>
      <c r="DG243" s="198"/>
      <c r="DH243" s="194"/>
      <c r="DI243" s="194"/>
    </row>
    <row r="244" spans="1:113" s="24" customFormat="1" hidden="1" x14ac:dyDescent="0.3">
      <c r="A244" s="172"/>
      <c r="B244" s="172"/>
      <c r="C244" s="172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4"/>
      <c r="BZ244" s="172"/>
      <c r="CA244" s="172"/>
      <c r="CD244" s="194"/>
      <c r="CE244" s="194"/>
      <c r="CF244" s="194"/>
      <c r="CG244" s="194"/>
      <c r="CH244" s="195"/>
      <c r="CI244" s="194"/>
      <c r="CJ244" s="194"/>
      <c r="CK244" s="194"/>
      <c r="CL244" s="196"/>
      <c r="CM244" s="196"/>
      <c r="CN244" s="194"/>
      <c r="CO244" s="197"/>
      <c r="CP244" s="196"/>
      <c r="CQ244" s="196"/>
      <c r="CR244" s="196"/>
      <c r="CS244" s="196"/>
      <c r="CT244" s="196"/>
      <c r="CU244" s="196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6"/>
      <c r="DG244" s="198"/>
      <c r="DH244" s="194"/>
      <c r="DI244" s="194"/>
    </row>
    <row r="245" spans="1:113" s="24" customFormat="1" hidden="1" x14ac:dyDescent="0.3">
      <c r="A245" s="172"/>
      <c r="B245" s="172"/>
      <c r="C245" s="172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4"/>
      <c r="BZ245" s="172"/>
      <c r="CA245" s="172"/>
      <c r="CD245" s="194"/>
      <c r="CE245" s="194"/>
      <c r="CF245" s="194"/>
      <c r="CG245" s="194"/>
      <c r="CH245" s="195"/>
      <c r="CI245" s="194"/>
      <c r="CJ245" s="194"/>
      <c r="CK245" s="194"/>
      <c r="CL245" s="196"/>
      <c r="CM245" s="196"/>
      <c r="CN245" s="194"/>
      <c r="CO245" s="197"/>
      <c r="CP245" s="196"/>
      <c r="CQ245" s="196"/>
      <c r="CR245" s="196"/>
      <c r="CS245" s="196"/>
      <c r="CT245" s="196"/>
      <c r="CU245" s="196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6"/>
      <c r="DG245" s="198"/>
      <c r="DH245" s="194"/>
      <c r="DI245" s="194"/>
    </row>
    <row r="246" spans="1:113" s="24" customFormat="1" hidden="1" x14ac:dyDescent="0.3">
      <c r="A246" s="172"/>
      <c r="B246" s="172"/>
      <c r="C246" s="172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4"/>
      <c r="BZ246" s="172"/>
      <c r="CA246" s="172"/>
      <c r="CD246" s="194"/>
      <c r="CE246" s="194"/>
      <c r="CF246" s="194"/>
      <c r="CG246" s="194"/>
      <c r="CH246" s="195"/>
      <c r="CI246" s="194"/>
      <c r="CJ246" s="194"/>
      <c r="CK246" s="194"/>
      <c r="CL246" s="196"/>
      <c r="CM246" s="196"/>
      <c r="CN246" s="194"/>
      <c r="CO246" s="197"/>
      <c r="CP246" s="196"/>
      <c r="CQ246" s="196"/>
      <c r="CR246" s="196"/>
      <c r="CS246" s="196"/>
      <c r="CT246" s="196"/>
      <c r="CU246" s="196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6"/>
      <c r="DG246" s="198"/>
      <c r="DH246" s="194"/>
      <c r="DI246" s="194"/>
    </row>
    <row r="247" spans="1:113" s="24" customFormat="1" hidden="1" x14ac:dyDescent="0.3">
      <c r="A247" s="172"/>
      <c r="B247" s="172"/>
      <c r="C247" s="172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4"/>
      <c r="BZ247" s="172"/>
      <c r="CA247" s="172"/>
      <c r="CD247" s="194"/>
      <c r="CE247" s="194"/>
      <c r="CF247" s="194"/>
      <c r="CG247" s="194"/>
      <c r="CH247" s="195"/>
      <c r="CI247" s="194"/>
      <c r="CJ247" s="194"/>
      <c r="CK247" s="194"/>
      <c r="CL247" s="196"/>
      <c r="CM247" s="196"/>
      <c r="CN247" s="194"/>
      <c r="CO247" s="197"/>
      <c r="CP247" s="196"/>
      <c r="CQ247" s="196"/>
      <c r="CR247" s="196"/>
      <c r="CS247" s="196"/>
      <c r="CT247" s="196"/>
      <c r="CU247" s="196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6"/>
      <c r="DG247" s="198"/>
      <c r="DH247" s="194"/>
      <c r="DI247" s="194"/>
    </row>
    <row r="248" spans="1:113" s="24" customFormat="1" hidden="1" x14ac:dyDescent="0.3">
      <c r="A248" s="172"/>
      <c r="B248" s="172"/>
      <c r="C248" s="172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4"/>
      <c r="BZ248" s="172"/>
      <c r="CA248" s="172"/>
      <c r="CD248" s="194"/>
      <c r="CE248" s="194"/>
      <c r="CF248" s="194"/>
      <c r="CG248" s="194"/>
      <c r="CH248" s="195"/>
      <c r="CI248" s="194"/>
      <c r="CJ248" s="194"/>
      <c r="CK248" s="194"/>
      <c r="CL248" s="196"/>
      <c r="CM248" s="196"/>
      <c r="CN248" s="194"/>
      <c r="CO248" s="197"/>
      <c r="CP248" s="196"/>
      <c r="CQ248" s="196"/>
      <c r="CR248" s="196"/>
      <c r="CS248" s="196"/>
      <c r="CT248" s="196"/>
      <c r="CU248" s="196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6"/>
      <c r="DG248" s="198"/>
      <c r="DH248" s="194"/>
      <c r="DI248" s="194"/>
    </row>
    <row r="249" spans="1:113" s="24" customFormat="1" hidden="1" x14ac:dyDescent="0.3">
      <c r="A249" s="172"/>
      <c r="B249" s="172"/>
      <c r="C249" s="172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4"/>
      <c r="BZ249" s="172"/>
      <c r="CA249" s="172"/>
      <c r="CD249" s="194"/>
      <c r="CE249" s="194"/>
      <c r="CF249" s="194"/>
      <c r="CG249" s="194"/>
      <c r="CH249" s="195"/>
      <c r="CI249" s="194"/>
      <c r="CJ249" s="194"/>
      <c r="CK249" s="194"/>
      <c r="CL249" s="196"/>
      <c r="CM249" s="196"/>
      <c r="CN249" s="194"/>
      <c r="CO249" s="197"/>
      <c r="CP249" s="196"/>
      <c r="CQ249" s="196"/>
      <c r="CR249" s="196"/>
      <c r="CS249" s="196"/>
      <c r="CT249" s="196"/>
      <c r="CU249" s="196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6"/>
      <c r="DG249" s="198"/>
      <c r="DH249" s="194"/>
      <c r="DI249" s="194"/>
    </row>
    <row r="250" spans="1:113" s="24" customFormat="1" hidden="1" x14ac:dyDescent="0.3">
      <c r="A250" s="172"/>
      <c r="B250" s="172"/>
      <c r="C250" s="172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4"/>
      <c r="BZ250" s="172"/>
      <c r="CA250" s="172"/>
      <c r="CD250" s="194"/>
      <c r="CE250" s="194"/>
      <c r="CF250" s="194"/>
      <c r="CG250" s="194"/>
      <c r="CH250" s="195"/>
      <c r="CI250" s="194"/>
      <c r="CJ250" s="194"/>
      <c r="CK250" s="194"/>
      <c r="CL250" s="196"/>
      <c r="CM250" s="196"/>
      <c r="CN250" s="194"/>
      <c r="CO250" s="197"/>
      <c r="CP250" s="196"/>
      <c r="CQ250" s="196"/>
      <c r="CR250" s="196"/>
      <c r="CS250" s="196"/>
      <c r="CT250" s="196"/>
      <c r="CU250" s="196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6"/>
      <c r="DG250" s="198"/>
      <c r="DH250" s="194"/>
      <c r="DI250" s="194"/>
    </row>
    <row r="251" spans="1:113" s="24" customFormat="1" hidden="1" x14ac:dyDescent="0.3">
      <c r="A251" s="172"/>
      <c r="B251" s="172"/>
      <c r="C251" s="172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4"/>
      <c r="BZ251" s="172"/>
      <c r="CA251" s="172"/>
      <c r="CD251" s="194"/>
      <c r="CE251" s="194"/>
      <c r="CF251" s="194"/>
      <c r="CG251" s="194"/>
      <c r="CH251" s="195"/>
      <c r="CI251" s="194"/>
      <c r="CJ251" s="194"/>
      <c r="CK251" s="194"/>
      <c r="CL251" s="196"/>
      <c r="CM251" s="196"/>
      <c r="CN251" s="194"/>
      <c r="CO251" s="197"/>
      <c r="CP251" s="196"/>
      <c r="CQ251" s="196"/>
      <c r="CR251" s="196"/>
      <c r="CS251" s="196"/>
      <c r="CT251" s="196"/>
      <c r="CU251" s="196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6"/>
      <c r="DG251" s="198"/>
      <c r="DH251" s="194"/>
      <c r="DI251" s="194"/>
    </row>
    <row r="252" spans="1:113" s="24" customFormat="1" hidden="1" x14ac:dyDescent="0.3">
      <c r="A252" s="172"/>
      <c r="B252" s="172"/>
      <c r="C252" s="172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4"/>
      <c r="BZ252" s="172"/>
      <c r="CA252" s="172"/>
      <c r="CD252" s="194"/>
      <c r="CE252" s="194"/>
      <c r="CF252" s="194"/>
      <c r="CG252" s="194"/>
      <c r="CH252" s="195"/>
      <c r="CI252" s="194"/>
      <c r="CJ252" s="194"/>
      <c r="CK252" s="194"/>
      <c r="CL252" s="196"/>
      <c r="CM252" s="196"/>
      <c r="CN252" s="194"/>
      <c r="CO252" s="197"/>
      <c r="CP252" s="196"/>
      <c r="CQ252" s="196"/>
      <c r="CR252" s="196"/>
      <c r="CS252" s="196"/>
      <c r="CT252" s="196"/>
      <c r="CU252" s="196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6"/>
      <c r="DG252" s="198"/>
      <c r="DH252" s="194"/>
      <c r="DI252" s="194"/>
    </row>
    <row r="253" spans="1:113" s="24" customFormat="1" hidden="1" x14ac:dyDescent="0.3">
      <c r="A253" s="172"/>
      <c r="B253" s="172"/>
      <c r="C253" s="172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4"/>
      <c r="BZ253" s="172"/>
      <c r="CA253" s="172"/>
      <c r="CD253" s="194"/>
      <c r="CE253" s="194"/>
      <c r="CF253" s="194"/>
      <c r="CG253" s="194"/>
      <c r="CH253" s="195"/>
      <c r="CI253" s="194"/>
      <c r="CJ253" s="194"/>
      <c r="CK253" s="194"/>
      <c r="CL253" s="196"/>
      <c r="CM253" s="196"/>
      <c r="CN253" s="194"/>
      <c r="CO253" s="197"/>
      <c r="CP253" s="196"/>
      <c r="CQ253" s="196"/>
      <c r="CR253" s="196"/>
      <c r="CS253" s="196"/>
      <c r="CT253" s="196"/>
      <c r="CU253" s="196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6"/>
      <c r="DG253" s="198"/>
      <c r="DH253" s="194"/>
      <c r="DI253" s="194"/>
    </row>
    <row r="254" spans="1:113" s="24" customFormat="1" hidden="1" x14ac:dyDescent="0.3">
      <c r="A254" s="172"/>
      <c r="B254" s="172"/>
      <c r="C254" s="172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4"/>
      <c r="BZ254" s="172"/>
      <c r="CA254" s="172"/>
      <c r="CD254" s="194"/>
      <c r="CE254" s="194"/>
      <c r="CF254" s="194"/>
      <c r="CG254" s="194"/>
      <c r="CH254" s="195"/>
      <c r="CI254" s="194"/>
      <c r="CJ254" s="194"/>
      <c r="CK254" s="194"/>
      <c r="CL254" s="196"/>
      <c r="CM254" s="196"/>
      <c r="CN254" s="194"/>
      <c r="CO254" s="197"/>
      <c r="CP254" s="196"/>
      <c r="CQ254" s="196"/>
      <c r="CR254" s="196"/>
      <c r="CS254" s="196"/>
      <c r="CT254" s="196"/>
      <c r="CU254" s="196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6"/>
      <c r="DG254" s="198"/>
      <c r="DH254" s="194"/>
      <c r="DI254" s="194"/>
    </row>
    <row r="255" spans="1:113" s="24" customFormat="1" hidden="1" x14ac:dyDescent="0.3">
      <c r="A255" s="172"/>
      <c r="B255" s="172"/>
      <c r="C255" s="172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4"/>
      <c r="BZ255" s="172"/>
      <c r="CA255" s="172"/>
      <c r="CD255" s="194"/>
      <c r="CE255" s="194"/>
      <c r="CF255" s="194"/>
      <c r="CG255" s="194"/>
      <c r="CH255" s="195"/>
      <c r="CI255" s="194"/>
      <c r="CJ255" s="194"/>
      <c r="CK255" s="194"/>
      <c r="CL255" s="196"/>
      <c r="CM255" s="196"/>
      <c r="CN255" s="194"/>
      <c r="CO255" s="197"/>
      <c r="CP255" s="196"/>
      <c r="CQ255" s="196"/>
      <c r="CR255" s="196"/>
      <c r="CS255" s="196"/>
      <c r="CT255" s="196"/>
      <c r="CU255" s="196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6"/>
      <c r="DG255" s="198"/>
      <c r="DH255" s="194"/>
      <c r="DI255" s="194"/>
    </row>
    <row r="256" spans="1:113" s="24" customFormat="1" hidden="1" x14ac:dyDescent="0.3">
      <c r="A256" s="172"/>
      <c r="B256" s="172"/>
      <c r="C256" s="172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4"/>
      <c r="BZ256" s="172"/>
      <c r="CA256" s="172"/>
      <c r="CD256" s="194"/>
      <c r="CE256" s="194"/>
      <c r="CF256" s="194"/>
      <c r="CG256" s="194"/>
      <c r="CH256" s="195"/>
      <c r="CI256" s="194"/>
      <c r="CJ256" s="194"/>
      <c r="CK256" s="194"/>
      <c r="CL256" s="196"/>
      <c r="CM256" s="196"/>
      <c r="CN256" s="194"/>
      <c r="CO256" s="197"/>
      <c r="CP256" s="196"/>
      <c r="CQ256" s="196"/>
      <c r="CR256" s="196"/>
      <c r="CS256" s="196"/>
      <c r="CT256" s="196"/>
      <c r="CU256" s="196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6"/>
      <c r="DG256" s="198"/>
      <c r="DH256" s="194"/>
      <c r="DI256" s="194"/>
    </row>
    <row r="257" spans="1:113" s="24" customFormat="1" hidden="1" x14ac:dyDescent="0.3">
      <c r="A257" s="172"/>
      <c r="B257" s="172"/>
      <c r="C257" s="172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4"/>
      <c r="BZ257" s="172"/>
      <c r="CA257" s="172"/>
      <c r="CD257" s="194"/>
      <c r="CE257" s="194"/>
      <c r="CF257" s="194"/>
      <c r="CG257" s="194"/>
      <c r="CH257" s="195"/>
      <c r="CI257" s="194"/>
      <c r="CJ257" s="194"/>
      <c r="CK257" s="194"/>
      <c r="CL257" s="196"/>
      <c r="CM257" s="196"/>
      <c r="CN257" s="194"/>
      <c r="CO257" s="197"/>
      <c r="CP257" s="196"/>
      <c r="CQ257" s="196"/>
      <c r="CR257" s="196"/>
      <c r="CS257" s="196"/>
      <c r="CT257" s="196"/>
      <c r="CU257" s="196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6"/>
      <c r="DG257" s="198"/>
      <c r="DH257" s="194"/>
      <c r="DI257" s="194"/>
    </row>
    <row r="258" spans="1:113" s="24" customFormat="1" hidden="1" x14ac:dyDescent="0.3">
      <c r="A258" s="172"/>
      <c r="B258" s="172"/>
      <c r="C258" s="172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4"/>
      <c r="BZ258" s="172"/>
      <c r="CA258" s="172"/>
      <c r="CD258" s="194"/>
      <c r="CE258" s="194"/>
      <c r="CF258" s="194"/>
      <c r="CG258" s="194"/>
      <c r="CH258" s="195"/>
      <c r="CI258" s="194"/>
      <c r="CJ258" s="194"/>
      <c r="CK258" s="194"/>
      <c r="CL258" s="196"/>
      <c r="CM258" s="196"/>
      <c r="CN258" s="194"/>
      <c r="CO258" s="197"/>
      <c r="CP258" s="196"/>
      <c r="CQ258" s="196"/>
      <c r="CR258" s="196"/>
      <c r="CS258" s="196"/>
      <c r="CT258" s="196"/>
      <c r="CU258" s="196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6"/>
      <c r="DG258" s="198"/>
      <c r="DH258" s="194"/>
      <c r="DI258" s="194"/>
    </row>
    <row r="259" spans="1:113" s="24" customFormat="1" hidden="1" x14ac:dyDescent="0.3">
      <c r="A259" s="172"/>
      <c r="B259" s="172"/>
      <c r="C259" s="172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4"/>
      <c r="BZ259" s="172"/>
      <c r="CA259" s="172"/>
      <c r="CD259" s="194"/>
      <c r="CE259" s="194"/>
      <c r="CF259" s="194"/>
      <c r="CG259" s="194"/>
      <c r="CH259" s="195"/>
      <c r="CI259" s="194"/>
      <c r="CJ259" s="194"/>
      <c r="CK259" s="194"/>
      <c r="CL259" s="196"/>
      <c r="CM259" s="196"/>
      <c r="CN259" s="194"/>
      <c r="CO259" s="197"/>
      <c r="CP259" s="196"/>
      <c r="CQ259" s="196"/>
      <c r="CR259" s="196"/>
      <c r="CS259" s="196"/>
      <c r="CT259" s="196"/>
      <c r="CU259" s="196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6"/>
      <c r="DG259" s="198"/>
      <c r="DH259" s="194"/>
      <c r="DI259" s="194"/>
    </row>
    <row r="260" spans="1:113" s="24" customFormat="1" hidden="1" x14ac:dyDescent="0.3">
      <c r="A260" s="172"/>
      <c r="B260" s="172"/>
      <c r="C260" s="172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4"/>
      <c r="BZ260" s="172"/>
      <c r="CA260" s="172"/>
      <c r="CD260" s="194"/>
      <c r="CE260" s="194"/>
      <c r="CF260" s="194"/>
      <c r="CG260" s="194"/>
      <c r="CH260" s="195"/>
      <c r="CI260" s="194"/>
      <c r="CJ260" s="194"/>
      <c r="CK260" s="194"/>
      <c r="CL260" s="196"/>
      <c r="CM260" s="196"/>
      <c r="CN260" s="194"/>
      <c r="CO260" s="197"/>
      <c r="CP260" s="196"/>
      <c r="CQ260" s="196"/>
      <c r="CR260" s="196"/>
      <c r="CS260" s="196"/>
      <c r="CT260" s="196"/>
      <c r="CU260" s="196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6"/>
      <c r="DG260" s="198"/>
      <c r="DH260" s="194"/>
      <c r="DI260" s="194"/>
    </row>
    <row r="261" spans="1:113" s="24" customFormat="1" hidden="1" x14ac:dyDescent="0.3">
      <c r="A261" s="172"/>
      <c r="B261" s="172"/>
      <c r="C261" s="172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4"/>
      <c r="BZ261" s="172"/>
      <c r="CA261" s="172"/>
      <c r="CD261" s="194"/>
      <c r="CE261" s="194"/>
      <c r="CF261" s="194"/>
      <c r="CG261" s="194"/>
      <c r="CH261" s="195"/>
      <c r="CI261" s="194"/>
      <c r="CJ261" s="194"/>
      <c r="CK261" s="194"/>
      <c r="CL261" s="196"/>
      <c r="CM261" s="196"/>
      <c r="CN261" s="194"/>
      <c r="CO261" s="197"/>
      <c r="CP261" s="196"/>
      <c r="CQ261" s="196"/>
      <c r="CR261" s="196"/>
      <c r="CS261" s="196"/>
      <c r="CT261" s="196"/>
      <c r="CU261" s="196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6"/>
      <c r="DG261" s="198"/>
      <c r="DH261" s="194"/>
      <c r="DI261" s="194"/>
    </row>
    <row r="262" spans="1:113" s="24" customFormat="1" hidden="1" x14ac:dyDescent="0.3">
      <c r="A262" s="172"/>
      <c r="B262" s="172"/>
      <c r="C262" s="172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4"/>
      <c r="BZ262" s="172"/>
      <c r="CA262" s="172"/>
      <c r="CD262" s="194"/>
      <c r="CE262" s="194"/>
      <c r="CF262" s="194"/>
      <c r="CG262" s="194"/>
      <c r="CH262" s="195"/>
      <c r="CI262" s="194"/>
      <c r="CJ262" s="194"/>
      <c r="CK262" s="194"/>
      <c r="CL262" s="196"/>
      <c r="CM262" s="196"/>
      <c r="CN262" s="194"/>
      <c r="CO262" s="197"/>
      <c r="CP262" s="196"/>
      <c r="CQ262" s="196"/>
      <c r="CR262" s="196"/>
      <c r="CS262" s="196"/>
      <c r="CT262" s="196"/>
      <c r="CU262" s="196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6"/>
      <c r="DG262" s="198"/>
      <c r="DH262" s="194"/>
      <c r="DI262" s="194"/>
    </row>
    <row r="263" spans="1:113" s="24" customFormat="1" hidden="1" x14ac:dyDescent="0.3">
      <c r="A263" s="172"/>
      <c r="B263" s="172"/>
      <c r="C263" s="172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4"/>
      <c r="BZ263" s="172"/>
      <c r="CA263" s="172"/>
      <c r="CD263" s="194"/>
      <c r="CE263" s="194"/>
      <c r="CF263" s="194"/>
      <c r="CG263" s="194"/>
      <c r="CH263" s="195"/>
      <c r="CI263" s="194"/>
      <c r="CJ263" s="194"/>
      <c r="CK263" s="194"/>
      <c r="CL263" s="196"/>
      <c r="CM263" s="196"/>
      <c r="CN263" s="194"/>
      <c r="CO263" s="197"/>
      <c r="CP263" s="196"/>
      <c r="CQ263" s="196"/>
      <c r="CR263" s="196"/>
      <c r="CS263" s="196"/>
      <c r="CT263" s="196"/>
      <c r="CU263" s="196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6"/>
      <c r="DG263" s="198"/>
      <c r="DH263" s="194"/>
      <c r="DI263" s="194"/>
    </row>
    <row r="264" spans="1:113" s="24" customFormat="1" hidden="1" x14ac:dyDescent="0.3">
      <c r="A264" s="172"/>
      <c r="B264" s="172"/>
      <c r="C264" s="172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4"/>
      <c r="BZ264" s="172"/>
      <c r="CA264" s="172"/>
      <c r="CD264" s="194"/>
      <c r="CE264" s="194"/>
      <c r="CF264" s="194"/>
      <c r="CG264" s="194"/>
      <c r="CH264" s="195"/>
      <c r="CI264" s="194"/>
      <c r="CJ264" s="194"/>
      <c r="CK264" s="194"/>
      <c r="CL264" s="196"/>
      <c r="CM264" s="196"/>
      <c r="CN264" s="194"/>
      <c r="CO264" s="197"/>
      <c r="CP264" s="196"/>
      <c r="CQ264" s="196"/>
      <c r="CR264" s="196"/>
      <c r="CS264" s="196"/>
      <c r="CT264" s="196"/>
      <c r="CU264" s="196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6"/>
      <c r="DG264" s="198"/>
      <c r="DH264" s="194"/>
      <c r="DI264" s="194"/>
    </row>
    <row r="265" spans="1:113" s="24" customFormat="1" hidden="1" x14ac:dyDescent="0.3">
      <c r="A265" s="172"/>
      <c r="B265" s="172"/>
      <c r="C265" s="172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4"/>
      <c r="BZ265" s="172"/>
      <c r="CA265" s="172"/>
      <c r="CD265" s="194"/>
      <c r="CE265" s="194"/>
      <c r="CF265" s="194"/>
      <c r="CG265" s="194"/>
      <c r="CH265" s="195"/>
      <c r="CI265" s="194"/>
      <c r="CJ265" s="194"/>
      <c r="CK265" s="194"/>
      <c r="CL265" s="196"/>
      <c r="CM265" s="196"/>
      <c r="CN265" s="194"/>
      <c r="CO265" s="197"/>
      <c r="CP265" s="196"/>
      <c r="CQ265" s="196"/>
      <c r="CR265" s="196"/>
      <c r="CS265" s="196"/>
      <c r="CT265" s="196"/>
      <c r="CU265" s="196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6"/>
      <c r="DG265" s="198"/>
      <c r="DH265" s="194"/>
      <c r="DI265" s="194"/>
    </row>
    <row r="266" spans="1:113" s="24" customFormat="1" hidden="1" x14ac:dyDescent="0.3">
      <c r="A266" s="172"/>
      <c r="B266" s="172"/>
      <c r="C266" s="172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4"/>
      <c r="BZ266" s="172"/>
      <c r="CA266" s="172"/>
      <c r="CD266" s="194"/>
      <c r="CE266" s="194"/>
      <c r="CF266" s="194"/>
      <c r="CG266" s="194"/>
      <c r="CH266" s="195"/>
      <c r="CI266" s="194"/>
      <c r="CJ266" s="194"/>
      <c r="CK266" s="194"/>
      <c r="CL266" s="196"/>
      <c r="CM266" s="196"/>
      <c r="CN266" s="194"/>
      <c r="CO266" s="197"/>
      <c r="CP266" s="196"/>
      <c r="CQ266" s="196"/>
      <c r="CR266" s="196"/>
      <c r="CS266" s="196"/>
      <c r="CT266" s="196"/>
      <c r="CU266" s="196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6"/>
      <c r="DG266" s="198"/>
      <c r="DH266" s="194"/>
      <c r="DI266" s="194"/>
    </row>
    <row r="267" spans="1:113" s="24" customFormat="1" hidden="1" x14ac:dyDescent="0.3">
      <c r="A267" s="172"/>
      <c r="B267" s="172"/>
      <c r="C267" s="172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4"/>
      <c r="BZ267" s="172"/>
      <c r="CA267" s="172"/>
      <c r="CD267" s="194"/>
      <c r="CE267" s="194"/>
      <c r="CF267" s="194"/>
      <c r="CG267" s="194"/>
      <c r="CH267" s="195"/>
      <c r="CI267" s="194"/>
      <c r="CJ267" s="194"/>
      <c r="CK267" s="194"/>
      <c r="CL267" s="196"/>
      <c r="CM267" s="196"/>
      <c r="CN267" s="194"/>
      <c r="CO267" s="197"/>
      <c r="CP267" s="196"/>
      <c r="CQ267" s="196"/>
      <c r="CR267" s="196"/>
      <c r="CS267" s="196"/>
      <c r="CT267" s="196"/>
      <c r="CU267" s="196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6"/>
      <c r="DG267" s="198"/>
      <c r="DH267" s="194"/>
      <c r="DI267" s="194"/>
    </row>
    <row r="268" spans="1:113" s="24" customFormat="1" hidden="1" x14ac:dyDescent="0.3">
      <c r="A268" s="172"/>
      <c r="B268" s="172"/>
      <c r="C268" s="172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4"/>
      <c r="BZ268" s="172"/>
      <c r="CA268" s="172"/>
      <c r="CD268" s="194"/>
      <c r="CE268" s="194"/>
      <c r="CF268" s="194"/>
      <c r="CG268" s="194"/>
      <c r="CH268" s="195"/>
      <c r="CI268" s="194"/>
      <c r="CJ268" s="194"/>
      <c r="CK268" s="194"/>
      <c r="CL268" s="196"/>
      <c r="CM268" s="196"/>
      <c r="CN268" s="194"/>
      <c r="CO268" s="197"/>
      <c r="CP268" s="196"/>
      <c r="CQ268" s="196"/>
      <c r="CR268" s="196"/>
      <c r="CS268" s="196"/>
      <c r="CT268" s="196"/>
      <c r="CU268" s="196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6"/>
      <c r="DG268" s="198"/>
      <c r="DH268" s="194"/>
      <c r="DI268" s="194"/>
    </row>
    <row r="269" spans="1:113" s="24" customFormat="1" hidden="1" x14ac:dyDescent="0.3">
      <c r="A269" s="172"/>
      <c r="B269" s="172"/>
      <c r="C269" s="172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4"/>
      <c r="BZ269" s="172"/>
      <c r="CA269" s="172"/>
      <c r="CD269" s="194"/>
      <c r="CE269" s="194"/>
      <c r="CF269" s="194"/>
      <c r="CG269" s="194"/>
      <c r="CH269" s="195"/>
      <c r="CI269" s="194"/>
      <c r="CJ269" s="194"/>
      <c r="CK269" s="194"/>
      <c r="CL269" s="196"/>
      <c r="CM269" s="196"/>
      <c r="CN269" s="194"/>
      <c r="CO269" s="197"/>
      <c r="CP269" s="196"/>
      <c r="CQ269" s="196"/>
      <c r="CR269" s="196"/>
      <c r="CS269" s="196"/>
      <c r="CT269" s="196"/>
      <c r="CU269" s="196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6"/>
      <c r="DG269" s="198"/>
      <c r="DH269" s="194"/>
      <c r="DI269" s="194"/>
    </row>
    <row r="270" spans="1:113" s="24" customFormat="1" hidden="1" x14ac:dyDescent="0.3">
      <c r="A270" s="172"/>
      <c r="B270" s="172"/>
      <c r="C270" s="172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4"/>
      <c r="BZ270" s="172"/>
      <c r="CA270" s="172"/>
      <c r="CD270" s="194"/>
      <c r="CE270" s="194"/>
      <c r="CF270" s="194"/>
      <c r="CG270" s="194"/>
      <c r="CH270" s="195"/>
      <c r="CI270" s="194"/>
      <c r="CJ270" s="194"/>
      <c r="CK270" s="194"/>
      <c r="CL270" s="196"/>
      <c r="CM270" s="196"/>
      <c r="CN270" s="194"/>
      <c r="CO270" s="197"/>
      <c r="CP270" s="196"/>
      <c r="CQ270" s="196"/>
      <c r="CR270" s="196"/>
      <c r="CS270" s="196"/>
      <c r="CT270" s="196"/>
      <c r="CU270" s="196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6"/>
      <c r="DG270" s="198"/>
      <c r="DH270" s="194"/>
      <c r="DI270" s="194"/>
    </row>
    <row r="271" spans="1:113" s="24" customFormat="1" hidden="1" x14ac:dyDescent="0.3">
      <c r="A271" s="172"/>
      <c r="B271" s="172"/>
      <c r="C271" s="172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4"/>
      <c r="BZ271" s="172"/>
      <c r="CA271" s="172"/>
      <c r="CD271" s="194"/>
      <c r="CE271" s="194"/>
      <c r="CF271" s="194"/>
      <c r="CG271" s="194"/>
      <c r="CH271" s="195"/>
      <c r="CI271" s="194"/>
      <c r="CJ271" s="194"/>
      <c r="CK271" s="194"/>
      <c r="CL271" s="196"/>
      <c r="CM271" s="196"/>
      <c r="CN271" s="194"/>
      <c r="CO271" s="197"/>
      <c r="CP271" s="196"/>
      <c r="CQ271" s="196"/>
      <c r="CR271" s="196"/>
      <c r="CS271" s="196"/>
      <c r="CT271" s="196"/>
      <c r="CU271" s="196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6"/>
      <c r="DG271" s="198"/>
      <c r="DH271" s="194"/>
      <c r="DI271" s="194"/>
    </row>
    <row r="272" spans="1:113" s="24" customFormat="1" hidden="1" x14ac:dyDescent="0.3">
      <c r="A272" s="172"/>
      <c r="B272" s="172"/>
      <c r="C272" s="172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4"/>
      <c r="BZ272" s="172"/>
      <c r="CA272" s="172"/>
      <c r="CD272" s="194"/>
      <c r="CE272" s="194"/>
      <c r="CF272" s="194"/>
      <c r="CG272" s="194"/>
      <c r="CH272" s="195"/>
      <c r="CI272" s="194"/>
      <c r="CJ272" s="194"/>
      <c r="CK272" s="194"/>
      <c r="CL272" s="196"/>
      <c r="CM272" s="196"/>
      <c r="CN272" s="194"/>
      <c r="CO272" s="197"/>
      <c r="CP272" s="196"/>
      <c r="CQ272" s="196"/>
      <c r="CR272" s="196"/>
      <c r="CS272" s="196"/>
      <c r="CT272" s="196"/>
      <c r="CU272" s="196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6"/>
      <c r="DG272" s="198"/>
      <c r="DH272" s="194"/>
      <c r="DI272" s="194"/>
    </row>
    <row r="273" spans="1:113" s="24" customFormat="1" hidden="1" x14ac:dyDescent="0.3">
      <c r="A273" s="172"/>
      <c r="B273" s="172"/>
      <c r="C273" s="172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4"/>
      <c r="BZ273" s="172"/>
      <c r="CA273" s="172"/>
      <c r="CD273" s="194"/>
      <c r="CE273" s="194"/>
      <c r="CF273" s="194"/>
      <c r="CG273" s="194"/>
      <c r="CH273" s="195"/>
      <c r="CI273" s="194"/>
      <c r="CJ273" s="194"/>
      <c r="CK273" s="194"/>
      <c r="CL273" s="196"/>
      <c r="CM273" s="196"/>
      <c r="CN273" s="194"/>
      <c r="CO273" s="197"/>
      <c r="CP273" s="196"/>
      <c r="CQ273" s="196"/>
      <c r="CR273" s="196"/>
      <c r="CS273" s="196"/>
      <c r="CT273" s="196"/>
      <c r="CU273" s="196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6"/>
      <c r="DG273" s="198"/>
      <c r="DH273" s="194"/>
      <c r="DI273" s="194"/>
    </row>
    <row r="274" spans="1:113" s="24" customFormat="1" hidden="1" x14ac:dyDescent="0.3">
      <c r="A274" s="172"/>
      <c r="B274" s="172"/>
      <c r="C274" s="172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4"/>
      <c r="BZ274" s="172"/>
      <c r="CA274" s="172"/>
      <c r="CD274" s="194"/>
      <c r="CE274" s="194"/>
      <c r="CF274" s="194"/>
      <c r="CG274" s="194"/>
      <c r="CH274" s="195"/>
      <c r="CI274" s="194"/>
      <c r="CJ274" s="194"/>
      <c r="CK274" s="194"/>
      <c r="CL274" s="196"/>
      <c r="CM274" s="196"/>
      <c r="CN274" s="194"/>
      <c r="CO274" s="197"/>
      <c r="CP274" s="196"/>
      <c r="CQ274" s="196"/>
      <c r="CR274" s="196"/>
      <c r="CS274" s="196"/>
      <c r="CT274" s="196"/>
      <c r="CU274" s="196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6"/>
      <c r="DG274" s="198"/>
      <c r="DH274" s="194"/>
      <c r="DI274" s="194"/>
    </row>
    <row r="275" spans="1:113" s="24" customFormat="1" hidden="1" x14ac:dyDescent="0.3">
      <c r="A275" s="172"/>
      <c r="B275" s="172"/>
      <c r="C275" s="172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4"/>
      <c r="BZ275" s="172"/>
      <c r="CA275" s="172"/>
      <c r="CD275" s="194"/>
      <c r="CE275" s="194"/>
      <c r="CF275" s="194"/>
      <c r="CG275" s="194"/>
      <c r="CH275" s="195"/>
      <c r="CI275" s="194"/>
      <c r="CJ275" s="194"/>
      <c r="CK275" s="194"/>
      <c r="CL275" s="196"/>
      <c r="CM275" s="196"/>
      <c r="CN275" s="194"/>
      <c r="CO275" s="197"/>
      <c r="CP275" s="196"/>
      <c r="CQ275" s="196"/>
      <c r="CR275" s="196"/>
      <c r="CS275" s="196"/>
      <c r="CT275" s="196"/>
      <c r="CU275" s="196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6"/>
      <c r="DG275" s="198"/>
      <c r="DH275" s="194"/>
      <c r="DI275" s="194"/>
    </row>
    <row r="276" spans="1:113" s="24" customFormat="1" hidden="1" x14ac:dyDescent="0.3">
      <c r="A276" s="172"/>
      <c r="B276" s="172"/>
      <c r="C276" s="172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4"/>
      <c r="BZ276" s="172"/>
      <c r="CA276" s="172"/>
      <c r="CD276" s="194"/>
      <c r="CE276" s="194"/>
      <c r="CF276" s="194"/>
      <c r="CG276" s="194"/>
      <c r="CH276" s="195"/>
      <c r="CI276" s="194"/>
      <c r="CJ276" s="194"/>
      <c r="CK276" s="194"/>
      <c r="CL276" s="196"/>
      <c r="CM276" s="196"/>
      <c r="CN276" s="194"/>
      <c r="CO276" s="197"/>
      <c r="CP276" s="196"/>
      <c r="CQ276" s="196"/>
      <c r="CR276" s="196"/>
      <c r="CS276" s="196"/>
      <c r="CT276" s="196"/>
      <c r="CU276" s="196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6"/>
      <c r="DG276" s="198"/>
      <c r="DH276" s="194"/>
      <c r="DI276" s="194"/>
    </row>
    <row r="277" spans="1:113" s="24" customFormat="1" hidden="1" x14ac:dyDescent="0.3">
      <c r="A277" s="172"/>
      <c r="B277" s="172"/>
      <c r="C277" s="172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4"/>
      <c r="BZ277" s="172"/>
      <c r="CA277" s="172"/>
      <c r="CD277" s="194"/>
      <c r="CE277" s="194"/>
      <c r="CF277" s="194"/>
      <c r="CG277" s="194"/>
      <c r="CH277" s="195"/>
      <c r="CI277" s="194"/>
      <c r="CJ277" s="194"/>
      <c r="CK277" s="194"/>
      <c r="CL277" s="196"/>
      <c r="CM277" s="196"/>
      <c r="CN277" s="194"/>
      <c r="CO277" s="197"/>
      <c r="CP277" s="196"/>
      <c r="CQ277" s="196"/>
      <c r="CR277" s="196"/>
      <c r="CS277" s="196"/>
      <c r="CT277" s="196"/>
      <c r="CU277" s="196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6"/>
      <c r="DG277" s="198"/>
      <c r="DH277" s="194"/>
      <c r="DI277" s="194"/>
    </row>
    <row r="278" spans="1:113" s="24" customFormat="1" hidden="1" x14ac:dyDescent="0.3">
      <c r="A278" s="172"/>
      <c r="B278" s="172"/>
      <c r="C278" s="172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4"/>
      <c r="BZ278" s="172"/>
      <c r="CA278" s="172"/>
      <c r="CD278" s="194"/>
      <c r="CE278" s="194"/>
      <c r="CF278" s="194"/>
      <c r="CG278" s="194"/>
      <c r="CH278" s="195"/>
      <c r="CI278" s="194"/>
      <c r="CJ278" s="194"/>
      <c r="CK278" s="194"/>
      <c r="CL278" s="196"/>
      <c r="CM278" s="196"/>
      <c r="CN278" s="194"/>
      <c r="CO278" s="197"/>
      <c r="CP278" s="196"/>
      <c r="CQ278" s="196"/>
      <c r="CR278" s="196"/>
      <c r="CS278" s="196"/>
      <c r="CT278" s="196"/>
      <c r="CU278" s="196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6"/>
      <c r="DG278" s="198"/>
      <c r="DH278" s="194"/>
      <c r="DI278" s="194"/>
    </row>
    <row r="279" spans="1:113" s="24" customFormat="1" hidden="1" x14ac:dyDescent="0.3">
      <c r="A279" s="172"/>
      <c r="B279" s="172"/>
      <c r="C279" s="172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4"/>
      <c r="BZ279" s="172"/>
      <c r="CA279" s="172"/>
      <c r="CD279" s="194"/>
      <c r="CE279" s="194"/>
      <c r="CF279" s="194"/>
      <c r="CG279" s="194"/>
      <c r="CH279" s="195"/>
      <c r="CI279" s="194"/>
      <c r="CJ279" s="194"/>
      <c r="CK279" s="194"/>
      <c r="CL279" s="196"/>
      <c r="CM279" s="196"/>
      <c r="CN279" s="194"/>
      <c r="CO279" s="197"/>
      <c r="CP279" s="196"/>
      <c r="CQ279" s="196"/>
      <c r="CR279" s="196"/>
      <c r="CS279" s="196"/>
      <c r="CT279" s="196"/>
      <c r="CU279" s="196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6"/>
      <c r="DG279" s="198"/>
      <c r="DH279" s="194"/>
      <c r="DI279" s="194"/>
    </row>
    <row r="280" spans="1:113" s="24" customFormat="1" hidden="1" x14ac:dyDescent="0.3">
      <c r="A280" s="172"/>
      <c r="B280" s="172"/>
      <c r="C280" s="172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4"/>
      <c r="BZ280" s="172"/>
      <c r="CA280" s="172"/>
      <c r="CD280" s="194"/>
      <c r="CE280" s="194"/>
      <c r="CF280" s="194"/>
      <c r="CG280" s="194"/>
      <c r="CH280" s="195"/>
      <c r="CI280" s="194"/>
      <c r="CJ280" s="194"/>
      <c r="CK280" s="194"/>
      <c r="CL280" s="196"/>
      <c r="CM280" s="196"/>
      <c r="CN280" s="194"/>
      <c r="CO280" s="197"/>
      <c r="CP280" s="196"/>
      <c r="CQ280" s="196"/>
      <c r="CR280" s="196"/>
      <c r="CS280" s="196"/>
      <c r="CT280" s="196"/>
      <c r="CU280" s="196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6"/>
      <c r="DG280" s="198"/>
      <c r="DH280" s="194"/>
      <c r="DI280" s="194"/>
    </row>
    <row r="281" spans="1:113" s="24" customFormat="1" hidden="1" x14ac:dyDescent="0.3">
      <c r="A281" s="172"/>
      <c r="B281" s="172"/>
      <c r="C281" s="172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4"/>
      <c r="BZ281" s="172"/>
      <c r="CA281" s="172"/>
      <c r="CD281" s="194"/>
      <c r="CE281" s="194"/>
      <c r="CF281" s="194"/>
      <c r="CG281" s="194"/>
      <c r="CH281" s="195"/>
      <c r="CI281" s="194"/>
      <c r="CJ281" s="194"/>
      <c r="CK281" s="194"/>
      <c r="CL281" s="196"/>
      <c r="CM281" s="196"/>
      <c r="CN281" s="194"/>
      <c r="CO281" s="197"/>
      <c r="CP281" s="196"/>
      <c r="CQ281" s="196"/>
      <c r="CR281" s="196"/>
      <c r="CS281" s="196"/>
      <c r="CT281" s="196"/>
      <c r="CU281" s="196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6"/>
      <c r="DG281" s="198"/>
      <c r="DH281" s="194"/>
      <c r="DI281" s="194"/>
    </row>
    <row r="282" spans="1:113" s="24" customFormat="1" hidden="1" x14ac:dyDescent="0.3">
      <c r="A282" s="172"/>
      <c r="B282" s="172"/>
      <c r="C282" s="172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4"/>
      <c r="BZ282" s="172"/>
      <c r="CA282" s="172"/>
      <c r="CD282" s="194"/>
      <c r="CE282" s="194"/>
      <c r="CF282" s="194"/>
      <c r="CG282" s="194"/>
      <c r="CH282" s="195"/>
      <c r="CI282" s="194"/>
      <c r="CJ282" s="194"/>
      <c r="CK282" s="194"/>
      <c r="CL282" s="196"/>
      <c r="CM282" s="196"/>
      <c r="CN282" s="194"/>
      <c r="CO282" s="197"/>
      <c r="CP282" s="196"/>
      <c r="CQ282" s="196"/>
      <c r="CR282" s="196"/>
      <c r="CS282" s="196"/>
      <c r="CT282" s="196"/>
      <c r="CU282" s="196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6"/>
      <c r="DG282" s="198"/>
      <c r="DH282" s="194"/>
      <c r="DI282" s="194"/>
    </row>
    <row r="283" spans="1:113" s="24" customFormat="1" hidden="1" x14ac:dyDescent="0.3">
      <c r="A283" s="172"/>
      <c r="B283" s="172"/>
      <c r="C283" s="172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4"/>
      <c r="BZ283" s="172"/>
      <c r="CA283" s="172"/>
      <c r="CD283" s="194"/>
      <c r="CE283" s="194"/>
      <c r="CF283" s="194"/>
      <c r="CG283" s="194"/>
      <c r="CH283" s="195"/>
      <c r="CI283" s="194"/>
      <c r="CJ283" s="194"/>
      <c r="CK283" s="194"/>
      <c r="CL283" s="196"/>
      <c r="CM283" s="196"/>
      <c r="CN283" s="194"/>
      <c r="CO283" s="197"/>
      <c r="CP283" s="196"/>
      <c r="CQ283" s="196"/>
      <c r="CR283" s="196"/>
      <c r="CS283" s="196"/>
      <c r="CT283" s="196"/>
      <c r="CU283" s="196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6"/>
      <c r="DG283" s="198"/>
      <c r="DH283" s="194"/>
      <c r="DI283" s="194"/>
    </row>
    <row r="284" spans="1:113" s="24" customFormat="1" hidden="1" x14ac:dyDescent="0.3">
      <c r="A284" s="172"/>
      <c r="B284" s="172"/>
      <c r="C284" s="172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4"/>
      <c r="BZ284" s="172"/>
      <c r="CA284" s="172"/>
      <c r="CD284" s="194"/>
      <c r="CE284" s="194"/>
      <c r="CF284" s="194"/>
      <c r="CG284" s="194"/>
      <c r="CH284" s="195"/>
      <c r="CI284" s="194"/>
      <c r="CJ284" s="194"/>
      <c r="CK284" s="194"/>
      <c r="CL284" s="196"/>
      <c r="CM284" s="196"/>
      <c r="CN284" s="194"/>
      <c r="CO284" s="197"/>
      <c r="CP284" s="196"/>
      <c r="CQ284" s="196"/>
      <c r="CR284" s="196"/>
      <c r="CS284" s="196"/>
      <c r="CT284" s="196"/>
      <c r="CU284" s="196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6"/>
      <c r="DG284" s="198"/>
      <c r="DH284" s="194"/>
      <c r="DI284" s="194"/>
    </row>
    <row r="285" spans="1:113" s="24" customFormat="1" hidden="1" x14ac:dyDescent="0.3">
      <c r="A285" s="172"/>
      <c r="B285" s="172"/>
      <c r="C285" s="172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4"/>
      <c r="BZ285" s="172"/>
      <c r="CA285" s="172"/>
      <c r="CD285" s="194"/>
      <c r="CE285" s="194"/>
      <c r="CF285" s="194"/>
      <c r="CG285" s="194"/>
      <c r="CH285" s="195"/>
      <c r="CI285" s="194"/>
      <c r="CJ285" s="194"/>
      <c r="CK285" s="194"/>
      <c r="CL285" s="196"/>
      <c r="CM285" s="196"/>
      <c r="CN285" s="194"/>
      <c r="CO285" s="197"/>
      <c r="CP285" s="196"/>
      <c r="CQ285" s="196"/>
      <c r="CR285" s="196"/>
      <c r="CS285" s="196"/>
      <c r="CT285" s="196"/>
      <c r="CU285" s="196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6"/>
      <c r="DG285" s="198"/>
      <c r="DH285" s="194"/>
      <c r="DI285" s="194"/>
    </row>
    <row r="286" spans="1:113" s="24" customFormat="1" hidden="1" x14ac:dyDescent="0.3">
      <c r="A286" s="172"/>
      <c r="B286" s="172"/>
      <c r="C286" s="172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4"/>
      <c r="BZ286" s="172"/>
      <c r="CA286" s="172"/>
      <c r="CD286" s="194"/>
      <c r="CE286" s="194"/>
      <c r="CF286" s="194"/>
      <c r="CG286" s="194"/>
      <c r="CH286" s="195"/>
      <c r="CI286" s="194"/>
      <c r="CJ286" s="194"/>
      <c r="CK286" s="194"/>
      <c r="CL286" s="196"/>
      <c r="CM286" s="196"/>
      <c r="CN286" s="194"/>
      <c r="CO286" s="197"/>
      <c r="CP286" s="196"/>
      <c r="CQ286" s="196"/>
      <c r="CR286" s="196"/>
      <c r="CS286" s="196"/>
      <c r="CT286" s="196"/>
      <c r="CU286" s="196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6"/>
      <c r="DG286" s="198"/>
      <c r="DH286" s="194"/>
      <c r="DI286" s="194"/>
    </row>
    <row r="287" spans="1:113" s="24" customFormat="1" hidden="1" x14ac:dyDescent="0.3">
      <c r="A287" s="172"/>
      <c r="B287" s="172"/>
      <c r="C287" s="172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4"/>
      <c r="BZ287" s="172"/>
      <c r="CA287" s="172"/>
      <c r="CD287" s="194"/>
      <c r="CE287" s="194"/>
      <c r="CF287" s="194"/>
      <c r="CG287" s="194"/>
      <c r="CH287" s="195"/>
      <c r="CI287" s="194"/>
      <c r="CJ287" s="194"/>
      <c r="CK287" s="194"/>
      <c r="CL287" s="196"/>
      <c r="CM287" s="196"/>
      <c r="CN287" s="194"/>
      <c r="CO287" s="197"/>
      <c r="CP287" s="196"/>
      <c r="CQ287" s="196"/>
      <c r="CR287" s="196"/>
      <c r="CS287" s="196"/>
      <c r="CT287" s="196"/>
      <c r="CU287" s="196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6"/>
      <c r="DG287" s="198"/>
      <c r="DH287" s="194"/>
      <c r="DI287" s="194"/>
    </row>
    <row r="288" spans="1:113" s="24" customFormat="1" hidden="1" x14ac:dyDescent="0.3">
      <c r="A288" s="172"/>
      <c r="B288" s="172"/>
      <c r="C288" s="172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4"/>
      <c r="BZ288" s="172"/>
      <c r="CA288" s="172"/>
      <c r="CD288" s="194"/>
      <c r="CE288" s="194"/>
      <c r="CF288" s="194"/>
      <c r="CG288" s="194"/>
      <c r="CH288" s="195"/>
      <c r="CI288" s="194"/>
      <c r="CJ288" s="194"/>
      <c r="CK288" s="194"/>
      <c r="CL288" s="196"/>
      <c r="CM288" s="196"/>
      <c r="CN288" s="194"/>
      <c r="CO288" s="197"/>
      <c r="CP288" s="196"/>
      <c r="CQ288" s="196"/>
      <c r="CR288" s="196"/>
      <c r="CS288" s="196"/>
      <c r="CT288" s="196"/>
      <c r="CU288" s="196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6"/>
      <c r="DG288" s="198"/>
      <c r="DH288" s="194"/>
      <c r="DI288" s="194"/>
    </row>
    <row r="289" spans="1:113" s="24" customFormat="1" hidden="1" x14ac:dyDescent="0.3">
      <c r="A289" s="172"/>
      <c r="B289" s="172"/>
      <c r="C289" s="172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4"/>
      <c r="BZ289" s="172"/>
      <c r="CA289" s="172"/>
      <c r="CD289" s="194"/>
      <c r="CE289" s="194"/>
      <c r="CF289" s="194"/>
      <c r="CG289" s="194"/>
      <c r="CH289" s="195"/>
      <c r="CI289" s="194"/>
      <c r="CJ289" s="194"/>
      <c r="CK289" s="194"/>
      <c r="CL289" s="196"/>
      <c r="CM289" s="196"/>
      <c r="CN289" s="194"/>
      <c r="CO289" s="197"/>
      <c r="CP289" s="196"/>
      <c r="CQ289" s="196"/>
      <c r="CR289" s="196"/>
      <c r="CS289" s="196"/>
      <c r="CT289" s="196"/>
      <c r="CU289" s="196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6"/>
      <c r="DG289" s="198"/>
      <c r="DH289" s="194"/>
      <c r="DI289" s="194"/>
    </row>
    <row r="290" spans="1:113" s="24" customFormat="1" hidden="1" x14ac:dyDescent="0.3">
      <c r="A290" s="172"/>
      <c r="B290" s="172"/>
      <c r="C290" s="172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4"/>
      <c r="BZ290" s="172"/>
      <c r="CA290" s="172"/>
      <c r="CD290" s="194"/>
      <c r="CE290" s="194"/>
      <c r="CF290" s="194"/>
      <c r="CG290" s="194"/>
      <c r="CH290" s="195"/>
      <c r="CI290" s="194"/>
      <c r="CJ290" s="194"/>
      <c r="CK290" s="194"/>
      <c r="CL290" s="196"/>
      <c r="CM290" s="196"/>
      <c r="CN290" s="194"/>
      <c r="CO290" s="197"/>
      <c r="CP290" s="196"/>
      <c r="CQ290" s="196"/>
      <c r="CR290" s="196"/>
      <c r="CS290" s="196"/>
      <c r="CT290" s="196"/>
      <c r="CU290" s="196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6"/>
      <c r="DG290" s="198"/>
      <c r="DH290" s="194"/>
      <c r="DI290" s="194"/>
    </row>
    <row r="291" spans="1:113" s="24" customFormat="1" hidden="1" x14ac:dyDescent="0.3">
      <c r="A291" s="172"/>
      <c r="B291" s="172"/>
      <c r="C291" s="172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4"/>
      <c r="BZ291" s="172"/>
      <c r="CA291" s="172"/>
      <c r="CD291" s="194"/>
      <c r="CE291" s="194"/>
      <c r="CF291" s="194"/>
      <c r="CG291" s="194"/>
      <c r="CH291" s="195"/>
      <c r="CI291" s="194"/>
      <c r="CJ291" s="194"/>
      <c r="CK291" s="194"/>
      <c r="CL291" s="196"/>
      <c r="CM291" s="196"/>
      <c r="CN291" s="194"/>
      <c r="CO291" s="197"/>
      <c r="CP291" s="196"/>
      <c r="CQ291" s="196"/>
      <c r="CR291" s="196"/>
      <c r="CS291" s="196"/>
      <c r="CT291" s="196"/>
      <c r="CU291" s="196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6"/>
      <c r="DG291" s="198"/>
      <c r="DH291" s="194"/>
      <c r="DI291" s="194"/>
    </row>
    <row r="292" spans="1:113" s="24" customFormat="1" hidden="1" x14ac:dyDescent="0.3">
      <c r="A292" s="172"/>
      <c r="B292" s="172"/>
      <c r="C292" s="172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4"/>
      <c r="BZ292" s="172"/>
      <c r="CA292" s="172"/>
      <c r="CD292" s="194"/>
      <c r="CE292" s="194"/>
      <c r="CF292" s="194"/>
      <c r="CG292" s="194"/>
      <c r="CH292" s="195"/>
      <c r="CI292" s="194"/>
      <c r="CJ292" s="194"/>
      <c r="CK292" s="194"/>
      <c r="CL292" s="196"/>
      <c r="CM292" s="196"/>
      <c r="CN292" s="194"/>
      <c r="CO292" s="197"/>
      <c r="CP292" s="196"/>
      <c r="CQ292" s="196"/>
      <c r="CR292" s="196"/>
      <c r="CS292" s="196"/>
      <c r="CT292" s="196"/>
      <c r="CU292" s="196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6"/>
      <c r="DG292" s="198"/>
      <c r="DH292" s="194"/>
      <c r="DI292" s="194"/>
    </row>
    <row r="293" spans="1:113" s="24" customFormat="1" hidden="1" x14ac:dyDescent="0.3">
      <c r="A293" s="172"/>
      <c r="B293" s="172"/>
      <c r="C293" s="172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4"/>
      <c r="BZ293" s="172"/>
      <c r="CA293" s="172"/>
      <c r="CD293" s="194"/>
      <c r="CE293" s="194"/>
      <c r="CF293" s="194"/>
      <c r="CG293" s="194"/>
      <c r="CH293" s="195"/>
      <c r="CI293" s="194"/>
      <c r="CJ293" s="194"/>
      <c r="CK293" s="194"/>
      <c r="CL293" s="196"/>
      <c r="CM293" s="196"/>
      <c r="CN293" s="194"/>
      <c r="CO293" s="197"/>
      <c r="CP293" s="196"/>
      <c r="CQ293" s="196"/>
      <c r="CR293" s="196"/>
      <c r="CS293" s="196"/>
      <c r="CT293" s="196"/>
      <c r="CU293" s="196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6"/>
      <c r="DG293" s="198"/>
      <c r="DH293" s="194"/>
      <c r="DI293" s="194"/>
    </row>
    <row r="294" spans="1:113" s="24" customFormat="1" hidden="1" x14ac:dyDescent="0.3">
      <c r="A294" s="172"/>
      <c r="B294" s="172"/>
      <c r="C294" s="172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4"/>
      <c r="BZ294" s="172"/>
      <c r="CA294" s="172"/>
      <c r="CD294" s="194"/>
      <c r="CE294" s="194"/>
      <c r="CF294" s="194"/>
      <c r="CG294" s="194"/>
      <c r="CH294" s="195"/>
      <c r="CI294" s="194"/>
      <c r="CJ294" s="194"/>
      <c r="CK294" s="194"/>
      <c r="CL294" s="196"/>
      <c r="CM294" s="196"/>
      <c r="CN294" s="194"/>
      <c r="CO294" s="197"/>
      <c r="CP294" s="196"/>
      <c r="CQ294" s="196"/>
      <c r="CR294" s="196"/>
      <c r="CS294" s="196"/>
      <c r="CT294" s="196"/>
      <c r="CU294" s="196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6"/>
      <c r="DG294" s="198"/>
      <c r="DH294" s="194"/>
      <c r="DI294" s="194"/>
    </row>
    <row r="295" spans="1:113" s="24" customFormat="1" hidden="1" x14ac:dyDescent="0.3">
      <c r="A295" s="172"/>
      <c r="B295" s="172"/>
      <c r="C295" s="172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4"/>
      <c r="BZ295" s="172"/>
      <c r="CA295" s="172"/>
      <c r="CD295" s="194"/>
      <c r="CE295" s="194"/>
      <c r="CF295" s="194"/>
      <c r="CG295" s="194"/>
      <c r="CH295" s="195"/>
      <c r="CI295" s="194"/>
      <c r="CJ295" s="194"/>
      <c r="CK295" s="194"/>
      <c r="CL295" s="196"/>
      <c r="CM295" s="196"/>
      <c r="CN295" s="194"/>
      <c r="CO295" s="197"/>
      <c r="CP295" s="196"/>
      <c r="CQ295" s="196"/>
      <c r="CR295" s="196"/>
      <c r="CS295" s="196"/>
      <c r="CT295" s="196"/>
      <c r="CU295" s="196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6"/>
      <c r="DG295" s="198"/>
      <c r="DH295" s="194"/>
      <c r="DI295" s="194"/>
    </row>
    <row r="296" spans="1:113" s="24" customFormat="1" hidden="1" x14ac:dyDescent="0.3">
      <c r="A296" s="172"/>
      <c r="B296" s="172"/>
      <c r="C296" s="172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4"/>
      <c r="BZ296" s="172"/>
      <c r="CA296" s="172"/>
      <c r="CD296" s="194"/>
      <c r="CE296" s="194"/>
      <c r="CF296" s="194"/>
      <c r="CG296" s="194"/>
      <c r="CH296" s="195"/>
      <c r="CI296" s="194"/>
      <c r="CJ296" s="194"/>
      <c r="CK296" s="194"/>
      <c r="CL296" s="196"/>
      <c r="CM296" s="196"/>
      <c r="CN296" s="194"/>
      <c r="CO296" s="197"/>
      <c r="CP296" s="196"/>
      <c r="CQ296" s="196"/>
      <c r="CR296" s="196"/>
      <c r="CS296" s="196"/>
      <c r="CT296" s="196"/>
      <c r="CU296" s="196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6"/>
      <c r="DG296" s="198"/>
      <c r="DH296" s="194"/>
      <c r="DI296" s="194"/>
    </row>
    <row r="297" spans="1:113" s="24" customFormat="1" hidden="1" x14ac:dyDescent="0.3">
      <c r="A297" s="172"/>
      <c r="B297" s="172"/>
      <c r="C297" s="172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4"/>
      <c r="BZ297" s="172"/>
      <c r="CA297" s="172"/>
      <c r="CD297" s="194"/>
      <c r="CE297" s="194"/>
      <c r="CF297" s="194"/>
      <c r="CG297" s="194"/>
      <c r="CH297" s="195"/>
      <c r="CI297" s="194"/>
      <c r="CJ297" s="194"/>
      <c r="CK297" s="194"/>
      <c r="CL297" s="196"/>
      <c r="CM297" s="196"/>
      <c r="CN297" s="194"/>
      <c r="CO297" s="197"/>
      <c r="CP297" s="196"/>
      <c r="CQ297" s="196"/>
      <c r="CR297" s="196"/>
      <c r="CS297" s="196"/>
      <c r="CT297" s="196"/>
      <c r="CU297" s="196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6"/>
      <c r="DG297" s="198"/>
      <c r="DH297" s="194"/>
      <c r="DI297" s="194"/>
    </row>
    <row r="298" spans="1:113" s="24" customFormat="1" hidden="1" x14ac:dyDescent="0.3">
      <c r="A298" s="172"/>
      <c r="B298" s="172"/>
      <c r="C298" s="172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4"/>
      <c r="BZ298" s="172"/>
      <c r="CA298" s="172"/>
      <c r="CD298" s="194"/>
      <c r="CE298" s="194"/>
      <c r="CF298" s="194"/>
      <c r="CG298" s="194"/>
      <c r="CH298" s="195"/>
      <c r="CI298" s="194"/>
      <c r="CJ298" s="194"/>
      <c r="CK298" s="194"/>
      <c r="CL298" s="196"/>
      <c r="CM298" s="196"/>
      <c r="CN298" s="194"/>
      <c r="CO298" s="197"/>
      <c r="CP298" s="196"/>
      <c r="CQ298" s="196"/>
      <c r="CR298" s="196"/>
      <c r="CS298" s="196"/>
      <c r="CT298" s="196"/>
      <c r="CU298" s="196"/>
      <c r="CV298" s="194"/>
      <c r="CW298" s="194"/>
      <c r="CX298" s="194"/>
      <c r="CY298" s="194"/>
      <c r="CZ298" s="194"/>
      <c r="DA298" s="194"/>
      <c r="DB298" s="194"/>
      <c r="DC298" s="194"/>
      <c r="DD298" s="194"/>
      <c r="DE298" s="194"/>
      <c r="DF298" s="196"/>
      <c r="DG298" s="198"/>
      <c r="DH298" s="194"/>
      <c r="DI298" s="194"/>
    </row>
    <row r="299" spans="1:113" s="24" customFormat="1" hidden="1" x14ac:dyDescent="0.3">
      <c r="A299" s="172"/>
      <c r="B299" s="172"/>
      <c r="C299" s="172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4"/>
      <c r="BZ299" s="172"/>
      <c r="CA299" s="172"/>
      <c r="CD299" s="194"/>
      <c r="CE299" s="194"/>
      <c r="CF299" s="194"/>
      <c r="CG299" s="194"/>
      <c r="CH299" s="195"/>
      <c r="CI299" s="194"/>
      <c r="CJ299" s="194"/>
      <c r="CK299" s="194"/>
      <c r="CL299" s="196"/>
      <c r="CM299" s="196"/>
      <c r="CN299" s="194"/>
      <c r="CO299" s="197"/>
      <c r="CP299" s="196"/>
      <c r="CQ299" s="196"/>
      <c r="CR299" s="196"/>
      <c r="CS299" s="196"/>
      <c r="CT299" s="196"/>
      <c r="CU299" s="196"/>
      <c r="CV299" s="194"/>
      <c r="CW299" s="194"/>
      <c r="CX299" s="194"/>
      <c r="CY299" s="194"/>
      <c r="CZ299" s="194"/>
      <c r="DA299" s="194"/>
      <c r="DB299" s="194"/>
      <c r="DC299" s="194"/>
      <c r="DD299" s="194"/>
      <c r="DE299" s="194"/>
      <c r="DF299" s="196"/>
      <c r="DG299" s="198"/>
      <c r="DH299" s="194"/>
      <c r="DI299" s="194"/>
    </row>
    <row r="300" spans="1:113" s="24" customFormat="1" hidden="1" x14ac:dyDescent="0.3">
      <c r="A300" s="172"/>
      <c r="B300" s="172"/>
      <c r="C300" s="172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4"/>
      <c r="BZ300" s="172"/>
      <c r="CA300" s="172"/>
      <c r="CD300" s="194"/>
      <c r="CE300" s="194"/>
      <c r="CF300" s="194"/>
      <c r="CG300" s="194"/>
      <c r="CH300" s="195"/>
      <c r="CI300" s="194"/>
      <c r="CJ300" s="194"/>
      <c r="CK300" s="194"/>
      <c r="CL300" s="196"/>
      <c r="CM300" s="196"/>
      <c r="CN300" s="194"/>
      <c r="CO300" s="197"/>
      <c r="CP300" s="196"/>
      <c r="CQ300" s="196"/>
      <c r="CR300" s="196"/>
      <c r="CS300" s="196"/>
      <c r="CT300" s="196"/>
      <c r="CU300" s="196"/>
      <c r="CV300" s="194"/>
      <c r="CW300" s="194"/>
      <c r="CX300" s="194"/>
      <c r="CY300" s="194"/>
      <c r="CZ300" s="194"/>
      <c r="DA300" s="194"/>
      <c r="DB300" s="194"/>
      <c r="DC300" s="194"/>
      <c r="DD300" s="194"/>
      <c r="DE300" s="194"/>
      <c r="DF300" s="196"/>
      <c r="DG300" s="198"/>
      <c r="DH300" s="194"/>
      <c r="DI300" s="194"/>
    </row>
    <row r="301" spans="1:113" s="24" customFormat="1" hidden="1" x14ac:dyDescent="0.3">
      <c r="A301" s="172"/>
      <c r="B301" s="172"/>
      <c r="C301" s="172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4"/>
      <c r="BZ301" s="172"/>
      <c r="CA301" s="172"/>
      <c r="CD301" s="194"/>
      <c r="CE301" s="194"/>
      <c r="CF301" s="194"/>
      <c r="CG301" s="194"/>
      <c r="CH301" s="195"/>
      <c r="CI301" s="194"/>
      <c r="CJ301" s="194"/>
      <c r="CK301" s="194"/>
      <c r="CL301" s="196"/>
      <c r="CM301" s="196"/>
      <c r="CN301" s="194"/>
      <c r="CO301" s="197"/>
      <c r="CP301" s="196"/>
      <c r="CQ301" s="196"/>
      <c r="CR301" s="196"/>
      <c r="CS301" s="196"/>
      <c r="CT301" s="196"/>
      <c r="CU301" s="196"/>
      <c r="CV301" s="194"/>
      <c r="CW301" s="194"/>
      <c r="CX301" s="194"/>
      <c r="CY301" s="194"/>
      <c r="CZ301" s="194"/>
      <c r="DA301" s="194"/>
      <c r="DB301" s="194"/>
      <c r="DC301" s="194"/>
      <c r="DD301" s="194"/>
      <c r="DE301" s="194"/>
      <c r="DF301" s="196"/>
      <c r="DG301" s="198"/>
      <c r="DH301" s="194"/>
      <c r="DI301" s="194"/>
    </row>
    <row r="302" spans="1:113" s="24" customFormat="1" hidden="1" x14ac:dyDescent="0.3">
      <c r="A302" s="172"/>
      <c r="B302" s="172"/>
      <c r="C302" s="172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4"/>
      <c r="BZ302" s="172"/>
      <c r="CA302" s="172"/>
      <c r="CD302" s="194"/>
      <c r="CE302" s="194"/>
      <c r="CF302" s="194"/>
      <c r="CG302" s="194"/>
      <c r="CH302" s="195"/>
      <c r="CI302" s="194"/>
      <c r="CJ302" s="194"/>
      <c r="CK302" s="194"/>
      <c r="CL302" s="196"/>
      <c r="CM302" s="196"/>
      <c r="CN302" s="194"/>
      <c r="CO302" s="197"/>
      <c r="CP302" s="196"/>
      <c r="CQ302" s="196"/>
      <c r="CR302" s="196"/>
      <c r="CS302" s="196"/>
      <c r="CT302" s="196"/>
      <c r="CU302" s="196"/>
      <c r="CV302" s="194"/>
      <c r="CW302" s="194"/>
      <c r="CX302" s="194"/>
      <c r="CY302" s="194"/>
      <c r="CZ302" s="194"/>
      <c r="DA302" s="194"/>
      <c r="DB302" s="194"/>
      <c r="DC302" s="194"/>
      <c r="DD302" s="194"/>
      <c r="DE302" s="194"/>
      <c r="DF302" s="196"/>
      <c r="DG302" s="198"/>
      <c r="DH302" s="194"/>
      <c r="DI302" s="194"/>
    </row>
    <row r="303" spans="1:113" s="24" customFormat="1" hidden="1" x14ac:dyDescent="0.3">
      <c r="A303" s="172"/>
      <c r="B303" s="172"/>
      <c r="C303" s="172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4"/>
      <c r="BZ303" s="172"/>
      <c r="CA303" s="172"/>
      <c r="CD303" s="194"/>
      <c r="CE303" s="194"/>
      <c r="CF303" s="194"/>
      <c r="CG303" s="194"/>
      <c r="CH303" s="195"/>
      <c r="CI303" s="194"/>
      <c r="CJ303" s="194"/>
      <c r="CK303" s="194"/>
      <c r="CL303" s="196"/>
      <c r="CM303" s="196"/>
      <c r="CN303" s="194"/>
      <c r="CO303" s="197"/>
      <c r="CP303" s="196"/>
      <c r="CQ303" s="196"/>
      <c r="CR303" s="196"/>
      <c r="CS303" s="196"/>
      <c r="CT303" s="196"/>
      <c r="CU303" s="196"/>
      <c r="CV303" s="194"/>
      <c r="CW303" s="194"/>
      <c r="CX303" s="194"/>
      <c r="CY303" s="194"/>
      <c r="CZ303" s="194"/>
      <c r="DA303" s="194"/>
      <c r="DB303" s="194"/>
      <c r="DC303" s="194"/>
      <c r="DD303" s="194"/>
      <c r="DE303" s="194"/>
      <c r="DF303" s="196"/>
      <c r="DG303" s="198"/>
      <c r="DH303" s="194"/>
      <c r="DI303" s="194"/>
    </row>
    <row r="304" spans="1:113" s="24" customFormat="1" hidden="1" x14ac:dyDescent="0.3">
      <c r="A304" s="172"/>
      <c r="B304" s="172"/>
      <c r="C304" s="172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4"/>
      <c r="BZ304" s="172"/>
      <c r="CA304" s="172"/>
      <c r="CD304" s="194"/>
      <c r="CE304" s="194"/>
      <c r="CF304" s="194"/>
      <c r="CG304" s="194"/>
      <c r="CH304" s="195"/>
      <c r="CI304" s="194"/>
      <c r="CJ304" s="194"/>
      <c r="CK304" s="194"/>
      <c r="CL304" s="196"/>
      <c r="CM304" s="196"/>
      <c r="CN304" s="194"/>
      <c r="CO304" s="197"/>
      <c r="CP304" s="196"/>
      <c r="CQ304" s="196"/>
      <c r="CR304" s="196"/>
      <c r="CS304" s="196"/>
      <c r="CT304" s="196"/>
      <c r="CU304" s="196"/>
      <c r="CV304" s="194"/>
      <c r="CW304" s="194"/>
      <c r="CX304" s="194"/>
      <c r="CY304" s="194"/>
      <c r="CZ304" s="194"/>
      <c r="DA304" s="194"/>
      <c r="DB304" s="194"/>
      <c r="DC304" s="194"/>
      <c r="DD304" s="194"/>
      <c r="DE304" s="194"/>
      <c r="DF304" s="196"/>
      <c r="DG304" s="198"/>
      <c r="DH304" s="194"/>
      <c r="DI304" s="194"/>
    </row>
    <row r="305" spans="1:113" s="24" customFormat="1" hidden="1" x14ac:dyDescent="0.3">
      <c r="A305" s="172"/>
      <c r="B305" s="172"/>
      <c r="C305" s="172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4"/>
      <c r="BZ305" s="172"/>
      <c r="CA305" s="172"/>
      <c r="CD305" s="194"/>
      <c r="CE305" s="194"/>
      <c r="CF305" s="194"/>
      <c r="CG305" s="194"/>
      <c r="CH305" s="195"/>
      <c r="CI305" s="194"/>
      <c r="CJ305" s="194"/>
      <c r="CK305" s="194"/>
      <c r="CL305" s="196"/>
      <c r="CM305" s="196"/>
      <c r="CN305" s="194"/>
      <c r="CO305" s="197"/>
      <c r="CP305" s="196"/>
      <c r="CQ305" s="196"/>
      <c r="CR305" s="196"/>
      <c r="CS305" s="196"/>
      <c r="CT305" s="196"/>
      <c r="CU305" s="196"/>
      <c r="CV305" s="194"/>
      <c r="CW305" s="194"/>
      <c r="CX305" s="194"/>
      <c r="CY305" s="194"/>
      <c r="CZ305" s="194"/>
      <c r="DA305" s="194"/>
      <c r="DB305" s="194"/>
      <c r="DC305" s="194"/>
      <c r="DD305" s="194"/>
      <c r="DE305" s="194"/>
      <c r="DF305" s="196"/>
      <c r="DG305" s="198"/>
      <c r="DH305" s="194"/>
      <c r="DI305" s="194"/>
    </row>
    <row r="306" spans="1:113" s="24" customFormat="1" hidden="1" x14ac:dyDescent="0.3">
      <c r="A306" s="172"/>
      <c r="B306" s="172"/>
      <c r="C306" s="172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4"/>
      <c r="BZ306" s="172"/>
      <c r="CA306" s="172"/>
      <c r="CD306" s="194"/>
      <c r="CE306" s="194"/>
      <c r="CF306" s="194"/>
      <c r="CG306" s="194"/>
      <c r="CH306" s="195"/>
      <c r="CI306" s="194"/>
      <c r="CJ306" s="194"/>
      <c r="CK306" s="194"/>
      <c r="CL306" s="196"/>
      <c r="CM306" s="196"/>
      <c r="CN306" s="194"/>
      <c r="CO306" s="197"/>
      <c r="CP306" s="196"/>
      <c r="CQ306" s="196"/>
      <c r="CR306" s="196"/>
      <c r="CS306" s="196"/>
      <c r="CT306" s="196"/>
      <c r="CU306" s="196"/>
      <c r="CV306" s="194"/>
      <c r="CW306" s="194"/>
      <c r="CX306" s="194"/>
      <c r="CY306" s="194"/>
      <c r="CZ306" s="194"/>
      <c r="DA306" s="194"/>
      <c r="DB306" s="194"/>
      <c r="DC306" s="194"/>
      <c r="DD306" s="194"/>
      <c r="DE306" s="194"/>
      <c r="DF306" s="196"/>
      <c r="DG306" s="198"/>
      <c r="DH306" s="194"/>
      <c r="DI306" s="194"/>
    </row>
    <row r="307" spans="1:113" s="24" customFormat="1" hidden="1" x14ac:dyDescent="0.3">
      <c r="A307" s="172"/>
      <c r="B307" s="172"/>
      <c r="C307" s="172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4"/>
      <c r="BZ307" s="172"/>
      <c r="CA307" s="172"/>
      <c r="CD307" s="194"/>
      <c r="CE307" s="194"/>
      <c r="CF307" s="194"/>
      <c r="CG307" s="194"/>
      <c r="CH307" s="195"/>
      <c r="CI307" s="194"/>
      <c r="CJ307" s="194"/>
      <c r="CK307" s="194"/>
      <c r="CL307" s="196"/>
      <c r="CM307" s="196"/>
      <c r="CN307" s="194"/>
      <c r="CO307" s="197"/>
      <c r="CP307" s="196"/>
      <c r="CQ307" s="196"/>
      <c r="CR307" s="196"/>
      <c r="CS307" s="196"/>
      <c r="CT307" s="196"/>
      <c r="CU307" s="196"/>
      <c r="CV307" s="194"/>
      <c r="CW307" s="194"/>
      <c r="CX307" s="194"/>
      <c r="CY307" s="194"/>
      <c r="CZ307" s="194"/>
      <c r="DA307" s="194"/>
      <c r="DB307" s="194"/>
      <c r="DC307" s="194"/>
      <c r="DD307" s="194"/>
      <c r="DE307" s="194"/>
      <c r="DF307" s="196"/>
      <c r="DG307" s="198"/>
      <c r="DH307" s="194"/>
      <c r="DI307" s="194"/>
    </row>
    <row r="308" spans="1:113" s="24" customFormat="1" hidden="1" x14ac:dyDescent="0.3">
      <c r="A308" s="172"/>
      <c r="B308" s="172"/>
      <c r="C308" s="172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4"/>
      <c r="BZ308" s="172"/>
      <c r="CA308" s="172"/>
      <c r="CD308" s="194"/>
      <c r="CE308" s="194"/>
      <c r="CF308" s="194"/>
      <c r="CG308" s="194"/>
      <c r="CH308" s="195"/>
      <c r="CI308" s="194"/>
      <c r="CJ308" s="194"/>
      <c r="CK308" s="194"/>
      <c r="CL308" s="196"/>
      <c r="CM308" s="196"/>
      <c r="CN308" s="194"/>
      <c r="CO308" s="197"/>
      <c r="CP308" s="196"/>
      <c r="CQ308" s="196"/>
      <c r="CR308" s="196"/>
      <c r="CS308" s="196"/>
      <c r="CT308" s="196"/>
      <c r="CU308" s="196"/>
      <c r="CV308" s="194"/>
      <c r="CW308" s="194"/>
      <c r="CX308" s="194"/>
      <c r="CY308" s="194"/>
      <c r="CZ308" s="194"/>
      <c r="DA308" s="194"/>
      <c r="DB308" s="194"/>
      <c r="DC308" s="194"/>
      <c r="DD308" s="194"/>
      <c r="DE308" s="194"/>
      <c r="DF308" s="196"/>
      <c r="DG308" s="198"/>
      <c r="DH308" s="194"/>
      <c r="DI308" s="194"/>
    </row>
    <row r="309" spans="1:113" s="24" customFormat="1" hidden="1" x14ac:dyDescent="0.3">
      <c r="A309" s="172"/>
      <c r="B309" s="172"/>
      <c r="C309" s="172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4"/>
      <c r="BZ309" s="172"/>
      <c r="CA309" s="172"/>
      <c r="CD309" s="194"/>
      <c r="CE309" s="194"/>
      <c r="CF309" s="194"/>
      <c r="CG309" s="194"/>
      <c r="CH309" s="195"/>
      <c r="CI309" s="194"/>
      <c r="CJ309" s="194"/>
      <c r="CK309" s="194"/>
      <c r="CL309" s="196"/>
      <c r="CM309" s="196"/>
      <c r="CN309" s="194"/>
      <c r="CO309" s="197"/>
      <c r="CP309" s="196"/>
      <c r="CQ309" s="196"/>
      <c r="CR309" s="196"/>
      <c r="CS309" s="196"/>
      <c r="CT309" s="196"/>
      <c r="CU309" s="196"/>
      <c r="CV309" s="194"/>
      <c r="CW309" s="194"/>
      <c r="CX309" s="194"/>
      <c r="CY309" s="194"/>
      <c r="CZ309" s="194"/>
      <c r="DA309" s="194"/>
      <c r="DB309" s="194"/>
      <c r="DC309" s="194"/>
      <c r="DD309" s="194"/>
      <c r="DE309" s="194"/>
      <c r="DF309" s="196"/>
      <c r="DG309" s="198"/>
      <c r="DH309" s="194"/>
      <c r="DI309" s="194"/>
    </row>
    <row r="310" spans="1:113" s="24" customFormat="1" hidden="1" x14ac:dyDescent="0.3">
      <c r="A310" s="172"/>
      <c r="B310" s="172"/>
      <c r="C310" s="172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4"/>
      <c r="BZ310" s="172"/>
      <c r="CA310" s="172"/>
      <c r="CD310" s="194"/>
      <c r="CE310" s="194"/>
      <c r="CF310" s="194"/>
      <c r="CG310" s="194"/>
      <c r="CH310" s="195"/>
      <c r="CI310" s="194"/>
      <c r="CJ310" s="194"/>
      <c r="CK310" s="194"/>
      <c r="CL310" s="196"/>
      <c r="CM310" s="196"/>
      <c r="CN310" s="194"/>
      <c r="CO310" s="197"/>
      <c r="CP310" s="196"/>
      <c r="CQ310" s="196"/>
      <c r="CR310" s="196"/>
      <c r="CS310" s="196"/>
      <c r="CT310" s="196"/>
      <c r="CU310" s="196"/>
      <c r="CV310" s="194"/>
      <c r="CW310" s="194"/>
      <c r="CX310" s="194"/>
      <c r="CY310" s="194"/>
      <c r="CZ310" s="194"/>
      <c r="DA310" s="194"/>
      <c r="DB310" s="194"/>
      <c r="DC310" s="194"/>
      <c r="DD310" s="194"/>
      <c r="DE310" s="194"/>
      <c r="DF310" s="196"/>
      <c r="DG310" s="198"/>
      <c r="DH310" s="194"/>
      <c r="DI310" s="194"/>
    </row>
    <row r="311" spans="1:113" s="24" customFormat="1" hidden="1" x14ac:dyDescent="0.3">
      <c r="A311" s="172"/>
      <c r="B311" s="172"/>
      <c r="C311" s="172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4"/>
      <c r="BZ311" s="172"/>
      <c r="CA311" s="172"/>
      <c r="CD311" s="194"/>
      <c r="CE311" s="194"/>
      <c r="CF311" s="194"/>
      <c r="CG311" s="194"/>
      <c r="CH311" s="195"/>
      <c r="CI311" s="194"/>
      <c r="CJ311" s="194"/>
      <c r="CK311" s="194"/>
      <c r="CL311" s="196"/>
      <c r="CM311" s="196"/>
      <c r="CN311" s="194"/>
      <c r="CO311" s="197"/>
      <c r="CP311" s="196"/>
      <c r="CQ311" s="196"/>
      <c r="CR311" s="196"/>
      <c r="CS311" s="196"/>
      <c r="CT311" s="196"/>
      <c r="CU311" s="196"/>
      <c r="CV311" s="194"/>
      <c r="CW311" s="194"/>
      <c r="CX311" s="194"/>
      <c r="CY311" s="194"/>
      <c r="CZ311" s="194"/>
      <c r="DA311" s="194"/>
      <c r="DB311" s="194"/>
      <c r="DC311" s="194"/>
      <c r="DD311" s="194"/>
      <c r="DE311" s="194"/>
      <c r="DF311" s="196"/>
      <c r="DG311" s="198"/>
      <c r="DH311" s="194"/>
      <c r="DI311" s="194"/>
    </row>
    <row r="312" spans="1:113" s="24" customFormat="1" hidden="1" x14ac:dyDescent="0.3">
      <c r="A312" s="172"/>
      <c r="B312" s="172"/>
      <c r="C312" s="172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4"/>
      <c r="BZ312" s="172"/>
      <c r="CA312" s="172"/>
      <c r="CD312" s="194"/>
      <c r="CE312" s="194"/>
      <c r="CF312" s="194"/>
      <c r="CG312" s="194"/>
      <c r="CH312" s="195"/>
      <c r="CI312" s="194"/>
      <c r="CJ312" s="194"/>
      <c r="CK312" s="194"/>
      <c r="CL312" s="196"/>
      <c r="CM312" s="196"/>
      <c r="CN312" s="194"/>
      <c r="CO312" s="197"/>
      <c r="CP312" s="196"/>
      <c r="CQ312" s="196"/>
      <c r="CR312" s="196"/>
      <c r="CS312" s="196"/>
      <c r="CT312" s="196"/>
      <c r="CU312" s="196"/>
      <c r="CV312" s="194"/>
      <c r="CW312" s="194"/>
      <c r="CX312" s="194"/>
      <c r="CY312" s="194"/>
      <c r="CZ312" s="194"/>
      <c r="DA312" s="194"/>
      <c r="DB312" s="194"/>
      <c r="DC312" s="194"/>
      <c r="DD312" s="194"/>
      <c r="DE312" s="194"/>
      <c r="DF312" s="196"/>
      <c r="DG312" s="198"/>
      <c r="DH312" s="194"/>
      <c r="DI312" s="194"/>
    </row>
    <row r="313" spans="1:113" s="24" customFormat="1" hidden="1" x14ac:dyDescent="0.3">
      <c r="A313" s="172"/>
      <c r="B313" s="172"/>
      <c r="C313" s="172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4"/>
      <c r="BZ313" s="172"/>
      <c r="CA313" s="172"/>
      <c r="CD313" s="194"/>
      <c r="CE313" s="194"/>
      <c r="CF313" s="194"/>
      <c r="CG313" s="194"/>
      <c r="CH313" s="195"/>
      <c r="CI313" s="194"/>
      <c r="CJ313" s="194"/>
      <c r="CK313" s="194"/>
      <c r="CL313" s="196"/>
      <c r="CM313" s="196"/>
      <c r="CN313" s="194"/>
      <c r="CO313" s="197"/>
      <c r="CP313" s="196"/>
      <c r="CQ313" s="196"/>
      <c r="CR313" s="196"/>
      <c r="CS313" s="196"/>
      <c r="CT313" s="196"/>
      <c r="CU313" s="196"/>
      <c r="CV313" s="194"/>
      <c r="CW313" s="194"/>
      <c r="CX313" s="194"/>
      <c r="CY313" s="194"/>
      <c r="CZ313" s="194"/>
      <c r="DA313" s="194"/>
      <c r="DB313" s="194"/>
      <c r="DC313" s="194"/>
      <c r="DD313" s="194"/>
      <c r="DE313" s="194"/>
      <c r="DF313" s="196"/>
      <c r="DG313" s="198"/>
      <c r="DH313" s="194"/>
      <c r="DI313" s="194"/>
    </row>
    <row r="314" spans="1:113" s="24" customFormat="1" hidden="1" x14ac:dyDescent="0.3">
      <c r="A314" s="172"/>
      <c r="B314" s="172"/>
      <c r="C314" s="172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4"/>
      <c r="BZ314" s="172"/>
      <c r="CA314" s="172"/>
      <c r="CD314" s="194"/>
      <c r="CE314" s="194"/>
      <c r="CF314" s="194"/>
      <c r="CG314" s="194"/>
      <c r="CH314" s="195"/>
      <c r="CI314" s="194"/>
      <c r="CJ314" s="194"/>
      <c r="CK314" s="194"/>
      <c r="CL314" s="196"/>
      <c r="CM314" s="196"/>
      <c r="CN314" s="194"/>
      <c r="CO314" s="197"/>
      <c r="CP314" s="196"/>
      <c r="CQ314" s="196"/>
      <c r="CR314" s="196"/>
      <c r="CS314" s="196"/>
      <c r="CT314" s="196"/>
      <c r="CU314" s="196"/>
      <c r="CV314" s="194"/>
      <c r="CW314" s="194"/>
      <c r="CX314" s="194"/>
      <c r="CY314" s="194"/>
      <c r="CZ314" s="194"/>
      <c r="DA314" s="194"/>
      <c r="DB314" s="194"/>
      <c r="DC314" s="194"/>
      <c r="DD314" s="194"/>
      <c r="DE314" s="194"/>
      <c r="DF314" s="196"/>
      <c r="DG314" s="198"/>
      <c r="DH314" s="194"/>
      <c r="DI314" s="194"/>
    </row>
    <row r="315" spans="1:113" s="24" customFormat="1" hidden="1" x14ac:dyDescent="0.3">
      <c r="A315" s="172"/>
      <c r="B315" s="172"/>
      <c r="C315" s="172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  <c r="BT315" s="172"/>
      <c r="BU315" s="172"/>
      <c r="BV315" s="172"/>
      <c r="BW315" s="172"/>
      <c r="BX315" s="172"/>
      <c r="BY315" s="174"/>
      <c r="BZ315" s="172"/>
      <c r="CA315" s="172"/>
      <c r="CD315" s="194"/>
      <c r="CE315" s="194"/>
      <c r="CF315" s="194"/>
      <c r="CG315" s="194"/>
      <c r="CH315" s="195"/>
      <c r="CI315" s="194"/>
      <c r="CJ315" s="194"/>
      <c r="CK315" s="194"/>
      <c r="CL315" s="196"/>
      <c r="CM315" s="196"/>
      <c r="CN315" s="194"/>
      <c r="CO315" s="197"/>
      <c r="CP315" s="196"/>
      <c r="CQ315" s="196"/>
      <c r="CR315" s="196"/>
      <c r="CS315" s="196"/>
      <c r="CT315" s="196"/>
      <c r="CU315" s="196"/>
      <c r="CV315" s="194"/>
      <c r="CW315" s="194"/>
      <c r="CX315" s="194"/>
      <c r="CY315" s="194"/>
      <c r="CZ315" s="194"/>
      <c r="DA315" s="194"/>
      <c r="DB315" s="194"/>
      <c r="DC315" s="194"/>
      <c r="DD315" s="194"/>
      <c r="DE315" s="194"/>
      <c r="DF315" s="196"/>
      <c r="DG315" s="198"/>
      <c r="DH315" s="194"/>
      <c r="DI315" s="194"/>
    </row>
    <row r="316" spans="1:113" s="24" customFormat="1" hidden="1" x14ac:dyDescent="0.3">
      <c r="A316" s="172"/>
      <c r="B316" s="172"/>
      <c r="C316" s="172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  <c r="BT316" s="172"/>
      <c r="BU316" s="172"/>
      <c r="BV316" s="172"/>
      <c r="BW316" s="172"/>
      <c r="BX316" s="172"/>
      <c r="BY316" s="174"/>
      <c r="BZ316" s="172"/>
      <c r="CA316" s="172"/>
      <c r="CD316" s="194"/>
      <c r="CE316" s="194"/>
      <c r="CF316" s="194"/>
      <c r="CG316" s="194"/>
      <c r="CH316" s="195"/>
      <c r="CI316" s="194"/>
      <c r="CJ316" s="194"/>
      <c r="CK316" s="194"/>
      <c r="CL316" s="196"/>
      <c r="CM316" s="196"/>
      <c r="CN316" s="194"/>
      <c r="CO316" s="197"/>
      <c r="CP316" s="196"/>
      <c r="CQ316" s="196"/>
      <c r="CR316" s="196"/>
      <c r="CS316" s="196"/>
      <c r="CT316" s="196"/>
      <c r="CU316" s="196"/>
      <c r="CV316" s="194"/>
      <c r="CW316" s="194"/>
      <c r="CX316" s="194"/>
      <c r="CY316" s="194"/>
      <c r="CZ316" s="194"/>
      <c r="DA316" s="194"/>
      <c r="DB316" s="194"/>
      <c r="DC316" s="194"/>
      <c r="DD316" s="194"/>
      <c r="DE316" s="194"/>
      <c r="DF316" s="196"/>
      <c r="DG316" s="198"/>
      <c r="DH316" s="194"/>
      <c r="DI316" s="194"/>
    </row>
    <row r="317" spans="1:113" s="24" customFormat="1" hidden="1" x14ac:dyDescent="0.3">
      <c r="A317" s="172"/>
      <c r="B317" s="172"/>
      <c r="C317" s="172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  <c r="BT317" s="172"/>
      <c r="BU317" s="172"/>
      <c r="BV317" s="172"/>
      <c r="BW317" s="172"/>
      <c r="BX317" s="172"/>
      <c r="BY317" s="174"/>
      <c r="BZ317" s="172"/>
      <c r="CA317" s="172"/>
      <c r="CD317" s="194"/>
      <c r="CE317" s="194"/>
      <c r="CF317" s="194"/>
      <c r="CG317" s="194"/>
      <c r="CH317" s="195"/>
      <c r="CI317" s="194"/>
      <c r="CJ317" s="194"/>
      <c r="CK317" s="194"/>
      <c r="CL317" s="196"/>
      <c r="CM317" s="196"/>
      <c r="CN317" s="194"/>
      <c r="CO317" s="197"/>
      <c r="CP317" s="196"/>
      <c r="CQ317" s="196"/>
      <c r="CR317" s="196"/>
      <c r="CS317" s="196"/>
      <c r="CT317" s="196"/>
      <c r="CU317" s="196"/>
      <c r="CV317" s="194"/>
      <c r="CW317" s="194"/>
      <c r="CX317" s="194"/>
      <c r="CY317" s="194"/>
      <c r="CZ317" s="194"/>
      <c r="DA317" s="194"/>
      <c r="DB317" s="194"/>
      <c r="DC317" s="194"/>
      <c r="DD317" s="194"/>
      <c r="DE317" s="194"/>
      <c r="DF317" s="196"/>
      <c r="DG317" s="198"/>
      <c r="DH317" s="194"/>
      <c r="DI317" s="194"/>
    </row>
    <row r="318" spans="1:113" s="24" customFormat="1" hidden="1" x14ac:dyDescent="0.3">
      <c r="A318" s="172"/>
      <c r="B318" s="172"/>
      <c r="C318" s="172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  <c r="BT318" s="172"/>
      <c r="BU318" s="172"/>
      <c r="BV318" s="172"/>
      <c r="BW318" s="172"/>
      <c r="BX318" s="172"/>
      <c r="BY318" s="174"/>
      <c r="BZ318" s="172"/>
      <c r="CA318" s="172"/>
      <c r="CD318" s="194"/>
      <c r="CE318" s="194"/>
      <c r="CF318" s="194"/>
      <c r="CG318" s="194"/>
      <c r="CH318" s="195"/>
      <c r="CI318" s="194"/>
      <c r="CJ318" s="194"/>
      <c r="CK318" s="194"/>
      <c r="CL318" s="196"/>
      <c r="CM318" s="196"/>
      <c r="CN318" s="194"/>
      <c r="CO318" s="197"/>
      <c r="CP318" s="196"/>
      <c r="CQ318" s="196"/>
      <c r="CR318" s="196"/>
      <c r="CS318" s="196"/>
      <c r="CT318" s="196"/>
      <c r="CU318" s="196"/>
      <c r="CV318" s="194"/>
      <c r="CW318" s="194"/>
      <c r="CX318" s="194"/>
      <c r="CY318" s="194"/>
      <c r="CZ318" s="194"/>
      <c r="DA318" s="194"/>
      <c r="DB318" s="194"/>
      <c r="DC318" s="194"/>
      <c r="DD318" s="194"/>
      <c r="DE318" s="194"/>
      <c r="DF318" s="196"/>
      <c r="DG318" s="198"/>
      <c r="DH318" s="194"/>
      <c r="DI318" s="194"/>
    </row>
    <row r="319" spans="1:113" s="24" customFormat="1" hidden="1" x14ac:dyDescent="0.3">
      <c r="A319" s="172"/>
      <c r="B319" s="172"/>
      <c r="C319" s="172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  <c r="BT319" s="172"/>
      <c r="BU319" s="172"/>
      <c r="BV319" s="172"/>
      <c r="BW319" s="172"/>
      <c r="BX319" s="172"/>
      <c r="BY319" s="174"/>
      <c r="BZ319" s="172"/>
      <c r="CA319" s="172"/>
      <c r="CD319" s="194"/>
      <c r="CE319" s="194"/>
      <c r="CF319" s="194"/>
      <c r="CG319" s="194"/>
      <c r="CH319" s="195"/>
      <c r="CI319" s="194"/>
      <c r="CJ319" s="194"/>
      <c r="CK319" s="194"/>
      <c r="CL319" s="196"/>
      <c r="CM319" s="196"/>
      <c r="CN319" s="194"/>
      <c r="CO319" s="197"/>
      <c r="CP319" s="196"/>
      <c r="CQ319" s="196"/>
      <c r="CR319" s="196"/>
      <c r="CS319" s="196"/>
      <c r="CT319" s="196"/>
      <c r="CU319" s="196"/>
      <c r="CV319" s="194"/>
      <c r="CW319" s="194"/>
      <c r="CX319" s="194"/>
      <c r="CY319" s="194"/>
      <c r="CZ319" s="194"/>
      <c r="DA319" s="194"/>
      <c r="DB319" s="194"/>
      <c r="DC319" s="194"/>
      <c r="DD319" s="194"/>
      <c r="DE319" s="194"/>
      <c r="DF319" s="196"/>
      <c r="DG319" s="198"/>
      <c r="DH319" s="194"/>
      <c r="DI319" s="194"/>
    </row>
    <row r="320" spans="1:113" s="24" customFormat="1" hidden="1" x14ac:dyDescent="0.3">
      <c r="A320" s="172"/>
      <c r="B320" s="172"/>
      <c r="C320" s="172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  <c r="BT320" s="172"/>
      <c r="BU320" s="172"/>
      <c r="BV320" s="172"/>
      <c r="BW320" s="172"/>
      <c r="BX320" s="172"/>
      <c r="BY320" s="174"/>
      <c r="BZ320" s="172"/>
      <c r="CA320" s="172"/>
      <c r="CD320" s="194"/>
      <c r="CE320" s="194"/>
      <c r="CF320" s="194"/>
      <c r="CG320" s="194"/>
      <c r="CH320" s="195"/>
      <c r="CI320" s="194"/>
      <c r="CJ320" s="194"/>
      <c r="CK320" s="194"/>
      <c r="CL320" s="196"/>
      <c r="CM320" s="196"/>
      <c r="CN320" s="194"/>
      <c r="CO320" s="197"/>
      <c r="CP320" s="196"/>
      <c r="CQ320" s="196"/>
      <c r="CR320" s="196"/>
      <c r="CS320" s="196"/>
      <c r="CT320" s="196"/>
      <c r="CU320" s="196"/>
      <c r="CV320" s="194"/>
      <c r="CW320" s="194"/>
      <c r="CX320" s="194"/>
      <c r="CY320" s="194"/>
      <c r="CZ320" s="194"/>
      <c r="DA320" s="194"/>
      <c r="DB320" s="194"/>
      <c r="DC320" s="194"/>
      <c r="DD320" s="194"/>
      <c r="DE320" s="194"/>
      <c r="DF320" s="196"/>
      <c r="DG320" s="198"/>
      <c r="DH320" s="194"/>
      <c r="DI320" s="194"/>
    </row>
    <row r="321" spans="1:113" s="24" customFormat="1" hidden="1" x14ac:dyDescent="0.3">
      <c r="A321" s="172"/>
      <c r="B321" s="172"/>
      <c r="C321" s="172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  <c r="BT321" s="172"/>
      <c r="BU321" s="172"/>
      <c r="BV321" s="172"/>
      <c r="BW321" s="172"/>
      <c r="BX321" s="172"/>
      <c r="BY321" s="174"/>
      <c r="BZ321" s="172"/>
      <c r="CA321" s="172"/>
      <c r="CD321" s="194"/>
      <c r="CE321" s="194"/>
      <c r="CF321" s="194"/>
      <c r="CG321" s="194"/>
      <c r="CH321" s="195"/>
      <c r="CI321" s="194"/>
      <c r="CJ321" s="194"/>
      <c r="CK321" s="194"/>
      <c r="CL321" s="196"/>
      <c r="CM321" s="196"/>
      <c r="CN321" s="194"/>
      <c r="CO321" s="197"/>
      <c r="CP321" s="196"/>
      <c r="CQ321" s="196"/>
      <c r="CR321" s="196"/>
      <c r="CS321" s="196"/>
      <c r="CT321" s="196"/>
      <c r="CU321" s="196"/>
      <c r="CV321" s="194"/>
      <c r="CW321" s="194"/>
      <c r="CX321" s="194"/>
      <c r="CY321" s="194"/>
      <c r="CZ321" s="194"/>
      <c r="DA321" s="194"/>
      <c r="DB321" s="194"/>
      <c r="DC321" s="194"/>
      <c r="DD321" s="194"/>
      <c r="DE321" s="194"/>
      <c r="DF321" s="196"/>
      <c r="DG321" s="198"/>
      <c r="DH321" s="194"/>
      <c r="DI321" s="194"/>
    </row>
    <row r="322" spans="1:113" s="24" customFormat="1" hidden="1" x14ac:dyDescent="0.3">
      <c r="A322" s="172"/>
      <c r="B322" s="172"/>
      <c r="C322" s="172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  <c r="BT322" s="172"/>
      <c r="BU322" s="172"/>
      <c r="BV322" s="172"/>
      <c r="BW322" s="172"/>
      <c r="BX322" s="172"/>
      <c r="BY322" s="174"/>
      <c r="BZ322" s="172"/>
      <c r="CA322" s="172"/>
      <c r="CD322" s="194"/>
      <c r="CE322" s="194"/>
      <c r="CF322" s="194"/>
      <c r="CG322" s="194"/>
      <c r="CH322" s="195"/>
      <c r="CI322" s="194"/>
      <c r="CJ322" s="194"/>
      <c r="CK322" s="194"/>
      <c r="CL322" s="196"/>
      <c r="CM322" s="196"/>
      <c r="CN322" s="194"/>
      <c r="CO322" s="197"/>
      <c r="CP322" s="196"/>
      <c r="CQ322" s="196"/>
      <c r="CR322" s="196"/>
      <c r="CS322" s="196"/>
      <c r="CT322" s="196"/>
      <c r="CU322" s="196"/>
      <c r="CV322" s="194"/>
      <c r="CW322" s="194"/>
      <c r="CX322" s="194"/>
      <c r="CY322" s="194"/>
      <c r="CZ322" s="194"/>
      <c r="DA322" s="194"/>
      <c r="DB322" s="194"/>
      <c r="DC322" s="194"/>
      <c r="DD322" s="194"/>
      <c r="DE322" s="194"/>
      <c r="DF322" s="196"/>
      <c r="DG322" s="198"/>
      <c r="DH322" s="194"/>
      <c r="DI322" s="194"/>
    </row>
    <row r="323" spans="1:113" s="24" customFormat="1" hidden="1" x14ac:dyDescent="0.3">
      <c r="A323" s="172"/>
      <c r="B323" s="172"/>
      <c r="C323" s="172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2"/>
      <c r="BV323" s="172"/>
      <c r="BW323" s="172"/>
      <c r="BX323" s="172"/>
      <c r="BY323" s="174"/>
      <c r="BZ323" s="172"/>
      <c r="CA323" s="172"/>
      <c r="CD323" s="194"/>
      <c r="CE323" s="194"/>
      <c r="CF323" s="194"/>
      <c r="CG323" s="194"/>
      <c r="CH323" s="195"/>
      <c r="CI323" s="194"/>
      <c r="CJ323" s="194"/>
      <c r="CK323" s="194"/>
      <c r="CL323" s="196"/>
      <c r="CM323" s="196"/>
      <c r="CN323" s="194"/>
      <c r="CO323" s="197"/>
      <c r="CP323" s="196"/>
      <c r="CQ323" s="196"/>
      <c r="CR323" s="196"/>
      <c r="CS323" s="196"/>
      <c r="CT323" s="196"/>
      <c r="CU323" s="196"/>
      <c r="CV323" s="194"/>
      <c r="CW323" s="194"/>
      <c r="CX323" s="194"/>
      <c r="CY323" s="194"/>
      <c r="CZ323" s="194"/>
      <c r="DA323" s="194"/>
      <c r="DB323" s="194"/>
      <c r="DC323" s="194"/>
      <c r="DD323" s="194"/>
      <c r="DE323" s="194"/>
      <c r="DF323" s="196"/>
      <c r="DG323" s="198"/>
      <c r="DH323" s="194"/>
      <c r="DI323" s="194"/>
    </row>
    <row r="324" spans="1:113" s="24" customFormat="1" hidden="1" x14ac:dyDescent="0.3">
      <c r="A324" s="172"/>
      <c r="B324" s="172"/>
      <c r="C324" s="172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  <c r="BT324" s="172"/>
      <c r="BU324" s="172"/>
      <c r="BV324" s="172"/>
      <c r="BW324" s="172"/>
      <c r="BX324" s="172"/>
      <c r="BY324" s="174"/>
      <c r="BZ324" s="172"/>
      <c r="CA324" s="172"/>
      <c r="CD324" s="194"/>
      <c r="CE324" s="194"/>
      <c r="CF324" s="194"/>
      <c r="CG324" s="194"/>
      <c r="CH324" s="195"/>
      <c r="CI324" s="194"/>
      <c r="CJ324" s="194"/>
      <c r="CK324" s="194"/>
      <c r="CL324" s="196"/>
      <c r="CM324" s="196"/>
      <c r="CN324" s="194"/>
      <c r="CO324" s="197"/>
      <c r="CP324" s="196"/>
      <c r="CQ324" s="196"/>
      <c r="CR324" s="196"/>
      <c r="CS324" s="196"/>
      <c r="CT324" s="196"/>
      <c r="CU324" s="196"/>
      <c r="CV324" s="194"/>
      <c r="CW324" s="194"/>
      <c r="CX324" s="194"/>
      <c r="CY324" s="194"/>
      <c r="CZ324" s="194"/>
      <c r="DA324" s="194"/>
      <c r="DB324" s="194"/>
      <c r="DC324" s="194"/>
      <c r="DD324" s="194"/>
      <c r="DE324" s="194"/>
      <c r="DF324" s="196"/>
      <c r="DG324" s="198"/>
      <c r="DH324" s="194"/>
      <c r="DI324" s="194"/>
    </row>
    <row r="325" spans="1:113" s="24" customFormat="1" hidden="1" x14ac:dyDescent="0.3">
      <c r="A325" s="172"/>
      <c r="B325" s="172"/>
      <c r="C325" s="172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2"/>
      <c r="BV325" s="172"/>
      <c r="BW325" s="172"/>
      <c r="BX325" s="172"/>
      <c r="BY325" s="174"/>
      <c r="BZ325" s="172"/>
      <c r="CA325" s="172"/>
      <c r="CD325" s="194"/>
      <c r="CE325" s="194"/>
      <c r="CF325" s="194"/>
      <c r="CG325" s="194"/>
      <c r="CH325" s="195"/>
      <c r="CI325" s="194"/>
      <c r="CJ325" s="194"/>
      <c r="CK325" s="194"/>
      <c r="CL325" s="196"/>
      <c r="CM325" s="196"/>
      <c r="CN325" s="194"/>
      <c r="CO325" s="197"/>
      <c r="CP325" s="196"/>
      <c r="CQ325" s="196"/>
      <c r="CR325" s="196"/>
      <c r="CS325" s="196"/>
      <c r="CT325" s="196"/>
      <c r="CU325" s="196"/>
      <c r="CV325" s="194"/>
      <c r="CW325" s="194"/>
      <c r="CX325" s="194"/>
      <c r="CY325" s="194"/>
      <c r="CZ325" s="194"/>
      <c r="DA325" s="194"/>
      <c r="DB325" s="194"/>
      <c r="DC325" s="194"/>
      <c r="DD325" s="194"/>
      <c r="DE325" s="194"/>
      <c r="DF325" s="196"/>
      <c r="DG325" s="198"/>
      <c r="DH325" s="194"/>
      <c r="DI325" s="194"/>
    </row>
    <row r="326" spans="1:113" s="24" customFormat="1" hidden="1" x14ac:dyDescent="0.3">
      <c r="A326" s="172"/>
      <c r="B326" s="172"/>
      <c r="C326" s="172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2"/>
      <c r="BV326" s="172"/>
      <c r="BW326" s="172"/>
      <c r="BX326" s="172"/>
      <c r="BY326" s="174"/>
      <c r="BZ326" s="172"/>
      <c r="CA326" s="172"/>
      <c r="CD326" s="194"/>
      <c r="CE326" s="194"/>
      <c r="CF326" s="194"/>
      <c r="CG326" s="194"/>
      <c r="CH326" s="195"/>
      <c r="CI326" s="194"/>
      <c r="CJ326" s="194"/>
      <c r="CK326" s="194"/>
      <c r="CL326" s="196"/>
      <c r="CM326" s="196"/>
      <c r="CN326" s="194"/>
      <c r="CO326" s="197"/>
      <c r="CP326" s="196"/>
      <c r="CQ326" s="196"/>
      <c r="CR326" s="196"/>
      <c r="CS326" s="196"/>
      <c r="CT326" s="196"/>
      <c r="CU326" s="196"/>
      <c r="CV326" s="194"/>
      <c r="CW326" s="194"/>
      <c r="CX326" s="194"/>
      <c r="CY326" s="194"/>
      <c r="CZ326" s="194"/>
      <c r="DA326" s="194"/>
      <c r="DB326" s="194"/>
      <c r="DC326" s="194"/>
      <c r="DD326" s="194"/>
      <c r="DE326" s="194"/>
      <c r="DF326" s="196"/>
      <c r="DG326" s="198"/>
      <c r="DH326" s="194"/>
      <c r="DI326" s="194"/>
    </row>
    <row r="327" spans="1:113" s="24" customFormat="1" hidden="1" x14ac:dyDescent="0.3">
      <c r="A327" s="172"/>
      <c r="B327" s="172"/>
      <c r="C327" s="172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  <c r="BT327" s="172"/>
      <c r="BU327" s="172"/>
      <c r="BV327" s="172"/>
      <c r="BW327" s="172"/>
      <c r="BX327" s="172"/>
      <c r="BY327" s="174"/>
      <c r="BZ327" s="172"/>
      <c r="CA327" s="172"/>
      <c r="CD327" s="194"/>
      <c r="CE327" s="194"/>
      <c r="CF327" s="194"/>
      <c r="CG327" s="194"/>
      <c r="CH327" s="195"/>
      <c r="CI327" s="194"/>
      <c r="CJ327" s="194"/>
      <c r="CK327" s="194"/>
      <c r="CL327" s="196"/>
      <c r="CM327" s="196"/>
      <c r="CN327" s="194"/>
      <c r="CO327" s="197"/>
      <c r="CP327" s="196"/>
      <c r="CQ327" s="196"/>
      <c r="CR327" s="196"/>
      <c r="CS327" s="196"/>
      <c r="CT327" s="196"/>
      <c r="CU327" s="196"/>
      <c r="CV327" s="194"/>
      <c r="CW327" s="194"/>
      <c r="CX327" s="194"/>
      <c r="CY327" s="194"/>
      <c r="CZ327" s="194"/>
      <c r="DA327" s="194"/>
      <c r="DB327" s="194"/>
      <c r="DC327" s="194"/>
      <c r="DD327" s="194"/>
      <c r="DE327" s="194"/>
      <c r="DF327" s="196"/>
      <c r="DG327" s="198"/>
      <c r="DH327" s="194"/>
      <c r="DI327" s="194"/>
    </row>
    <row r="328" spans="1:113" s="24" customFormat="1" hidden="1" x14ac:dyDescent="0.3">
      <c r="A328" s="172"/>
      <c r="B328" s="172"/>
      <c r="C328" s="172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  <c r="BT328" s="172"/>
      <c r="BU328" s="172"/>
      <c r="BV328" s="172"/>
      <c r="BW328" s="172"/>
      <c r="BX328" s="172"/>
      <c r="BY328" s="174"/>
      <c r="BZ328" s="172"/>
      <c r="CA328" s="172"/>
      <c r="CD328" s="194"/>
      <c r="CE328" s="194"/>
      <c r="CF328" s="194"/>
      <c r="CG328" s="194"/>
      <c r="CH328" s="195"/>
      <c r="CI328" s="194"/>
      <c r="CJ328" s="194"/>
      <c r="CK328" s="194"/>
      <c r="CL328" s="196"/>
      <c r="CM328" s="196"/>
      <c r="CN328" s="194"/>
      <c r="CO328" s="197"/>
      <c r="CP328" s="196"/>
      <c r="CQ328" s="196"/>
      <c r="CR328" s="196"/>
      <c r="CS328" s="196"/>
      <c r="CT328" s="196"/>
      <c r="CU328" s="196"/>
      <c r="CV328" s="194"/>
      <c r="CW328" s="194"/>
      <c r="CX328" s="194"/>
      <c r="CY328" s="194"/>
      <c r="CZ328" s="194"/>
      <c r="DA328" s="194"/>
      <c r="DB328" s="194"/>
      <c r="DC328" s="194"/>
      <c r="DD328" s="194"/>
      <c r="DE328" s="194"/>
      <c r="DF328" s="196"/>
      <c r="DG328" s="198"/>
      <c r="DH328" s="194"/>
      <c r="DI328" s="194"/>
    </row>
    <row r="329" spans="1:113" s="24" customFormat="1" hidden="1" x14ac:dyDescent="0.3">
      <c r="A329" s="172"/>
      <c r="B329" s="172"/>
      <c r="C329" s="172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  <c r="BT329" s="172"/>
      <c r="BU329" s="172"/>
      <c r="BV329" s="172"/>
      <c r="BW329" s="172"/>
      <c r="BX329" s="172"/>
      <c r="BY329" s="174"/>
      <c r="BZ329" s="172"/>
      <c r="CA329" s="172"/>
      <c r="CD329" s="194"/>
      <c r="CE329" s="194"/>
      <c r="CF329" s="194"/>
      <c r="CG329" s="194"/>
      <c r="CH329" s="195"/>
      <c r="CI329" s="194"/>
      <c r="CJ329" s="194"/>
      <c r="CK329" s="194"/>
      <c r="CL329" s="196"/>
      <c r="CM329" s="196"/>
      <c r="CN329" s="194"/>
      <c r="CO329" s="197"/>
      <c r="CP329" s="196"/>
      <c r="CQ329" s="196"/>
      <c r="CR329" s="196"/>
      <c r="CS329" s="196"/>
      <c r="CT329" s="196"/>
      <c r="CU329" s="196"/>
      <c r="CV329" s="194"/>
      <c r="CW329" s="194"/>
      <c r="CX329" s="194"/>
      <c r="CY329" s="194"/>
      <c r="CZ329" s="194"/>
      <c r="DA329" s="194"/>
      <c r="DB329" s="194"/>
      <c r="DC329" s="194"/>
      <c r="DD329" s="194"/>
      <c r="DE329" s="194"/>
      <c r="DF329" s="196"/>
      <c r="DG329" s="198"/>
      <c r="DH329" s="194"/>
      <c r="DI329" s="194"/>
    </row>
    <row r="330" spans="1:113" s="24" customFormat="1" hidden="1" x14ac:dyDescent="0.3">
      <c r="A330" s="172"/>
      <c r="B330" s="172"/>
      <c r="C330" s="172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  <c r="BT330" s="172"/>
      <c r="BU330" s="172"/>
      <c r="BV330" s="172"/>
      <c r="BW330" s="172"/>
      <c r="BX330" s="172"/>
      <c r="BY330" s="174"/>
      <c r="BZ330" s="172"/>
      <c r="CA330" s="172"/>
      <c r="CD330" s="194"/>
      <c r="CE330" s="194"/>
      <c r="CF330" s="194"/>
      <c r="CG330" s="194"/>
      <c r="CH330" s="195"/>
      <c r="CI330" s="194"/>
      <c r="CJ330" s="194"/>
      <c r="CK330" s="194"/>
      <c r="CL330" s="196"/>
      <c r="CM330" s="196"/>
      <c r="CN330" s="194"/>
      <c r="CO330" s="197"/>
      <c r="CP330" s="196"/>
      <c r="CQ330" s="196"/>
      <c r="CR330" s="196"/>
      <c r="CS330" s="196"/>
      <c r="CT330" s="196"/>
      <c r="CU330" s="196"/>
      <c r="CV330" s="194"/>
      <c r="CW330" s="194"/>
      <c r="CX330" s="194"/>
      <c r="CY330" s="194"/>
      <c r="CZ330" s="194"/>
      <c r="DA330" s="194"/>
      <c r="DB330" s="194"/>
      <c r="DC330" s="194"/>
      <c r="DD330" s="194"/>
      <c r="DE330" s="194"/>
      <c r="DF330" s="196"/>
      <c r="DG330" s="198"/>
      <c r="DH330" s="194"/>
      <c r="DI330" s="194"/>
    </row>
    <row r="331" spans="1:113" s="24" customFormat="1" hidden="1" x14ac:dyDescent="0.3">
      <c r="A331" s="172"/>
      <c r="B331" s="172"/>
      <c r="C331" s="172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  <c r="BT331" s="172"/>
      <c r="BU331" s="172"/>
      <c r="BV331" s="172"/>
      <c r="BW331" s="172"/>
      <c r="BX331" s="172"/>
      <c r="BY331" s="174"/>
      <c r="BZ331" s="172"/>
      <c r="CA331" s="172"/>
      <c r="CD331" s="194"/>
      <c r="CE331" s="194"/>
      <c r="CF331" s="194"/>
      <c r="CG331" s="194"/>
      <c r="CH331" s="195"/>
      <c r="CI331" s="194"/>
      <c r="CJ331" s="194"/>
      <c r="CK331" s="194"/>
      <c r="CL331" s="196"/>
      <c r="CM331" s="196"/>
      <c r="CN331" s="194"/>
      <c r="CO331" s="197"/>
      <c r="CP331" s="196"/>
      <c r="CQ331" s="196"/>
      <c r="CR331" s="196"/>
      <c r="CS331" s="196"/>
      <c r="CT331" s="196"/>
      <c r="CU331" s="196"/>
      <c r="CV331" s="194"/>
      <c r="CW331" s="194"/>
      <c r="CX331" s="194"/>
      <c r="CY331" s="194"/>
      <c r="CZ331" s="194"/>
      <c r="DA331" s="194"/>
      <c r="DB331" s="194"/>
      <c r="DC331" s="194"/>
      <c r="DD331" s="194"/>
      <c r="DE331" s="194"/>
      <c r="DF331" s="196"/>
      <c r="DG331" s="198"/>
      <c r="DH331" s="194"/>
      <c r="DI331" s="194"/>
    </row>
    <row r="332" spans="1:113" s="24" customFormat="1" hidden="1" x14ac:dyDescent="0.3">
      <c r="A332" s="172"/>
      <c r="B332" s="172"/>
      <c r="C332" s="172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4"/>
      <c r="BZ332" s="172"/>
      <c r="CA332" s="172"/>
      <c r="CD332" s="194"/>
      <c r="CE332" s="194"/>
      <c r="CF332" s="194"/>
      <c r="CG332" s="194"/>
      <c r="CH332" s="195"/>
      <c r="CI332" s="194"/>
      <c r="CJ332" s="194"/>
      <c r="CK332" s="194"/>
      <c r="CL332" s="196"/>
      <c r="CM332" s="196"/>
      <c r="CN332" s="194"/>
      <c r="CO332" s="197"/>
      <c r="CP332" s="196"/>
      <c r="CQ332" s="196"/>
      <c r="CR332" s="196"/>
      <c r="CS332" s="196"/>
      <c r="CT332" s="196"/>
      <c r="CU332" s="196"/>
      <c r="CV332" s="194"/>
      <c r="CW332" s="194"/>
      <c r="CX332" s="194"/>
      <c r="CY332" s="194"/>
      <c r="CZ332" s="194"/>
      <c r="DA332" s="194"/>
      <c r="DB332" s="194"/>
      <c r="DC332" s="194"/>
      <c r="DD332" s="194"/>
      <c r="DE332" s="194"/>
      <c r="DF332" s="196"/>
      <c r="DG332" s="198"/>
      <c r="DH332" s="194"/>
      <c r="DI332" s="194"/>
    </row>
    <row r="333" spans="1:113" s="24" customFormat="1" hidden="1" x14ac:dyDescent="0.3">
      <c r="A333" s="172"/>
      <c r="B333" s="172"/>
      <c r="C333" s="172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4"/>
      <c r="BZ333" s="172"/>
      <c r="CA333" s="172"/>
      <c r="CD333" s="194"/>
      <c r="CE333" s="194"/>
      <c r="CF333" s="194"/>
      <c r="CG333" s="194"/>
      <c r="CH333" s="195"/>
      <c r="CI333" s="194"/>
      <c r="CJ333" s="194"/>
      <c r="CK333" s="194"/>
      <c r="CL333" s="196"/>
      <c r="CM333" s="196"/>
      <c r="CN333" s="194"/>
      <c r="CO333" s="197"/>
      <c r="CP333" s="196"/>
      <c r="CQ333" s="196"/>
      <c r="CR333" s="196"/>
      <c r="CS333" s="196"/>
      <c r="CT333" s="196"/>
      <c r="CU333" s="196"/>
      <c r="CV333" s="194"/>
      <c r="CW333" s="194"/>
      <c r="CX333" s="194"/>
      <c r="CY333" s="194"/>
      <c r="CZ333" s="194"/>
      <c r="DA333" s="194"/>
      <c r="DB333" s="194"/>
      <c r="DC333" s="194"/>
      <c r="DD333" s="194"/>
      <c r="DE333" s="194"/>
      <c r="DF333" s="196"/>
      <c r="DG333" s="198"/>
      <c r="DH333" s="194"/>
      <c r="DI333" s="194"/>
    </row>
    <row r="334" spans="1:113" s="24" customFormat="1" hidden="1" x14ac:dyDescent="0.3">
      <c r="A334" s="172"/>
      <c r="B334" s="172"/>
      <c r="C334" s="172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4"/>
      <c r="BZ334" s="172"/>
      <c r="CA334" s="172"/>
      <c r="CD334" s="194"/>
      <c r="CE334" s="194"/>
      <c r="CF334" s="194"/>
      <c r="CG334" s="194"/>
      <c r="CH334" s="195"/>
      <c r="CI334" s="194"/>
      <c r="CJ334" s="194"/>
      <c r="CK334" s="194"/>
      <c r="CL334" s="196"/>
      <c r="CM334" s="196"/>
      <c r="CN334" s="194"/>
      <c r="CO334" s="197"/>
      <c r="CP334" s="196"/>
      <c r="CQ334" s="196"/>
      <c r="CR334" s="196"/>
      <c r="CS334" s="196"/>
      <c r="CT334" s="196"/>
      <c r="CU334" s="196"/>
      <c r="CV334" s="194"/>
      <c r="CW334" s="194"/>
      <c r="CX334" s="194"/>
      <c r="CY334" s="194"/>
      <c r="CZ334" s="194"/>
      <c r="DA334" s="194"/>
      <c r="DB334" s="194"/>
      <c r="DC334" s="194"/>
      <c r="DD334" s="194"/>
      <c r="DE334" s="194"/>
      <c r="DF334" s="196"/>
      <c r="DG334" s="198"/>
      <c r="DH334" s="194"/>
      <c r="DI334" s="194"/>
    </row>
    <row r="335" spans="1:113" s="24" customFormat="1" hidden="1" x14ac:dyDescent="0.3">
      <c r="A335" s="172"/>
      <c r="B335" s="172"/>
      <c r="C335" s="172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4"/>
      <c r="BZ335" s="172"/>
      <c r="CA335" s="172"/>
      <c r="CD335" s="194"/>
      <c r="CE335" s="194"/>
      <c r="CF335" s="194"/>
      <c r="CG335" s="194"/>
      <c r="CH335" s="195"/>
      <c r="CI335" s="194"/>
      <c r="CJ335" s="194"/>
      <c r="CK335" s="194"/>
      <c r="CL335" s="196"/>
      <c r="CM335" s="196"/>
      <c r="CN335" s="194"/>
      <c r="CO335" s="197"/>
      <c r="CP335" s="196"/>
      <c r="CQ335" s="196"/>
      <c r="CR335" s="196"/>
      <c r="CS335" s="196"/>
      <c r="CT335" s="196"/>
      <c r="CU335" s="196"/>
      <c r="CV335" s="194"/>
      <c r="CW335" s="194"/>
      <c r="CX335" s="194"/>
      <c r="CY335" s="194"/>
      <c r="CZ335" s="194"/>
      <c r="DA335" s="194"/>
      <c r="DB335" s="194"/>
      <c r="DC335" s="194"/>
      <c r="DD335" s="194"/>
      <c r="DE335" s="194"/>
      <c r="DF335" s="196"/>
      <c r="DG335" s="198"/>
      <c r="DH335" s="194"/>
      <c r="DI335" s="194"/>
    </row>
    <row r="336" spans="1:113" s="24" customFormat="1" hidden="1" x14ac:dyDescent="0.3">
      <c r="A336" s="172"/>
      <c r="B336" s="172"/>
      <c r="C336" s="172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4"/>
      <c r="BZ336" s="172"/>
      <c r="CA336" s="172"/>
      <c r="CD336" s="194"/>
      <c r="CE336" s="194"/>
      <c r="CF336" s="194"/>
      <c r="CG336" s="194"/>
      <c r="CH336" s="195"/>
      <c r="CI336" s="194"/>
      <c r="CJ336" s="194"/>
      <c r="CK336" s="194"/>
      <c r="CL336" s="196"/>
      <c r="CM336" s="196"/>
      <c r="CN336" s="194"/>
      <c r="CO336" s="197"/>
      <c r="CP336" s="196"/>
      <c r="CQ336" s="196"/>
      <c r="CR336" s="196"/>
      <c r="CS336" s="196"/>
      <c r="CT336" s="196"/>
      <c r="CU336" s="196"/>
      <c r="CV336" s="194"/>
      <c r="CW336" s="194"/>
      <c r="CX336" s="194"/>
      <c r="CY336" s="194"/>
      <c r="CZ336" s="194"/>
      <c r="DA336" s="194"/>
      <c r="DB336" s="194"/>
      <c r="DC336" s="194"/>
      <c r="DD336" s="194"/>
      <c r="DE336" s="194"/>
      <c r="DF336" s="196"/>
      <c r="DG336" s="198"/>
      <c r="DH336" s="194"/>
      <c r="DI336" s="194"/>
    </row>
    <row r="337" spans="1:113" s="24" customFormat="1" hidden="1" x14ac:dyDescent="0.3">
      <c r="A337" s="172"/>
      <c r="B337" s="172"/>
      <c r="C337" s="172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4"/>
      <c r="BZ337" s="172"/>
      <c r="CA337" s="172"/>
      <c r="CD337" s="194"/>
      <c r="CE337" s="194"/>
      <c r="CF337" s="194"/>
      <c r="CG337" s="194"/>
      <c r="CH337" s="195"/>
      <c r="CI337" s="194"/>
      <c r="CJ337" s="194"/>
      <c r="CK337" s="194"/>
      <c r="CL337" s="196"/>
      <c r="CM337" s="196"/>
      <c r="CN337" s="194"/>
      <c r="CO337" s="197"/>
      <c r="CP337" s="196"/>
      <c r="CQ337" s="196"/>
      <c r="CR337" s="196"/>
      <c r="CS337" s="196"/>
      <c r="CT337" s="196"/>
      <c r="CU337" s="196"/>
      <c r="CV337" s="194"/>
      <c r="CW337" s="194"/>
      <c r="CX337" s="194"/>
      <c r="CY337" s="194"/>
      <c r="CZ337" s="194"/>
      <c r="DA337" s="194"/>
      <c r="DB337" s="194"/>
      <c r="DC337" s="194"/>
      <c r="DD337" s="194"/>
      <c r="DE337" s="194"/>
      <c r="DF337" s="196"/>
      <c r="DG337" s="198"/>
      <c r="DH337" s="194"/>
      <c r="DI337" s="194"/>
    </row>
    <row r="338" spans="1:113" s="24" customFormat="1" hidden="1" x14ac:dyDescent="0.3">
      <c r="A338" s="172"/>
      <c r="B338" s="172"/>
      <c r="C338" s="172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4"/>
      <c r="BZ338" s="172"/>
      <c r="CA338" s="172"/>
      <c r="CD338" s="194"/>
      <c r="CE338" s="194"/>
      <c r="CF338" s="194"/>
      <c r="CG338" s="194"/>
      <c r="CH338" s="195"/>
      <c r="CI338" s="194"/>
      <c r="CJ338" s="194"/>
      <c r="CK338" s="194"/>
      <c r="CL338" s="196"/>
      <c r="CM338" s="196"/>
      <c r="CN338" s="194"/>
      <c r="CO338" s="197"/>
      <c r="CP338" s="196"/>
      <c r="CQ338" s="196"/>
      <c r="CR338" s="196"/>
      <c r="CS338" s="196"/>
      <c r="CT338" s="196"/>
      <c r="CU338" s="196"/>
      <c r="CV338" s="194"/>
      <c r="CW338" s="194"/>
      <c r="CX338" s="194"/>
      <c r="CY338" s="194"/>
      <c r="CZ338" s="194"/>
      <c r="DA338" s="194"/>
      <c r="DB338" s="194"/>
      <c r="DC338" s="194"/>
      <c r="DD338" s="194"/>
      <c r="DE338" s="194"/>
      <c r="DF338" s="196"/>
      <c r="DG338" s="198"/>
      <c r="DH338" s="194"/>
      <c r="DI338" s="194"/>
    </row>
    <row r="339" spans="1:113" s="24" customFormat="1" hidden="1" x14ac:dyDescent="0.3">
      <c r="A339" s="172"/>
      <c r="B339" s="172"/>
      <c r="C339" s="172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4"/>
      <c r="BZ339" s="172"/>
      <c r="CA339" s="172"/>
      <c r="CD339" s="194"/>
      <c r="CE339" s="194"/>
      <c r="CF339" s="194"/>
      <c r="CG339" s="194"/>
      <c r="CH339" s="195"/>
      <c r="CI339" s="194"/>
      <c r="CJ339" s="194"/>
      <c r="CK339" s="194"/>
      <c r="CL339" s="196"/>
      <c r="CM339" s="196"/>
      <c r="CN339" s="194"/>
      <c r="CO339" s="197"/>
      <c r="CP339" s="196"/>
      <c r="CQ339" s="196"/>
      <c r="CR339" s="196"/>
      <c r="CS339" s="196"/>
      <c r="CT339" s="196"/>
      <c r="CU339" s="196"/>
      <c r="CV339" s="194"/>
      <c r="CW339" s="194"/>
      <c r="CX339" s="194"/>
      <c r="CY339" s="194"/>
      <c r="CZ339" s="194"/>
      <c r="DA339" s="194"/>
      <c r="DB339" s="194"/>
      <c r="DC339" s="194"/>
      <c r="DD339" s="194"/>
      <c r="DE339" s="194"/>
      <c r="DF339" s="196"/>
      <c r="DG339" s="198"/>
      <c r="DH339" s="194"/>
      <c r="DI339" s="194"/>
    </row>
    <row r="340" spans="1:113" s="24" customFormat="1" hidden="1" x14ac:dyDescent="0.3">
      <c r="A340" s="172"/>
      <c r="B340" s="172"/>
      <c r="C340" s="172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2"/>
      <c r="BW340" s="172"/>
      <c r="BX340" s="172"/>
      <c r="BY340" s="174"/>
      <c r="BZ340" s="172"/>
      <c r="CA340" s="172"/>
      <c r="CD340" s="194"/>
      <c r="CE340" s="194"/>
      <c r="CF340" s="194"/>
      <c r="CG340" s="194"/>
      <c r="CH340" s="195"/>
      <c r="CI340" s="194"/>
      <c r="CJ340" s="194"/>
      <c r="CK340" s="194"/>
      <c r="CL340" s="196"/>
      <c r="CM340" s="196"/>
      <c r="CN340" s="194"/>
      <c r="CO340" s="197"/>
      <c r="CP340" s="196"/>
      <c r="CQ340" s="196"/>
      <c r="CR340" s="196"/>
      <c r="CS340" s="196"/>
      <c r="CT340" s="196"/>
      <c r="CU340" s="196"/>
      <c r="CV340" s="194"/>
      <c r="CW340" s="194"/>
      <c r="CX340" s="194"/>
      <c r="CY340" s="194"/>
      <c r="CZ340" s="194"/>
      <c r="DA340" s="194"/>
      <c r="DB340" s="194"/>
      <c r="DC340" s="194"/>
      <c r="DD340" s="194"/>
      <c r="DE340" s="194"/>
      <c r="DF340" s="196"/>
      <c r="DG340" s="198"/>
      <c r="DH340" s="194"/>
      <c r="DI340" s="194"/>
    </row>
    <row r="341" spans="1:113" s="24" customFormat="1" hidden="1" x14ac:dyDescent="0.3">
      <c r="A341" s="172"/>
      <c r="B341" s="172"/>
      <c r="C341" s="172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  <c r="BT341" s="172"/>
      <c r="BU341" s="172"/>
      <c r="BV341" s="172"/>
      <c r="BW341" s="172"/>
      <c r="BX341" s="172"/>
      <c r="BY341" s="174"/>
      <c r="BZ341" s="172"/>
      <c r="CA341" s="172"/>
      <c r="CD341" s="194"/>
      <c r="CE341" s="194"/>
      <c r="CF341" s="194"/>
      <c r="CG341" s="194"/>
      <c r="CH341" s="195"/>
      <c r="CI341" s="194"/>
      <c r="CJ341" s="194"/>
      <c r="CK341" s="194"/>
      <c r="CL341" s="196"/>
      <c r="CM341" s="196"/>
      <c r="CN341" s="194"/>
      <c r="CO341" s="197"/>
      <c r="CP341" s="196"/>
      <c r="CQ341" s="196"/>
      <c r="CR341" s="196"/>
      <c r="CS341" s="196"/>
      <c r="CT341" s="196"/>
      <c r="CU341" s="196"/>
      <c r="CV341" s="194"/>
      <c r="CW341" s="194"/>
      <c r="CX341" s="194"/>
      <c r="CY341" s="194"/>
      <c r="CZ341" s="194"/>
      <c r="DA341" s="194"/>
      <c r="DB341" s="194"/>
      <c r="DC341" s="194"/>
      <c r="DD341" s="194"/>
      <c r="DE341" s="194"/>
      <c r="DF341" s="196"/>
      <c r="DG341" s="198"/>
      <c r="DH341" s="194"/>
      <c r="DI341" s="194"/>
    </row>
    <row r="342" spans="1:113" s="24" customFormat="1" hidden="1" x14ac:dyDescent="0.3">
      <c r="A342" s="172"/>
      <c r="B342" s="172"/>
      <c r="C342" s="172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  <c r="BT342" s="172"/>
      <c r="BU342" s="172"/>
      <c r="BV342" s="172"/>
      <c r="BW342" s="172"/>
      <c r="BX342" s="172"/>
      <c r="BY342" s="174"/>
      <c r="BZ342" s="172"/>
      <c r="CA342" s="172"/>
      <c r="CD342" s="194"/>
      <c r="CE342" s="194"/>
      <c r="CF342" s="194"/>
      <c r="CG342" s="194"/>
      <c r="CH342" s="195"/>
      <c r="CI342" s="194"/>
      <c r="CJ342" s="194"/>
      <c r="CK342" s="194"/>
      <c r="CL342" s="196"/>
      <c r="CM342" s="196"/>
      <c r="CN342" s="194"/>
      <c r="CO342" s="197"/>
      <c r="CP342" s="196"/>
      <c r="CQ342" s="196"/>
      <c r="CR342" s="196"/>
      <c r="CS342" s="196"/>
      <c r="CT342" s="196"/>
      <c r="CU342" s="196"/>
      <c r="CV342" s="194"/>
      <c r="CW342" s="194"/>
      <c r="CX342" s="194"/>
      <c r="CY342" s="194"/>
      <c r="CZ342" s="194"/>
      <c r="DA342" s="194"/>
      <c r="DB342" s="194"/>
      <c r="DC342" s="194"/>
      <c r="DD342" s="194"/>
      <c r="DE342" s="194"/>
      <c r="DF342" s="196"/>
      <c r="DG342" s="198"/>
      <c r="DH342" s="194"/>
      <c r="DI342" s="194"/>
    </row>
    <row r="343" spans="1:113" s="24" customFormat="1" hidden="1" x14ac:dyDescent="0.3">
      <c r="A343" s="172"/>
      <c r="B343" s="172"/>
      <c r="C343" s="172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  <c r="BT343" s="172"/>
      <c r="BU343" s="172"/>
      <c r="BV343" s="172"/>
      <c r="BW343" s="172"/>
      <c r="BX343" s="172"/>
      <c r="BY343" s="174"/>
      <c r="BZ343" s="172"/>
      <c r="CA343" s="172"/>
      <c r="CD343" s="194"/>
      <c r="CE343" s="194"/>
      <c r="CF343" s="194"/>
      <c r="CG343" s="194"/>
      <c r="CH343" s="195"/>
      <c r="CI343" s="194"/>
      <c r="CJ343" s="194"/>
      <c r="CK343" s="194"/>
      <c r="CL343" s="196"/>
      <c r="CM343" s="196"/>
      <c r="CN343" s="194"/>
      <c r="CO343" s="197"/>
      <c r="CP343" s="196"/>
      <c r="CQ343" s="196"/>
      <c r="CR343" s="196"/>
      <c r="CS343" s="196"/>
      <c r="CT343" s="196"/>
      <c r="CU343" s="196"/>
      <c r="CV343" s="194"/>
      <c r="CW343" s="194"/>
      <c r="CX343" s="194"/>
      <c r="CY343" s="194"/>
      <c r="CZ343" s="194"/>
      <c r="DA343" s="194"/>
      <c r="DB343" s="194"/>
      <c r="DC343" s="194"/>
      <c r="DD343" s="194"/>
      <c r="DE343" s="194"/>
      <c r="DF343" s="196"/>
      <c r="DG343" s="198"/>
      <c r="DH343" s="194"/>
      <c r="DI343" s="194"/>
    </row>
    <row r="344" spans="1:113" s="24" customFormat="1" hidden="1" x14ac:dyDescent="0.3">
      <c r="A344" s="172"/>
      <c r="B344" s="172"/>
      <c r="C344" s="172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  <c r="BT344" s="172"/>
      <c r="BU344" s="172"/>
      <c r="BV344" s="172"/>
      <c r="BW344" s="172"/>
      <c r="BX344" s="172"/>
      <c r="BY344" s="174"/>
      <c r="BZ344" s="172"/>
      <c r="CA344" s="172"/>
      <c r="CD344" s="194"/>
      <c r="CE344" s="194"/>
      <c r="CF344" s="194"/>
      <c r="CG344" s="194"/>
      <c r="CH344" s="195"/>
      <c r="CI344" s="194"/>
      <c r="CJ344" s="194"/>
      <c r="CK344" s="194"/>
      <c r="CL344" s="196"/>
      <c r="CM344" s="196"/>
      <c r="CN344" s="194"/>
      <c r="CO344" s="197"/>
      <c r="CP344" s="196"/>
      <c r="CQ344" s="196"/>
      <c r="CR344" s="196"/>
      <c r="CS344" s="196"/>
      <c r="CT344" s="196"/>
      <c r="CU344" s="196"/>
      <c r="CV344" s="194"/>
      <c r="CW344" s="194"/>
      <c r="CX344" s="194"/>
      <c r="CY344" s="194"/>
      <c r="CZ344" s="194"/>
      <c r="DA344" s="194"/>
      <c r="DB344" s="194"/>
      <c r="DC344" s="194"/>
      <c r="DD344" s="194"/>
      <c r="DE344" s="194"/>
      <c r="DF344" s="196"/>
      <c r="DG344" s="198"/>
      <c r="DH344" s="194"/>
      <c r="DI344" s="194"/>
    </row>
    <row r="345" spans="1:113" s="24" customFormat="1" hidden="1" x14ac:dyDescent="0.3">
      <c r="A345" s="172"/>
      <c r="B345" s="172"/>
      <c r="C345" s="172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  <c r="BT345" s="172"/>
      <c r="BU345" s="172"/>
      <c r="BV345" s="172"/>
      <c r="BW345" s="172"/>
      <c r="BX345" s="172"/>
      <c r="BY345" s="174"/>
      <c r="BZ345" s="172"/>
      <c r="CA345" s="172"/>
      <c r="CD345" s="194"/>
      <c r="CE345" s="194"/>
      <c r="CF345" s="194"/>
      <c r="CG345" s="194"/>
      <c r="CH345" s="195"/>
      <c r="CI345" s="194"/>
      <c r="CJ345" s="194"/>
      <c r="CK345" s="194"/>
      <c r="CL345" s="196"/>
      <c r="CM345" s="196"/>
      <c r="CN345" s="194"/>
      <c r="CO345" s="197"/>
      <c r="CP345" s="196"/>
      <c r="CQ345" s="196"/>
      <c r="CR345" s="196"/>
      <c r="CS345" s="196"/>
      <c r="CT345" s="196"/>
      <c r="CU345" s="196"/>
      <c r="CV345" s="194"/>
      <c r="CW345" s="194"/>
      <c r="CX345" s="194"/>
      <c r="CY345" s="194"/>
      <c r="CZ345" s="194"/>
      <c r="DA345" s="194"/>
      <c r="DB345" s="194"/>
      <c r="DC345" s="194"/>
      <c r="DD345" s="194"/>
      <c r="DE345" s="194"/>
      <c r="DF345" s="196"/>
      <c r="DG345" s="198"/>
      <c r="DH345" s="194"/>
      <c r="DI345" s="194"/>
    </row>
    <row r="346" spans="1:113" s="24" customFormat="1" hidden="1" x14ac:dyDescent="0.3">
      <c r="A346" s="172"/>
      <c r="B346" s="172"/>
      <c r="C346" s="172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  <c r="BT346" s="172"/>
      <c r="BU346" s="172"/>
      <c r="BV346" s="172"/>
      <c r="BW346" s="172"/>
      <c r="BX346" s="172"/>
      <c r="BY346" s="174"/>
      <c r="BZ346" s="172"/>
      <c r="CA346" s="172"/>
      <c r="CD346" s="194"/>
      <c r="CE346" s="194"/>
      <c r="CF346" s="194"/>
      <c r="CG346" s="194"/>
      <c r="CH346" s="195"/>
      <c r="CI346" s="194"/>
      <c r="CJ346" s="194"/>
      <c r="CK346" s="194"/>
      <c r="CL346" s="196"/>
      <c r="CM346" s="196"/>
      <c r="CN346" s="194"/>
      <c r="CO346" s="197"/>
      <c r="CP346" s="196"/>
      <c r="CQ346" s="196"/>
      <c r="CR346" s="196"/>
      <c r="CS346" s="196"/>
      <c r="CT346" s="196"/>
      <c r="CU346" s="196"/>
      <c r="CV346" s="194"/>
      <c r="CW346" s="194"/>
      <c r="CX346" s="194"/>
      <c r="CY346" s="194"/>
      <c r="CZ346" s="194"/>
      <c r="DA346" s="194"/>
      <c r="DB346" s="194"/>
      <c r="DC346" s="194"/>
      <c r="DD346" s="194"/>
      <c r="DE346" s="194"/>
      <c r="DF346" s="196"/>
      <c r="DG346" s="198"/>
      <c r="DH346" s="194"/>
      <c r="DI346" s="194"/>
    </row>
    <row r="347" spans="1:113" s="24" customFormat="1" hidden="1" x14ac:dyDescent="0.3">
      <c r="A347" s="172"/>
      <c r="B347" s="172"/>
      <c r="C347" s="172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  <c r="BT347" s="172"/>
      <c r="BU347" s="172"/>
      <c r="BV347" s="172"/>
      <c r="BW347" s="172"/>
      <c r="BX347" s="172"/>
      <c r="BY347" s="174"/>
      <c r="BZ347" s="172"/>
      <c r="CA347" s="172"/>
      <c r="CD347" s="194"/>
      <c r="CE347" s="194"/>
      <c r="CF347" s="194"/>
      <c r="CG347" s="194"/>
      <c r="CH347" s="195"/>
      <c r="CI347" s="194"/>
      <c r="CJ347" s="194"/>
      <c r="CK347" s="194"/>
      <c r="CL347" s="196"/>
      <c r="CM347" s="196"/>
      <c r="CN347" s="194"/>
      <c r="CO347" s="197"/>
      <c r="CP347" s="196"/>
      <c r="CQ347" s="196"/>
      <c r="CR347" s="196"/>
      <c r="CS347" s="196"/>
      <c r="CT347" s="196"/>
      <c r="CU347" s="196"/>
      <c r="CV347" s="194"/>
      <c r="CW347" s="194"/>
      <c r="CX347" s="194"/>
      <c r="CY347" s="194"/>
      <c r="CZ347" s="194"/>
      <c r="DA347" s="194"/>
      <c r="DB347" s="194"/>
      <c r="DC347" s="194"/>
      <c r="DD347" s="194"/>
      <c r="DE347" s="194"/>
      <c r="DF347" s="196"/>
      <c r="DG347" s="198"/>
      <c r="DH347" s="194"/>
      <c r="DI347" s="194"/>
    </row>
    <row r="348" spans="1:113" s="24" customFormat="1" hidden="1" x14ac:dyDescent="0.3">
      <c r="A348" s="172"/>
      <c r="B348" s="172"/>
      <c r="C348" s="172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  <c r="BT348" s="172"/>
      <c r="BU348" s="172"/>
      <c r="BV348" s="172"/>
      <c r="BW348" s="172"/>
      <c r="BX348" s="172"/>
      <c r="BY348" s="174"/>
      <c r="BZ348" s="172"/>
      <c r="CA348" s="172"/>
      <c r="CD348" s="194"/>
      <c r="CE348" s="194"/>
      <c r="CF348" s="194"/>
      <c r="CG348" s="194"/>
      <c r="CH348" s="195"/>
      <c r="CI348" s="194"/>
      <c r="CJ348" s="194"/>
      <c r="CK348" s="194"/>
      <c r="CL348" s="196"/>
      <c r="CM348" s="196"/>
      <c r="CN348" s="194"/>
      <c r="CO348" s="197"/>
      <c r="CP348" s="196"/>
      <c r="CQ348" s="196"/>
      <c r="CR348" s="196"/>
      <c r="CS348" s="196"/>
      <c r="CT348" s="196"/>
      <c r="CU348" s="196"/>
      <c r="CV348" s="194"/>
      <c r="CW348" s="194"/>
      <c r="CX348" s="194"/>
      <c r="CY348" s="194"/>
      <c r="CZ348" s="194"/>
      <c r="DA348" s="194"/>
      <c r="DB348" s="194"/>
      <c r="DC348" s="194"/>
      <c r="DD348" s="194"/>
      <c r="DE348" s="194"/>
      <c r="DF348" s="196"/>
      <c r="DG348" s="198"/>
      <c r="DH348" s="194"/>
      <c r="DI348" s="194"/>
    </row>
    <row r="349" spans="1:113" s="24" customFormat="1" hidden="1" x14ac:dyDescent="0.3">
      <c r="A349" s="172"/>
      <c r="B349" s="172"/>
      <c r="C349" s="172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  <c r="BT349" s="172"/>
      <c r="BU349" s="172"/>
      <c r="BV349" s="172"/>
      <c r="BW349" s="172"/>
      <c r="BX349" s="172"/>
      <c r="BY349" s="174"/>
      <c r="BZ349" s="172"/>
      <c r="CA349" s="172"/>
      <c r="CD349" s="194"/>
      <c r="CE349" s="194"/>
      <c r="CF349" s="194"/>
      <c r="CG349" s="194"/>
      <c r="CH349" s="195"/>
      <c r="CI349" s="194"/>
      <c r="CJ349" s="194"/>
      <c r="CK349" s="194"/>
      <c r="CL349" s="196"/>
      <c r="CM349" s="196"/>
      <c r="CN349" s="194"/>
      <c r="CO349" s="197"/>
      <c r="CP349" s="196"/>
      <c r="CQ349" s="196"/>
      <c r="CR349" s="196"/>
      <c r="CS349" s="196"/>
      <c r="CT349" s="196"/>
      <c r="CU349" s="196"/>
      <c r="CV349" s="194"/>
      <c r="CW349" s="194"/>
      <c r="CX349" s="194"/>
      <c r="CY349" s="194"/>
      <c r="CZ349" s="194"/>
      <c r="DA349" s="194"/>
      <c r="DB349" s="194"/>
      <c r="DC349" s="194"/>
      <c r="DD349" s="194"/>
      <c r="DE349" s="194"/>
      <c r="DF349" s="196"/>
      <c r="DG349" s="198"/>
      <c r="DH349" s="194"/>
      <c r="DI349" s="194"/>
    </row>
    <row r="350" spans="1:113" s="24" customFormat="1" hidden="1" x14ac:dyDescent="0.3">
      <c r="A350" s="172"/>
      <c r="B350" s="172"/>
      <c r="C350" s="172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  <c r="BT350" s="172"/>
      <c r="BU350" s="172"/>
      <c r="BV350" s="172"/>
      <c r="BW350" s="172"/>
      <c r="BX350" s="172"/>
      <c r="BY350" s="174"/>
      <c r="BZ350" s="172"/>
      <c r="CA350" s="172"/>
      <c r="CD350" s="194"/>
      <c r="CE350" s="194"/>
      <c r="CF350" s="194"/>
      <c r="CG350" s="194"/>
      <c r="CH350" s="195"/>
      <c r="CI350" s="194"/>
      <c r="CJ350" s="194"/>
      <c r="CK350" s="194"/>
      <c r="CL350" s="196"/>
      <c r="CM350" s="196"/>
      <c r="CN350" s="194"/>
      <c r="CO350" s="197"/>
      <c r="CP350" s="196"/>
      <c r="CQ350" s="196"/>
      <c r="CR350" s="196"/>
      <c r="CS350" s="196"/>
      <c r="CT350" s="196"/>
      <c r="CU350" s="196"/>
      <c r="CV350" s="194"/>
      <c r="CW350" s="194"/>
      <c r="CX350" s="194"/>
      <c r="CY350" s="194"/>
      <c r="CZ350" s="194"/>
      <c r="DA350" s="194"/>
      <c r="DB350" s="194"/>
      <c r="DC350" s="194"/>
      <c r="DD350" s="194"/>
      <c r="DE350" s="194"/>
      <c r="DF350" s="196"/>
      <c r="DG350" s="198"/>
      <c r="DH350" s="194"/>
      <c r="DI350" s="194"/>
    </row>
    <row r="351" spans="1:113" s="24" customFormat="1" hidden="1" x14ac:dyDescent="0.3">
      <c r="A351" s="172"/>
      <c r="B351" s="172"/>
      <c r="C351" s="172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172"/>
      <c r="BV351" s="172"/>
      <c r="BW351" s="172"/>
      <c r="BX351" s="172"/>
      <c r="BY351" s="174"/>
      <c r="BZ351" s="172"/>
      <c r="CA351" s="172"/>
      <c r="CD351" s="194"/>
      <c r="CE351" s="194"/>
      <c r="CF351" s="194"/>
      <c r="CG351" s="194"/>
      <c r="CH351" s="195"/>
      <c r="CI351" s="194"/>
      <c r="CJ351" s="194"/>
      <c r="CK351" s="194"/>
      <c r="CL351" s="196"/>
      <c r="CM351" s="196"/>
      <c r="CN351" s="194"/>
      <c r="CO351" s="197"/>
      <c r="CP351" s="196"/>
      <c r="CQ351" s="196"/>
      <c r="CR351" s="196"/>
      <c r="CS351" s="196"/>
      <c r="CT351" s="196"/>
      <c r="CU351" s="196"/>
      <c r="CV351" s="194"/>
      <c r="CW351" s="194"/>
      <c r="CX351" s="194"/>
      <c r="CY351" s="194"/>
      <c r="CZ351" s="194"/>
      <c r="DA351" s="194"/>
      <c r="DB351" s="194"/>
      <c r="DC351" s="194"/>
      <c r="DD351" s="194"/>
      <c r="DE351" s="194"/>
      <c r="DF351" s="196"/>
      <c r="DG351" s="198"/>
      <c r="DH351" s="194"/>
      <c r="DI351" s="194"/>
    </row>
    <row r="352" spans="1:113" s="24" customFormat="1" hidden="1" x14ac:dyDescent="0.3">
      <c r="A352" s="172"/>
      <c r="B352" s="172"/>
      <c r="C352" s="172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  <c r="BT352" s="172"/>
      <c r="BU352" s="172"/>
      <c r="BV352" s="172"/>
      <c r="BW352" s="172"/>
      <c r="BX352" s="172"/>
      <c r="BY352" s="174"/>
      <c r="BZ352" s="172"/>
      <c r="CA352" s="172"/>
      <c r="CD352" s="194"/>
      <c r="CE352" s="194"/>
      <c r="CF352" s="194"/>
      <c r="CG352" s="194"/>
      <c r="CH352" s="195"/>
      <c r="CI352" s="194"/>
      <c r="CJ352" s="194"/>
      <c r="CK352" s="194"/>
      <c r="CL352" s="196"/>
      <c r="CM352" s="196"/>
      <c r="CN352" s="194"/>
      <c r="CO352" s="197"/>
      <c r="CP352" s="196"/>
      <c r="CQ352" s="196"/>
      <c r="CR352" s="196"/>
      <c r="CS352" s="196"/>
      <c r="CT352" s="196"/>
      <c r="CU352" s="196"/>
      <c r="CV352" s="194"/>
      <c r="CW352" s="194"/>
      <c r="CX352" s="194"/>
      <c r="CY352" s="194"/>
      <c r="CZ352" s="194"/>
      <c r="DA352" s="194"/>
      <c r="DB352" s="194"/>
      <c r="DC352" s="194"/>
      <c r="DD352" s="194"/>
      <c r="DE352" s="194"/>
      <c r="DF352" s="196"/>
      <c r="DG352" s="198"/>
      <c r="DH352" s="194"/>
      <c r="DI352" s="194"/>
    </row>
    <row r="353" spans="1:113" s="24" customFormat="1" hidden="1" x14ac:dyDescent="0.3">
      <c r="A353" s="172"/>
      <c r="B353" s="172"/>
      <c r="C353" s="172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4"/>
      <c r="BZ353" s="172"/>
      <c r="CA353" s="172"/>
      <c r="CD353" s="194"/>
      <c r="CE353" s="194"/>
      <c r="CF353" s="194"/>
      <c r="CG353" s="194"/>
      <c r="CH353" s="195"/>
      <c r="CI353" s="194"/>
      <c r="CJ353" s="194"/>
      <c r="CK353" s="194"/>
      <c r="CL353" s="196"/>
      <c r="CM353" s="196"/>
      <c r="CN353" s="194"/>
      <c r="CO353" s="197"/>
      <c r="CP353" s="196"/>
      <c r="CQ353" s="196"/>
      <c r="CR353" s="196"/>
      <c r="CS353" s="196"/>
      <c r="CT353" s="196"/>
      <c r="CU353" s="196"/>
      <c r="CV353" s="194"/>
      <c r="CW353" s="194"/>
      <c r="CX353" s="194"/>
      <c r="CY353" s="194"/>
      <c r="CZ353" s="194"/>
      <c r="DA353" s="194"/>
      <c r="DB353" s="194"/>
      <c r="DC353" s="194"/>
      <c r="DD353" s="194"/>
      <c r="DE353" s="194"/>
      <c r="DF353" s="196"/>
      <c r="DG353" s="198"/>
      <c r="DH353" s="194"/>
      <c r="DI353" s="194"/>
    </row>
    <row r="354" spans="1:113" s="24" customFormat="1" hidden="1" x14ac:dyDescent="0.3">
      <c r="A354" s="172"/>
      <c r="B354" s="172"/>
      <c r="C354" s="172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  <c r="BT354" s="172"/>
      <c r="BU354" s="172"/>
      <c r="BV354" s="172"/>
      <c r="BW354" s="172"/>
      <c r="BX354" s="172"/>
      <c r="BY354" s="174"/>
      <c r="BZ354" s="172"/>
      <c r="CA354" s="172"/>
      <c r="CD354" s="194"/>
      <c r="CE354" s="194"/>
      <c r="CF354" s="194"/>
      <c r="CG354" s="194"/>
      <c r="CH354" s="195"/>
      <c r="CI354" s="194"/>
      <c r="CJ354" s="194"/>
      <c r="CK354" s="194"/>
      <c r="CL354" s="196"/>
      <c r="CM354" s="196"/>
      <c r="CN354" s="194"/>
      <c r="CO354" s="197"/>
      <c r="CP354" s="196"/>
      <c r="CQ354" s="196"/>
      <c r="CR354" s="196"/>
      <c r="CS354" s="196"/>
      <c r="CT354" s="196"/>
      <c r="CU354" s="196"/>
      <c r="CV354" s="194"/>
      <c r="CW354" s="194"/>
      <c r="CX354" s="194"/>
      <c r="CY354" s="194"/>
      <c r="CZ354" s="194"/>
      <c r="DA354" s="194"/>
      <c r="DB354" s="194"/>
      <c r="DC354" s="194"/>
      <c r="DD354" s="194"/>
      <c r="DE354" s="194"/>
      <c r="DF354" s="196"/>
      <c r="DG354" s="198"/>
      <c r="DH354" s="194"/>
      <c r="DI354" s="194"/>
    </row>
    <row r="355" spans="1:113" s="24" customFormat="1" hidden="1" x14ac:dyDescent="0.3">
      <c r="A355" s="172"/>
      <c r="B355" s="172"/>
      <c r="C355" s="172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  <c r="BT355" s="172"/>
      <c r="BU355" s="172"/>
      <c r="BV355" s="172"/>
      <c r="BW355" s="172"/>
      <c r="BX355" s="172"/>
      <c r="BY355" s="174"/>
      <c r="BZ355" s="172"/>
      <c r="CA355" s="172"/>
      <c r="CD355" s="194"/>
      <c r="CE355" s="194"/>
      <c r="CF355" s="194"/>
      <c r="CG355" s="194"/>
      <c r="CH355" s="195"/>
      <c r="CI355" s="194"/>
      <c r="CJ355" s="194"/>
      <c r="CK355" s="194"/>
      <c r="CL355" s="196"/>
      <c r="CM355" s="196"/>
      <c r="CN355" s="194"/>
      <c r="CO355" s="197"/>
      <c r="CP355" s="196"/>
      <c r="CQ355" s="196"/>
      <c r="CR355" s="196"/>
      <c r="CS355" s="196"/>
      <c r="CT355" s="196"/>
      <c r="CU355" s="196"/>
      <c r="CV355" s="194"/>
      <c r="CW355" s="194"/>
      <c r="CX355" s="194"/>
      <c r="CY355" s="194"/>
      <c r="CZ355" s="194"/>
      <c r="DA355" s="194"/>
      <c r="DB355" s="194"/>
      <c r="DC355" s="194"/>
      <c r="DD355" s="194"/>
      <c r="DE355" s="194"/>
      <c r="DF355" s="196"/>
      <c r="DG355" s="198"/>
      <c r="DH355" s="194"/>
      <c r="DI355" s="194"/>
    </row>
    <row r="356" spans="1:113" s="24" customFormat="1" hidden="1" x14ac:dyDescent="0.3">
      <c r="A356" s="172"/>
      <c r="B356" s="172"/>
      <c r="C356" s="172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  <c r="BT356" s="172"/>
      <c r="BU356" s="172"/>
      <c r="BV356" s="172"/>
      <c r="BW356" s="172"/>
      <c r="BX356" s="172"/>
      <c r="BY356" s="174"/>
      <c r="BZ356" s="172"/>
      <c r="CA356" s="172"/>
      <c r="CD356" s="194"/>
      <c r="CE356" s="194"/>
      <c r="CF356" s="194"/>
      <c r="CG356" s="194"/>
      <c r="CH356" s="195"/>
      <c r="CI356" s="194"/>
      <c r="CJ356" s="194"/>
      <c r="CK356" s="194"/>
      <c r="CL356" s="196"/>
      <c r="CM356" s="196"/>
      <c r="CN356" s="194"/>
      <c r="CO356" s="197"/>
      <c r="CP356" s="196"/>
      <c r="CQ356" s="196"/>
      <c r="CR356" s="196"/>
      <c r="CS356" s="196"/>
      <c r="CT356" s="196"/>
      <c r="CU356" s="196"/>
      <c r="CV356" s="194"/>
      <c r="CW356" s="194"/>
      <c r="CX356" s="194"/>
      <c r="CY356" s="194"/>
      <c r="CZ356" s="194"/>
      <c r="DA356" s="194"/>
      <c r="DB356" s="194"/>
      <c r="DC356" s="194"/>
      <c r="DD356" s="194"/>
      <c r="DE356" s="194"/>
      <c r="DF356" s="196"/>
      <c r="DG356" s="198"/>
      <c r="DH356" s="194"/>
      <c r="DI356" s="194"/>
    </row>
    <row r="357" spans="1:113" s="24" customFormat="1" hidden="1" x14ac:dyDescent="0.3">
      <c r="A357" s="172"/>
      <c r="B357" s="172"/>
      <c r="C357" s="172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  <c r="BT357" s="172"/>
      <c r="BU357" s="172"/>
      <c r="BV357" s="172"/>
      <c r="BW357" s="172"/>
      <c r="BX357" s="172"/>
      <c r="BY357" s="174"/>
      <c r="BZ357" s="172"/>
      <c r="CA357" s="172"/>
      <c r="CD357" s="194"/>
      <c r="CE357" s="194"/>
      <c r="CF357" s="194"/>
      <c r="CG357" s="194"/>
      <c r="CH357" s="195"/>
      <c r="CI357" s="194"/>
      <c r="CJ357" s="194"/>
      <c r="CK357" s="194"/>
      <c r="CL357" s="196"/>
      <c r="CM357" s="196"/>
      <c r="CN357" s="194"/>
      <c r="CO357" s="197"/>
      <c r="CP357" s="196"/>
      <c r="CQ357" s="196"/>
      <c r="CR357" s="196"/>
      <c r="CS357" s="196"/>
      <c r="CT357" s="196"/>
      <c r="CU357" s="196"/>
      <c r="CV357" s="194"/>
      <c r="CW357" s="194"/>
      <c r="CX357" s="194"/>
      <c r="CY357" s="194"/>
      <c r="CZ357" s="194"/>
      <c r="DA357" s="194"/>
      <c r="DB357" s="194"/>
      <c r="DC357" s="194"/>
      <c r="DD357" s="194"/>
      <c r="DE357" s="194"/>
      <c r="DF357" s="196"/>
      <c r="DG357" s="198"/>
      <c r="DH357" s="194"/>
      <c r="DI357" s="194"/>
    </row>
    <row r="358" spans="1:113" s="24" customFormat="1" hidden="1" x14ac:dyDescent="0.3">
      <c r="A358" s="172"/>
      <c r="B358" s="172"/>
      <c r="C358" s="172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/>
      <c r="BX358" s="172"/>
      <c r="BY358" s="174"/>
      <c r="BZ358" s="172"/>
      <c r="CA358" s="172"/>
      <c r="CD358" s="194"/>
      <c r="CE358" s="194"/>
      <c r="CF358" s="194"/>
      <c r="CG358" s="194"/>
      <c r="CH358" s="195"/>
      <c r="CI358" s="194"/>
      <c r="CJ358" s="194"/>
      <c r="CK358" s="194"/>
      <c r="CL358" s="196"/>
      <c r="CM358" s="196"/>
      <c r="CN358" s="194"/>
      <c r="CO358" s="197"/>
      <c r="CP358" s="196"/>
      <c r="CQ358" s="196"/>
      <c r="CR358" s="196"/>
      <c r="CS358" s="196"/>
      <c r="CT358" s="196"/>
      <c r="CU358" s="196"/>
      <c r="CV358" s="194"/>
      <c r="CW358" s="194"/>
      <c r="CX358" s="194"/>
      <c r="CY358" s="194"/>
      <c r="CZ358" s="194"/>
      <c r="DA358" s="194"/>
      <c r="DB358" s="194"/>
      <c r="DC358" s="194"/>
      <c r="DD358" s="194"/>
      <c r="DE358" s="194"/>
      <c r="DF358" s="196"/>
      <c r="DG358" s="198"/>
      <c r="DH358" s="194"/>
      <c r="DI358" s="194"/>
    </row>
    <row r="359" spans="1:113" s="24" customFormat="1" hidden="1" x14ac:dyDescent="0.3">
      <c r="A359" s="172"/>
      <c r="B359" s="172"/>
      <c r="C359" s="172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/>
      <c r="BX359" s="172"/>
      <c r="BY359" s="174"/>
      <c r="BZ359" s="172"/>
      <c r="CA359" s="172"/>
      <c r="CD359" s="194"/>
      <c r="CE359" s="194"/>
      <c r="CF359" s="194"/>
      <c r="CG359" s="194"/>
      <c r="CH359" s="195"/>
      <c r="CI359" s="194"/>
      <c r="CJ359" s="194"/>
      <c r="CK359" s="194"/>
      <c r="CL359" s="196"/>
      <c r="CM359" s="196"/>
      <c r="CN359" s="194"/>
      <c r="CO359" s="197"/>
      <c r="CP359" s="196"/>
      <c r="CQ359" s="196"/>
      <c r="CR359" s="196"/>
      <c r="CS359" s="196"/>
      <c r="CT359" s="196"/>
      <c r="CU359" s="196"/>
      <c r="CV359" s="194"/>
      <c r="CW359" s="194"/>
      <c r="CX359" s="194"/>
      <c r="CY359" s="194"/>
      <c r="CZ359" s="194"/>
      <c r="DA359" s="194"/>
      <c r="DB359" s="194"/>
      <c r="DC359" s="194"/>
      <c r="DD359" s="194"/>
      <c r="DE359" s="194"/>
      <c r="DF359" s="196"/>
      <c r="DG359" s="198"/>
      <c r="DH359" s="194"/>
      <c r="DI359" s="194"/>
    </row>
    <row r="360" spans="1:113" s="24" customFormat="1" hidden="1" x14ac:dyDescent="0.3">
      <c r="A360" s="172"/>
      <c r="B360" s="172"/>
      <c r="C360" s="172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  <c r="BT360" s="172"/>
      <c r="BU360" s="172"/>
      <c r="BV360" s="172"/>
      <c r="BW360" s="172"/>
      <c r="BX360" s="172"/>
      <c r="BY360" s="174"/>
      <c r="BZ360" s="172"/>
      <c r="CA360" s="172"/>
      <c r="CD360" s="194"/>
      <c r="CE360" s="194"/>
      <c r="CF360" s="194"/>
      <c r="CG360" s="194"/>
      <c r="CH360" s="195"/>
      <c r="CI360" s="194"/>
      <c r="CJ360" s="194"/>
      <c r="CK360" s="194"/>
      <c r="CL360" s="196"/>
      <c r="CM360" s="196"/>
      <c r="CN360" s="194"/>
      <c r="CO360" s="197"/>
      <c r="CP360" s="196"/>
      <c r="CQ360" s="196"/>
      <c r="CR360" s="196"/>
      <c r="CS360" s="196"/>
      <c r="CT360" s="196"/>
      <c r="CU360" s="196"/>
      <c r="CV360" s="194"/>
      <c r="CW360" s="194"/>
      <c r="CX360" s="194"/>
      <c r="CY360" s="194"/>
      <c r="CZ360" s="194"/>
      <c r="DA360" s="194"/>
      <c r="DB360" s="194"/>
      <c r="DC360" s="194"/>
      <c r="DD360" s="194"/>
      <c r="DE360" s="194"/>
      <c r="DF360" s="196"/>
      <c r="DG360" s="198"/>
      <c r="DH360" s="194"/>
      <c r="DI360" s="194"/>
    </row>
    <row r="361" spans="1:113" s="24" customFormat="1" hidden="1" x14ac:dyDescent="0.3">
      <c r="A361" s="172"/>
      <c r="B361" s="172"/>
      <c r="C361" s="172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  <c r="BT361" s="172"/>
      <c r="BU361" s="172"/>
      <c r="BV361" s="172"/>
      <c r="BW361" s="172"/>
      <c r="BX361" s="172"/>
      <c r="BY361" s="174"/>
      <c r="BZ361" s="172"/>
      <c r="CA361" s="172"/>
      <c r="CD361" s="194"/>
      <c r="CE361" s="194"/>
      <c r="CF361" s="194"/>
      <c r="CG361" s="194"/>
      <c r="CH361" s="195"/>
      <c r="CI361" s="194"/>
      <c r="CJ361" s="194"/>
      <c r="CK361" s="194"/>
      <c r="CL361" s="196"/>
      <c r="CM361" s="196"/>
      <c r="CN361" s="194"/>
      <c r="CO361" s="197"/>
      <c r="CP361" s="196"/>
      <c r="CQ361" s="196"/>
      <c r="CR361" s="196"/>
      <c r="CS361" s="196"/>
      <c r="CT361" s="196"/>
      <c r="CU361" s="196"/>
      <c r="CV361" s="194"/>
      <c r="CW361" s="194"/>
      <c r="CX361" s="194"/>
      <c r="CY361" s="194"/>
      <c r="CZ361" s="194"/>
      <c r="DA361" s="194"/>
      <c r="DB361" s="194"/>
      <c r="DC361" s="194"/>
      <c r="DD361" s="194"/>
      <c r="DE361" s="194"/>
      <c r="DF361" s="196"/>
      <c r="DG361" s="198"/>
      <c r="DH361" s="194"/>
      <c r="DI361" s="194"/>
    </row>
    <row r="362" spans="1:113" s="24" customFormat="1" hidden="1" x14ac:dyDescent="0.3">
      <c r="A362" s="172"/>
      <c r="B362" s="172"/>
      <c r="C362" s="172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/>
      <c r="BW362" s="172"/>
      <c r="BX362" s="172"/>
      <c r="BY362" s="174"/>
      <c r="BZ362" s="172"/>
      <c r="CA362" s="172"/>
      <c r="CD362" s="194"/>
      <c r="CE362" s="194"/>
      <c r="CF362" s="194"/>
      <c r="CG362" s="194"/>
      <c r="CH362" s="195"/>
      <c r="CI362" s="194"/>
      <c r="CJ362" s="194"/>
      <c r="CK362" s="194"/>
      <c r="CL362" s="196"/>
      <c r="CM362" s="196"/>
      <c r="CN362" s="194"/>
      <c r="CO362" s="197"/>
      <c r="CP362" s="196"/>
      <c r="CQ362" s="196"/>
      <c r="CR362" s="196"/>
      <c r="CS362" s="196"/>
      <c r="CT362" s="196"/>
      <c r="CU362" s="196"/>
      <c r="CV362" s="194"/>
      <c r="CW362" s="194"/>
      <c r="CX362" s="194"/>
      <c r="CY362" s="194"/>
      <c r="CZ362" s="194"/>
      <c r="DA362" s="194"/>
      <c r="DB362" s="194"/>
      <c r="DC362" s="194"/>
      <c r="DD362" s="194"/>
      <c r="DE362" s="194"/>
      <c r="DF362" s="196"/>
      <c r="DG362" s="198"/>
      <c r="DH362" s="194"/>
      <c r="DI362" s="194"/>
    </row>
    <row r="363" spans="1:113" s="24" customFormat="1" hidden="1" x14ac:dyDescent="0.3">
      <c r="A363" s="172"/>
      <c r="B363" s="172"/>
      <c r="C363" s="172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  <c r="BT363" s="172"/>
      <c r="BU363" s="172"/>
      <c r="BV363" s="172"/>
      <c r="BW363" s="172"/>
      <c r="BX363" s="172"/>
      <c r="BY363" s="174"/>
      <c r="BZ363" s="172"/>
      <c r="CA363" s="172"/>
      <c r="CD363" s="194"/>
      <c r="CE363" s="194"/>
      <c r="CF363" s="194"/>
      <c r="CG363" s="194"/>
      <c r="CH363" s="195"/>
      <c r="CI363" s="194"/>
      <c r="CJ363" s="194"/>
      <c r="CK363" s="194"/>
      <c r="CL363" s="196"/>
      <c r="CM363" s="196"/>
      <c r="CN363" s="194"/>
      <c r="CO363" s="197"/>
      <c r="CP363" s="196"/>
      <c r="CQ363" s="196"/>
      <c r="CR363" s="196"/>
      <c r="CS363" s="196"/>
      <c r="CT363" s="196"/>
      <c r="CU363" s="196"/>
      <c r="CV363" s="194"/>
      <c r="CW363" s="194"/>
      <c r="CX363" s="194"/>
      <c r="CY363" s="194"/>
      <c r="CZ363" s="194"/>
      <c r="DA363" s="194"/>
      <c r="DB363" s="194"/>
      <c r="DC363" s="194"/>
      <c r="DD363" s="194"/>
      <c r="DE363" s="194"/>
      <c r="DF363" s="196"/>
      <c r="DG363" s="198"/>
      <c r="DH363" s="194"/>
      <c r="DI363" s="194"/>
    </row>
    <row r="364" spans="1:113" s="24" customFormat="1" hidden="1" x14ac:dyDescent="0.3">
      <c r="A364" s="172"/>
      <c r="B364" s="172"/>
      <c r="C364" s="172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  <c r="BT364" s="172"/>
      <c r="BU364" s="172"/>
      <c r="BV364" s="172"/>
      <c r="BW364" s="172"/>
      <c r="BX364" s="172"/>
      <c r="BY364" s="174"/>
      <c r="BZ364" s="172"/>
      <c r="CA364" s="172"/>
      <c r="CD364" s="194"/>
      <c r="CE364" s="194"/>
      <c r="CF364" s="194"/>
      <c r="CG364" s="194"/>
      <c r="CH364" s="195"/>
      <c r="CI364" s="194"/>
      <c r="CJ364" s="194"/>
      <c r="CK364" s="194"/>
      <c r="CL364" s="196"/>
      <c r="CM364" s="196"/>
      <c r="CN364" s="194"/>
      <c r="CO364" s="197"/>
      <c r="CP364" s="196"/>
      <c r="CQ364" s="196"/>
      <c r="CR364" s="196"/>
      <c r="CS364" s="196"/>
      <c r="CT364" s="196"/>
      <c r="CU364" s="196"/>
      <c r="CV364" s="194"/>
      <c r="CW364" s="194"/>
      <c r="CX364" s="194"/>
      <c r="CY364" s="194"/>
      <c r="CZ364" s="194"/>
      <c r="DA364" s="194"/>
      <c r="DB364" s="194"/>
      <c r="DC364" s="194"/>
      <c r="DD364" s="194"/>
      <c r="DE364" s="194"/>
      <c r="DF364" s="196"/>
      <c r="DG364" s="198"/>
      <c r="DH364" s="194"/>
      <c r="DI364" s="194"/>
    </row>
    <row r="365" spans="1:113" s="24" customFormat="1" hidden="1" x14ac:dyDescent="0.3">
      <c r="A365" s="172"/>
      <c r="B365" s="172"/>
      <c r="C365" s="172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/>
      <c r="BX365" s="172"/>
      <c r="BY365" s="174"/>
      <c r="BZ365" s="172"/>
      <c r="CA365" s="172"/>
      <c r="CD365" s="194"/>
      <c r="CE365" s="194"/>
      <c r="CF365" s="194"/>
      <c r="CG365" s="194"/>
      <c r="CH365" s="195"/>
      <c r="CI365" s="194"/>
      <c r="CJ365" s="194"/>
      <c r="CK365" s="194"/>
      <c r="CL365" s="196"/>
      <c r="CM365" s="196"/>
      <c r="CN365" s="194"/>
      <c r="CO365" s="197"/>
      <c r="CP365" s="196"/>
      <c r="CQ365" s="196"/>
      <c r="CR365" s="196"/>
      <c r="CS365" s="196"/>
      <c r="CT365" s="196"/>
      <c r="CU365" s="196"/>
      <c r="CV365" s="194"/>
      <c r="CW365" s="194"/>
      <c r="CX365" s="194"/>
      <c r="CY365" s="194"/>
      <c r="CZ365" s="194"/>
      <c r="DA365" s="194"/>
      <c r="DB365" s="194"/>
      <c r="DC365" s="194"/>
      <c r="DD365" s="194"/>
      <c r="DE365" s="194"/>
      <c r="DF365" s="196"/>
      <c r="DG365" s="198"/>
      <c r="DH365" s="194"/>
      <c r="DI365" s="194"/>
    </row>
    <row r="366" spans="1:113" s="24" customFormat="1" hidden="1" x14ac:dyDescent="0.3">
      <c r="A366" s="172"/>
      <c r="B366" s="172"/>
      <c r="C366" s="172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/>
      <c r="BW366" s="172"/>
      <c r="BX366" s="172"/>
      <c r="BY366" s="174"/>
      <c r="BZ366" s="172"/>
      <c r="CA366" s="172"/>
      <c r="CD366" s="194"/>
      <c r="CE366" s="194"/>
      <c r="CF366" s="194"/>
      <c r="CG366" s="194"/>
      <c r="CH366" s="195"/>
      <c r="CI366" s="194"/>
      <c r="CJ366" s="194"/>
      <c r="CK366" s="194"/>
      <c r="CL366" s="196"/>
      <c r="CM366" s="196"/>
      <c r="CN366" s="194"/>
      <c r="CO366" s="197"/>
      <c r="CP366" s="196"/>
      <c r="CQ366" s="196"/>
      <c r="CR366" s="196"/>
      <c r="CS366" s="196"/>
      <c r="CT366" s="196"/>
      <c r="CU366" s="196"/>
      <c r="CV366" s="194"/>
      <c r="CW366" s="194"/>
      <c r="CX366" s="194"/>
      <c r="CY366" s="194"/>
      <c r="CZ366" s="194"/>
      <c r="DA366" s="194"/>
      <c r="DB366" s="194"/>
      <c r="DC366" s="194"/>
      <c r="DD366" s="194"/>
      <c r="DE366" s="194"/>
      <c r="DF366" s="196"/>
      <c r="DG366" s="198"/>
      <c r="DH366" s="194"/>
      <c r="DI366" s="194"/>
    </row>
    <row r="367" spans="1:113" s="24" customFormat="1" hidden="1" x14ac:dyDescent="0.3">
      <c r="A367" s="172"/>
      <c r="B367" s="172"/>
      <c r="C367" s="172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  <c r="BT367" s="172"/>
      <c r="BU367" s="172"/>
      <c r="BV367" s="172"/>
      <c r="BW367" s="172"/>
      <c r="BX367" s="172"/>
      <c r="BY367" s="174"/>
      <c r="BZ367" s="172"/>
      <c r="CA367" s="172"/>
      <c r="CD367" s="194"/>
      <c r="CE367" s="194"/>
      <c r="CF367" s="194"/>
      <c r="CG367" s="194"/>
      <c r="CH367" s="195"/>
      <c r="CI367" s="194"/>
      <c r="CJ367" s="194"/>
      <c r="CK367" s="194"/>
      <c r="CL367" s="196"/>
      <c r="CM367" s="196"/>
      <c r="CN367" s="194"/>
      <c r="CO367" s="197"/>
      <c r="CP367" s="196"/>
      <c r="CQ367" s="196"/>
      <c r="CR367" s="196"/>
      <c r="CS367" s="196"/>
      <c r="CT367" s="196"/>
      <c r="CU367" s="196"/>
      <c r="CV367" s="194"/>
      <c r="CW367" s="194"/>
      <c r="CX367" s="194"/>
      <c r="CY367" s="194"/>
      <c r="CZ367" s="194"/>
      <c r="DA367" s="194"/>
      <c r="DB367" s="194"/>
      <c r="DC367" s="194"/>
      <c r="DD367" s="194"/>
      <c r="DE367" s="194"/>
      <c r="DF367" s="196"/>
      <c r="DG367" s="198"/>
      <c r="DH367" s="194"/>
      <c r="DI367" s="194"/>
    </row>
    <row r="368" spans="1:113" s="24" customFormat="1" hidden="1" x14ac:dyDescent="0.3">
      <c r="A368" s="172"/>
      <c r="B368" s="172"/>
      <c r="C368" s="172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4"/>
      <c r="BZ368" s="172"/>
      <c r="CA368" s="172"/>
      <c r="CD368" s="194"/>
      <c r="CE368" s="194"/>
      <c r="CF368" s="194"/>
      <c r="CG368" s="194"/>
      <c r="CH368" s="195"/>
      <c r="CI368" s="194"/>
      <c r="CJ368" s="194"/>
      <c r="CK368" s="194"/>
      <c r="CL368" s="196"/>
      <c r="CM368" s="196"/>
      <c r="CN368" s="194"/>
      <c r="CO368" s="197"/>
      <c r="CP368" s="196"/>
      <c r="CQ368" s="196"/>
      <c r="CR368" s="196"/>
      <c r="CS368" s="196"/>
      <c r="CT368" s="196"/>
      <c r="CU368" s="196"/>
      <c r="CV368" s="194"/>
      <c r="CW368" s="194"/>
      <c r="CX368" s="194"/>
      <c r="CY368" s="194"/>
      <c r="CZ368" s="194"/>
      <c r="DA368" s="194"/>
      <c r="DB368" s="194"/>
      <c r="DC368" s="194"/>
      <c r="DD368" s="194"/>
      <c r="DE368" s="194"/>
      <c r="DF368" s="196"/>
      <c r="DG368" s="198"/>
      <c r="DH368" s="194"/>
      <c r="DI368" s="194"/>
    </row>
    <row r="369" spans="1:113" s="24" customFormat="1" hidden="1" x14ac:dyDescent="0.3">
      <c r="A369" s="172"/>
      <c r="B369" s="172"/>
      <c r="C369" s="172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  <c r="BT369" s="172"/>
      <c r="BU369" s="172"/>
      <c r="BV369" s="172"/>
      <c r="BW369" s="172"/>
      <c r="BX369" s="172"/>
      <c r="BY369" s="174"/>
      <c r="BZ369" s="172"/>
      <c r="CA369" s="172"/>
      <c r="CD369" s="194"/>
      <c r="CE369" s="194"/>
      <c r="CF369" s="194"/>
      <c r="CG369" s="194"/>
      <c r="CH369" s="195"/>
      <c r="CI369" s="194"/>
      <c r="CJ369" s="194"/>
      <c r="CK369" s="194"/>
      <c r="CL369" s="196"/>
      <c r="CM369" s="196"/>
      <c r="CN369" s="194"/>
      <c r="CO369" s="197"/>
      <c r="CP369" s="196"/>
      <c r="CQ369" s="196"/>
      <c r="CR369" s="196"/>
      <c r="CS369" s="196"/>
      <c r="CT369" s="196"/>
      <c r="CU369" s="196"/>
      <c r="CV369" s="194"/>
      <c r="CW369" s="194"/>
      <c r="CX369" s="194"/>
      <c r="CY369" s="194"/>
      <c r="CZ369" s="194"/>
      <c r="DA369" s="194"/>
      <c r="DB369" s="194"/>
      <c r="DC369" s="194"/>
      <c r="DD369" s="194"/>
      <c r="DE369" s="194"/>
      <c r="DF369" s="196"/>
      <c r="DG369" s="198"/>
      <c r="DH369" s="194"/>
      <c r="DI369" s="194"/>
    </row>
    <row r="370" spans="1:113" s="24" customFormat="1" hidden="1" x14ac:dyDescent="0.3">
      <c r="A370" s="172"/>
      <c r="B370" s="172"/>
      <c r="C370" s="172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  <c r="BT370" s="172"/>
      <c r="BU370" s="172"/>
      <c r="BV370" s="172"/>
      <c r="BW370" s="172"/>
      <c r="BX370" s="172"/>
      <c r="BY370" s="174"/>
      <c r="BZ370" s="172"/>
      <c r="CA370" s="172"/>
      <c r="CD370" s="194"/>
      <c r="CE370" s="194"/>
      <c r="CF370" s="194"/>
      <c r="CG370" s="194"/>
      <c r="CH370" s="195"/>
      <c r="CI370" s="194"/>
      <c r="CJ370" s="194"/>
      <c r="CK370" s="194"/>
      <c r="CL370" s="196"/>
      <c r="CM370" s="196"/>
      <c r="CN370" s="194"/>
      <c r="CO370" s="197"/>
      <c r="CP370" s="196"/>
      <c r="CQ370" s="196"/>
      <c r="CR370" s="196"/>
      <c r="CS370" s="196"/>
      <c r="CT370" s="196"/>
      <c r="CU370" s="196"/>
      <c r="CV370" s="194"/>
      <c r="CW370" s="194"/>
      <c r="CX370" s="194"/>
      <c r="CY370" s="194"/>
      <c r="CZ370" s="194"/>
      <c r="DA370" s="194"/>
      <c r="DB370" s="194"/>
      <c r="DC370" s="194"/>
      <c r="DD370" s="194"/>
      <c r="DE370" s="194"/>
      <c r="DF370" s="196"/>
      <c r="DG370" s="198"/>
      <c r="DH370" s="194"/>
      <c r="DI370" s="194"/>
    </row>
    <row r="371" spans="1:113" s="24" customFormat="1" hidden="1" x14ac:dyDescent="0.3">
      <c r="A371" s="172"/>
      <c r="B371" s="172"/>
      <c r="C371" s="172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  <c r="BT371" s="172"/>
      <c r="BU371" s="172"/>
      <c r="BV371" s="172"/>
      <c r="BW371" s="172"/>
      <c r="BX371" s="172"/>
      <c r="BY371" s="174"/>
      <c r="BZ371" s="172"/>
      <c r="CA371" s="172"/>
      <c r="CD371" s="194"/>
      <c r="CE371" s="194"/>
      <c r="CF371" s="194"/>
      <c r="CG371" s="194"/>
      <c r="CH371" s="195"/>
      <c r="CI371" s="194"/>
      <c r="CJ371" s="194"/>
      <c r="CK371" s="194"/>
      <c r="CL371" s="196"/>
      <c r="CM371" s="196"/>
      <c r="CN371" s="194"/>
      <c r="CO371" s="197"/>
      <c r="CP371" s="196"/>
      <c r="CQ371" s="196"/>
      <c r="CR371" s="196"/>
      <c r="CS371" s="196"/>
      <c r="CT371" s="196"/>
      <c r="CU371" s="196"/>
      <c r="CV371" s="194"/>
      <c r="CW371" s="194"/>
      <c r="CX371" s="194"/>
      <c r="CY371" s="194"/>
      <c r="CZ371" s="194"/>
      <c r="DA371" s="194"/>
      <c r="DB371" s="194"/>
      <c r="DC371" s="194"/>
      <c r="DD371" s="194"/>
      <c r="DE371" s="194"/>
      <c r="DF371" s="196"/>
      <c r="DG371" s="198"/>
      <c r="DH371" s="194"/>
      <c r="DI371" s="194"/>
    </row>
    <row r="372" spans="1:113" s="24" customFormat="1" hidden="1" x14ac:dyDescent="0.3">
      <c r="A372" s="172"/>
      <c r="B372" s="172"/>
      <c r="C372" s="172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4"/>
      <c r="BZ372" s="172"/>
      <c r="CA372" s="172"/>
      <c r="CD372" s="194"/>
      <c r="CE372" s="194"/>
      <c r="CF372" s="194"/>
      <c r="CG372" s="194"/>
      <c r="CH372" s="195"/>
      <c r="CI372" s="194"/>
      <c r="CJ372" s="194"/>
      <c r="CK372" s="194"/>
      <c r="CL372" s="196"/>
      <c r="CM372" s="196"/>
      <c r="CN372" s="194"/>
      <c r="CO372" s="197"/>
      <c r="CP372" s="196"/>
      <c r="CQ372" s="196"/>
      <c r="CR372" s="196"/>
      <c r="CS372" s="196"/>
      <c r="CT372" s="196"/>
      <c r="CU372" s="196"/>
      <c r="CV372" s="194"/>
      <c r="CW372" s="194"/>
      <c r="CX372" s="194"/>
      <c r="CY372" s="194"/>
      <c r="CZ372" s="194"/>
      <c r="DA372" s="194"/>
      <c r="DB372" s="194"/>
      <c r="DC372" s="194"/>
      <c r="DD372" s="194"/>
      <c r="DE372" s="194"/>
      <c r="DF372" s="196"/>
      <c r="DG372" s="198"/>
      <c r="DH372" s="194"/>
      <c r="DI372" s="194"/>
    </row>
    <row r="373" spans="1:113" s="24" customFormat="1" hidden="1" x14ac:dyDescent="0.3">
      <c r="A373" s="172"/>
      <c r="B373" s="172"/>
      <c r="C373" s="172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  <c r="BT373" s="172"/>
      <c r="BU373" s="172"/>
      <c r="BV373" s="172"/>
      <c r="BW373" s="172"/>
      <c r="BX373" s="172"/>
      <c r="BY373" s="174"/>
      <c r="BZ373" s="172"/>
      <c r="CA373" s="172"/>
      <c r="CD373" s="194"/>
      <c r="CE373" s="194"/>
      <c r="CF373" s="194"/>
      <c r="CG373" s="194"/>
      <c r="CH373" s="195"/>
      <c r="CI373" s="194"/>
      <c r="CJ373" s="194"/>
      <c r="CK373" s="194"/>
      <c r="CL373" s="196"/>
      <c r="CM373" s="196"/>
      <c r="CN373" s="194"/>
      <c r="CO373" s="197"/>
      <c r="CP373" s="196"/>
      <c r="CQ373" s="196"/>
      <c r="CR373" s="196"/>
      <c r="CS373" s="196"/>
      <c r="CT373" s="196"/>
      <c r="CU373" s="196"/>
      <c r="CV373" s="194"/>
      <c r="CW373" s="194"/>
      <c r="CX373" s="194"/>
      <c r="CY373" s="194"/>
      <c r="CZ373" s="194"/>
      <c r="DA373" s="194"/>
      <c r="DB373" s="194"/>
      <c r="DC373" s="194"/>
      <c r="DD373" s="194"/>
      <c r="DE373" s="194"/>
      <c r="DF373" s="196"/>
      <c r="DG373" s="198"/>
      <c r="DH373" s="194"/>
      <c r="DI373" s="194"/>
    </row>
    <row r="374" spans="1:113" s="24" customFormat="1" hidden="1" x14ac:dyDescent="0.3">
      <c r="A374" s="172"/>
      <c r="B374" s="172"/>
      <c r="C374" s="172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  <c r="BT374" s="172"/>
      <c r="BU374" s="172"/>
      <c r="BV374" s="172"/>
      <c r="BW374" s="172"/>
      <c r="BX374" s="172"/>
      <c r="BY374" s="174"/>
      <c r="BZ374" s="172"/>
      <c r="CA374" s="172"/>
      <c r="CD374" s="194"/>
      <c r="CE374" s="194"/>
      <c r="CF374" s="194"/>
      <c r="CG374" s="194"/>
      <c r="CH374" s="195"/>
      <c r="CI374" s="194"/>
      <c r="CJ374" s="194"/>
      <c r="CK374" s="194"/>
      <c r="CL374" s="196"/>
      <c r="CM374" s="196"/>
      <c r="CN374" s="194"/>
      <c r="CO374" s="197"/>
      <c r="CP374" s="196"/>
      <c r="CQ374" s="196"/>
      <c r="CR374" s="196"/>
      <c r="CS374" s="196"/>
      <c r="CT374" s="196"/>
      <c r="CU374" s="196"/>
      <c r="CV374" s="194"/>
      <c r="CW374" s="194"/>
      <c r="CX374" s="194"/>
      <c r="CY374" s="194"/>
      <c r="CZ374" s="194"/>
      <c r="DA374" s="194"/>
      <c r="DB374" s="194"/>
      <c r="DC374" s="194"/>
      <c r="DD374" s="194"/>
      <c r="DE374" s="194"/>
      <c r="DF374" s="196"/>
      <c r="DG374" s="198"/>
      <c r="DH374" s="194"/>
      <c r="DI374" s="194"/>
    </row>
    <row r="375" spans="1:113" s="24" customFormat="1" hidden="1" x14ac:dyDescent="0.3">
      <c r="A375" s="172"/>
      <c r="B375" s="172"/>
      <c r="C375" s="172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/>
      <c r="BX375" s="172"/>
      <c r="BY375" s="174"/>
      <c r="BZ375" s="172"/>
      <c r="CA375" s="172"/>
      <c r="CD375" s="194"/>
      <c r="CE375" s="194"/>
      <c r="CF375" s="194"/>
      <c r="CG375" s="194"/>
      <c r="CH375" s="195"/>
      <c r="CI375" s="194"/>
      <c r="CJ375" s="194"/>
      <c r="CK375" s="194"/>
      <c r="CL375" s="196"/>
      <c r="CM375" s="196"/>
      <c r="CN375" s="194"/>
      <c r="CO375" s="197"/>
      <c r="CP375" s="196"/>
      <c r="CQ375" s="196"/>
      <c r="CR375" s="196"/>
      <c r="CS375" s="196"/>
      <c r="CT375" s="196"/>
      <c r="CU375" s="196"/>
      <c r="CV375" s="194"/>
      <c r="CW375" s="194"/>
      <c r="CX375" s="194"/>
      <c r="CY375" s="194"/>
      <c r="CZ375" s="194"/>
      <c r="DA375" s="194"/>
      <c r="DB375" s="194"/>
      <c r="DC375" s="194"/>
      <c r="DD375" s="194"/>
      <c r="DE375" s="194"/>
      <c r="DF375" s="196"/>
      <c r="DG375" s="198"/>
      <c r="DH375" s="194"/>
      <c r="DI375" s="194"/>
    </row>
    <row r="376" spans="1:113" s="24" customFormat="1" hidden="1" x14ac:dyDescent="0.3">
      <c r="A376" s="172"/>
      <c r="B376" s="172"/>
      <c r="C376" s="172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4"/>
      <c r="BZ376" s="172"/>
      <c r="CA376" s="172"/>
      <c r="CD376" s="194"/>
      <c r="CE376" s="194"/>
      <c r="CF376" s="194"/>
      <c r="CG376" s="194"/>
      <c r="CH376" s="195"/>
      <c r="CI376" s="194"/>
      <c r="CJ376" s="194"/>
      <c r="CK376" s="194"/>
      <c r="CL376" s="196"/>
      <c r="CM376" s="196"/>
      <c r="CN376" s="194"/>
      <c r="CO376" s="197"/>
      <c r="CP376" s="196"/>
      <c r="CQ376" s="196"/>
      <c r="CR376" s="196"/>
      <c r="CS376" s="196"/>
      <c r="CT376" s="196"/>
      <c r="CU376" s="196"/>
      <c r="CV376" s="194"/>
      <c r="CW376" s="194"/>
      <c r="CX376" s="194"/>
      <c r="CY376" s="194"/>
      <c r="CZ376" s="194"/>
      <c r="DA376" s="194"/>
      <c r="DB376" s="194"/>
      <c r="DC376" s="194"/>
      <c r="DD376" s="194"/>
      <c r="DE376" s="194"/>
      <c r="DF376" s="196"/>
      <c r="DG376" s="198"/>
      <c r="DH376" s="194"/>
      <c r="DI376" s="194"/>
    </row>
    <row r="377" spans="1:113" s="24" customFormat="1" hidden="1" x14ac:dyDescent="0.3">
      <c r="A377" s="172"/>
      <c r="B377" s="172"/>
      <c r="C377" s="172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  <c r="BT377" s="172"/>
      <c r="BU377" s="172"/>
      <c r="BV377" s="172"/>
      <c r="BW377" s="172"/>
      <c r="BX377" s="172"/>
      <c r="BY377" s="174"/>
      <c r="BZ377" s="172"/>
      <c r="CA377" s="172"/>
      <c r="CD377" s="194"/>
      <c r="CE377" s="194"/>
      <c r="CF377" s="194"/>
      <c r="CG377" s="194"/>
      <c r="CH377" s="195"/>
      <c r="CI377" s="194"/>
      <c r="CJ377" s="194"/>
      <c r="CK377" s="194"/>
      <c r="CL377" s="196"/>
      <c r="CM377" s="196"/>
      <c r="CN377" s="194"/>
      <c r="CO377" s="197"/>
      <c r="CP377" s="196"/>
      <c r="CQ377" s="196"/>
      <c r="CR377" s="196"/>
      <c r="CS377" s="196"/>
      <c r="CT377" s="196"/>
      <c r="CU377" s="196"/>
      <c r="CV377" s="194"/>
      <c r="CW377" s="194"/>
      <c r="CX377" s="194"/>
      <c r="CY377" s="194"/>
      <c r="CZ377" s="194"/>
      <c r="DA377" s="194"/>
      <c r="DB377" s="194"/>
      <c r="DC377" s="194"/>
      <c r="DD377" s="194"/>
      <c r="DE377" s="194"/>
      <c r="DF377" s="196"/>
      <c r="DG377" s="198"/>
      <c r="DH377" s="194"/>
      <c r="DI377" s="194"/>
    </row>
    <row r="378" spans="1:113" s="24" customFormat="1" hidden="1" x14ac:dyDescent="0.3">
      <c r="A378" s="172"/>
      <c r="B378" s="172"/>
      <c r="C378" s="172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  <c r="BT378" s="172"/>
      <c r="BU378" s="172"/>
      <c r="BV378" s="172"/>
      <c r="BW378" s="172"/>
      <c r="BX378" s="172"/>
      <c r="BY378" s="174"/>
      <c r="BZ378" s="172"/>
      <c r="CA378" s="172"/>
      <c r="CD378" s="194"/>
      <c r="CE378" s="194"/>
      <c r="CF378" s="194"/>
      <c r="CG378" s="194"/>
      <c r="CH378" s="195"/>
      <c r="CI378" s="194"/>
      <c r="CJ378" s="194"/>
      <c r="CK378" s="194"/>
      <c r="CL378" s="196"/>
      <c r="CM378" s="196"/>
      <c r="CN378" s="194"/>
      <c r="CO378" s="197"/>
      <c r="CP378" s="196"/>
      <c r="CQ378" s="196"/>
      <c r="CR378" s="196"/>
      <c r="CS378" s="196"/>
      <c r="CT378" s="196"/>
      <c r="CU378" s="196"/>
      <c r="CV378" s="194"/>
      <c r="CW378" s="194"/>
      <c r="CX378" s="194"/>
      <c r="CY378" s="194"/>
      <c r="CZ378" s="194"/>
      <c r="DA378" s="194"/>
      <c r="DB378" s="194"/>
      <c r="DC378" s="194"/>
      <c r="DD378" s="194"/>
      <c r="DE378" s="194"/>
      <c r="DF378" s="196"/>
      <c r="DG378" s="198"/>
      <c r="DH378" s="194"/>
      <c r="DI378" s="194"/>
    </row>
    <row r="379" spans="1:113" s="24" customFormat="1" hidden="1" x14ac:dyDescent="0.3">
      <c r="A379" s="172"/>
      <c r="B379" s="172"/>
      <c r="C379" s="172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  <c r="BT379" s="172"/>
      <c r="BU379" s="172"/>
      <c r="BV379" s="172"/>
      <c r="BW379" s="172"/>
      <c r="BX379" s="172"/>
      <c r="BY379" s="174"/>
      <c r="BZ379" s="172"/>
      <c r="CA379" s="172"/>
      <c r="CD379" s="194"/>
      <c r="CE379" s="194"/>
      <c r="CF379" s="194"/>
      <c r="CG379" s="194"/>
      <c r="CH379" s="195"/>
      <c r="CI379" s="194"/>
      <c r="CJ379" s="194"/>
      <c r="CK379" s="194"/>
      <c r="CL379" s="196"/>
      <c r="CM379" s="196"/>
      <c r="CN379" s="194"/>
      <c r="CO379" s="197"/>
      <c r="CP379" s="196"/>
      <c r="CQ379" s="196"/>
      <c r="CR379" s="196"/>
      <c r="CS379" s="196"/>
      <c r="CT379" s="196"/>
      <c r="CU379" s="196"/>
      <c r="CV379" s="194"/>
      <c r="CW379" s="194"/>
      <c r="CX379" s="194"/>
      <c r="CY379" s="194"/>
      <c r="CZ379" s="194"/>
      <c r="DA379" s="194"/>
      <c r="DB379" s="194"/>
      <c r="DC379" s="194"/>
      <c r="DD379" s="194"/>
      <c r="DE379" s="194"/>
      <c r="DF379" s="196"/>
      <c r="DG379" s="198"/>
      <c r="DH379" s="194"/>
      <c r="DI379" s="194"/>
    </row>
    <row r="380" spans="1:113" s="24" customFormat="1" hidden="1" x14ac:dyDescent="0.3">
      <c r="A380" s="172"/>
      <c r="B380" s="172"/>
      <c r="C380" s="172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/>
      <c r="BW380" s="172"/>
      <c r="BX380" s="172"/>
      <c r="BY380" s="174"/>
      <c r="BZ380" s="172"/>
      <c r="CA380" s="172"/>
      <c r="CD380" s="194"/>
      <c r="CE380" s="194"/>
      <c r="CF380" s="194"/>
      <c r="CG380" s="194"/>
      <c r="CH380" s="195"/>
      <c r="CI380" s="194"/>
      <c r="CJ380" s="194"/>
      <c r="CK380" s="194"/>
      <c r="CL380" s="196"/>
      <c r="CM380" s="196"/>
      <c r="CN380" s="194"/>
      <c r="CO380" s="197"/>
      <c r="CP380" s="196"/>
      <c r="CQ380" s="196"/>
      <c r="CR380" s="196"/>
      <c r="CS380" s="196"/>
      <c r="CT380" s="196"/>
      <c r="CU380" s="196"/>
      <c r="CV380" s="194"/>
      <c r="CW380" s="194"/>
      <c r="CX380" s="194"/>
      <c r="CY380" s="194"/>
      <c r="CZ380" s="194"/>
      <c r="DA380" s="194"/>
      <c r="DB380" s="194"/>
      <c r="DC380" s="194"/>
      <c r="DD380" s="194"/>
      <c r="DE380" s="194"/>
      <c r="DF380" s="196"/>
      <c r="DG380" s="198"/>
      <c r="DH380" s="194"/>
      <c r="DI380" s="194"/>
    </row>
    <row r="381" spans="1:113" s="24" customFormat="1" hidden="1" x14ac:dyDescent="0.3">
      <c r="A381" s="172"/>
      <c r="B381" s="172"/>
      <c r="C381" s="172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  <c r="BT381" s="172"/>
      <c r="BU381" s="172"/>
      <c r="BV381" s="172"/>
      <c r="BW381" s="172"/>
      <c r="BX381" s="172"/>
      <c r="BY381" s="174"/>
      <c r="BZ381" s="172"/>
      <c r="CA381" s="172"/>
      <c r="CD381" s="194"/>
      <c r="CE381" s="194"/>
      <c r="CF381" s="194"/>
      <c r="CG381" s="194"/>
      <c r="CH381" s="195"/>
      <c r="CI381" s="194"/>
      <c r="CJ381" s="194"/>
      <c r="CK381" s="194"/>
      <c r="CL381" s="196"/>
      <c r="CM381" s="196"/>
      <c r="CN381" s="194"/>
      <c r="CO381" s="197"/>
      <c r="CP381" s="196"/>
      <c r="CQ381" s="196"/>
      <c r="CR381" s="196"/>
      <c r="CS381" s="196"/>
      <c r="CT381" s="196"/>
      <c r="CU381" s="196"/>
      <c r="CV381" s="194"/>
      <c r="CW381" s="194"/>
      <c r="CX381" s="194"/>
      <c r="CY381" s="194"/>
      <c r="CZ381" s="194"/>
      <c r="DA381" s="194"/>
      <c r="DB381" s="194"/>
      <c r="DC381" s="194"/>
      <c r="DD381" s="194"/>
      <c r="DE381" s="194"/>
      <c r="DF381" s="196"/>
      <c r="DG381" s="198"/>
      <c r="DH381" s="194"/>
      <c r="DI381" s="194"/>
    </row>
    <row r="382" spans="1:113" s="24" customFormat="1" hidden="1" x14ac:dyDescent="0.3">
      <c r="A382" s="172"/>
      <c r="B382" s="172"/>
      <c r="C382" s="172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2"/>
      <c r="BV382" s="172"/>
      <c r="BW382" s="172"/>
      <c r="BX382" s="172"/>
      <c r="BY382" s="174"/>
      <c r="BZ382" s="172"/>
      <c r="CA382" s="172"/>
      <c r="CD382" s="194"/>
      <c r="CE382" s="194"/>
      <c r="CF382" s="194"/>
      <c r="CG382" s="194"/>
      <c r="CH382" s="195"/>
      <c r="CI382" s="194"/>
      <c r="CJ382" s="194"/>
      <c r="CK382" s="194"/>
      <c r="CL382" s="196"/>
      <c r="CM382" s="196"/>
      <c r="CN382" s="194"/>
      <c r="CO382" s="197"/>
      <c r="CP382" s="196"/>
      <c r="CQ382" s="196"/>
      <c r="CR382" s="196"/>
      <c r="CS382" s="196"/>
      <c r="CT382" s="196"/>
      <c r="CU382" s="196"/>
      <c r="CV382" s="194"/>
      <c r="CW382" s="194"/>
      <c r="CX382" s="194"/>
      <c r="CY382" s="194"/>
      <c r="CZ382" s="194"/>
      <c r="DA382" s="194"/>
      <c r="DB382" s="194"/>
      <c r="DC382" s="194"/>
      <c r="DD382" s="194"/>
      <c r="DE382" s="194"/>
      <c r="DF382" s="196"/>
      <c r="DG382" s="198"/>
      <c r="DH382" s="194"/>
      <c r="DI382" s="194"/>
    </row>
    <row r="383" spans="1:113" s="24" customFormat="1" hidden="1" x14ac:dyDescent="0.3">
      <c r="A383" s="172"/>
      <c r="B383" s="172"/>
      <c r="C383" s="172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  <c r="BT383" s="172"/>
      <c r="BU383" s="172"/>
      <c r="BV383" s="172"/>
      <c r="BW383" s="172"/>
      <c r="BX383" s="172"/>
      <c r="BY383" s="174"/>
      <c r="BZ383" s="172"/>
      <c r="CA383" s="172"/>
      <c r="CD383" s="194"/>
      <c r="CE383" s="194"/>
      <c r="CF383" s="194"/>
      <c r="CG383" s="194"/>
      <c r="CH383" s="195"/>
      <c r="CI383" s="194"/>
      <c r="CJ383" s="194"/>
      <c r="CK383" s="194"/>
      <c r="CL383" s="196"/>
      <c r="CM383" s="196"/>
      <c r="CN383" s="194"/>
      <c r="CO383" s="197"/>
      <c r="CP383" s="196"/>
      <c r="CQ383" s="196"/>
      <c r="CR383" s="196"/>
      <c r="CS383" s="196"/>
      <c r="CT383" s="196"/>
      <c r="CU383" s="196"/>
      <c r="CV383" s="194"/>
      <c r="CW383" s="194"/>
      <c r="CX383" s="194"/>
      <c r="CY383" s="194"/>
      <c r="CZ383" s="194"/>
      <c r="DA383" s="194"/>
      <c r="DB383" s="194"/>
      <c r="DC383" s="194"/>
      <c r="DD383" s="194"/>
      <c r="DE383" s="194"/>
      <c r="DF383" s="196"/>
      <c r="DG383" s="198"/>
      <c r="DH383" s="194"/>
      <c r="DI383" s="194"/>
    </row>
    <row r="384" spans="1:113" s="24" customFormat="1" hidden="1" x14ac:dyDescent="0.3">
      <c r="A384" s="172"/>
      <c r="B384" s="172"/>
      <c r="C384" s="172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2"/>
      <c r="BV384" s="172"/>
      <c r="BW384" s="172"/>
      <c r="BX384" s="172"/>
      <c r="BY384" s="174"/>
      <c r="BZ384" s="172"/>
      <c r="CA384" s="172"/>
      <c r="CD384" s="194"/>
      <c r="CE384" s="194"/>
      <c r="CF384" s="194"/>
      <c r="CG384" s="194"/>
      <c r="CH384" s="195"/>
      <c r="CI384" s="194"/>
      <c r="CJ384" s="194"/>
      <c r="CK384" s="194"/>
      <c r="CL384" s="196"/>
      <c r="CM384" s="196"/>
      <c r="CN384" s="194"/>
      <c r="CO384" s="197"/>
      <c r="CP384" s="196"/>
      <c r="CQ384" s="196"/>
      <c r="CR384" s="196"/>
      <c r="CS384" s="196"/>
      <c r="CT384" s="196"/>
      <c r="CU384" s="196"/>
      <c r="CV384" s="194"/>
      <c r="CW384" s="194"/>
      <c r="CX384" s="194"/>
      <c r="CY384" s="194"/>
      <c r="CZ384" s="194"/>
      <c r="DA384" s="194"/>
      <c r="DB384" s="194"/>
      <c r="DC384" s="194"/>
      <c r="DD384" s="194"/>
      <c r="DE384" s="194"/>
      <c r="DF384" s="196"/>
      <c r="DG384" s="198"/>
      <c r="DH384" s="194"/>
      <c r="DI384" s="194"/>
    </row>
    <row r="385" spans="1:113" s="24" customFormat="1" hidden="1" x14ac:dyDescent="0.3">
      <c r="A385" s="172"/>
      <c r="B385" s="172"/>
      <c r="C385" s="172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/>
      <c r="BY385" s="174"/>
      <c r="BZ385" s="172"/>
      <c r="CA385" s="172"/>
      <c r="CD385" s="194"/>
      <c r="CE385" s="194"/>
      <c r="CF385" s="194"/>
      <c r="CG385" s="194"/>
      <c r="CH385" s="195"/>
      <c r="CI385" s="194"/>
      <c r="CJ385" s="194"/>
      <c r="CK385" s="194"/>
      <c r="CL385" s="196"/>
      <c r="CM385" s="196"/>
      <c r="CN385" s="194"/>
      <c r="CO385" s="197"/>
      <c r="CP385" s="196"/>
      <c r="CQ385" s="196"/>
      <c r="CR385" s="196"/>
      <c r="CS385" s="196"/>
      <c r="CT385" s="196"/>
      <c r="CU385" s="196"/>
      <c r="CV385" s="194"/>
      <c r="CW385" s="194"/>
      <c r="CX385" s="194"/>
      <c r="CY385" s="194"/>
      <c r="CZ385" s="194"/>
      <c r="DA385" s="194"/>
      <c r="DB385" s="194"/>
      <c r="DC385" s="194"/>
      <c r="DD385" s="194"/>
      <c r="DE385" s="194"/>
      <c r="DF385" s="196"/>
      <c r="DG385" s="198"/>
      <c r="DH385" s="194"/>
      <c r="DI385" s="194"/>
    </row>
    <row r="386" spans="1:113" s="24" customFormat="1" hidden="1" x14ac:dyDescent="0.3">
      <c r="A386" s="172"/>
      <c r="B386" s="172"/>
      <c r="C386" s="172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  <c r="BT386" s="172"/>
      <c r="BU386" s="172"/>
      <c r="BV386" s="172"/>
      <c r="BW386" s="172"/>
      <c r="BX386" s="172"/>
      <c r="BY386" s="174"/>
      <c r="BZ386" s="172"/>
      <c r="CA386" s="172"/>
      <c r="CD386" s="194"/>
      <c r="CE386" s="194"/>
      <c r="CF386" s="194"/>
      <c r="CG386" s="194"/>
      <c r="CH386" s="195"/>
      <c r="CI386" s="194"/>
      <c r="CJ386" s="194"/>
      <c r="CK386" s="194"/>
      <c r="CL386" s="196"/>
      <c r="CM386" s="196"/>
      <c r="CN386" s="194"/>
      <c r="CO386" s="197"/>
      <c r="CP386" s="196"/>
      <c r="CQ386" s="196"/>
      <c r="CR386" s="196"/>
      <c r="CS386" s="196"/>
      <c r="CT386" s="196"/>
      <c r="CU386" s="196"/>
      <c r="CV386" s="194"/>
      <c r="CW386" s="194"/>
      <c r="CX386" s="194"/>
      <c r="CY386" s="194"/>
      <c r="CZ386" s="194"/>
      <c r="DA386" s="194"/>
      <c r="DB386" s="194"/>
      <c r="DC386" s="194"/>
      <c r="DD386" s="194"/>
      <c r="DE386" s="194"/>
      <c r="DF386" s="196"/>
      <c r="DG386" s="198"/>
      <c r="DH386" s="194"/>
      <c r="DI386" s="194"/>
    </row>
    <row r="387" spans="1:113" s="24" customFormat="1" hidden="1" x14ac:dyDescent="0.3">
      <c r="A387" s="172"/>
      <c r="B387" s="172"/>
      <c r="C387" s="172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  <c r="BT387" s="172"/>
      <c r="BU387" s="172"/>
      <c r="BV387" s="172"/>
      <c r="BW387" s="172"/>
      <c r="BX387" s="172"/>
      <c r="BY387" s="174"/>
      <c r="BZ387" s="172"/>
      <c r="CA387" s="172"/>
      <c r="CD387" s="194"/>
      <c r="CE387" s="194"/>
      <c r="CF387" s="194"/>
      <c r="CG387" s="194"/>
      <c r="CH387" s="195"/>
      <c r="CI387" s="194"/>
      <c r="CJ387" s="194"/>
      <c r="CK387" s="194"/>
      <c r="CL387" s="196"/>
      <c r="CM387" s="196"/>
      <c r="CN387" s="194"/>
      <c r="CO387" s="197"/>
      <c r="CP387" s="196"/>
      <c r="CQ387" s="196"/>
      <c r="CR387" s="196"/>
      <c r="CS387" s="196"/>
      <c r="CT387" s="196"/>
      <c r="CU387" s="196"/>
      <c r="CV387" s="194"/>
      <c r="CW387" s="194"/>
      <c r="CX387" s="194"/>
      <c r="CY387" s="194"/>
      <c r="CZ387" s="194"/>
      <c r="DA387" s="194"/>
      <c r="DB387" s="194"/>
      <c r="DC387" s="194"/>
      <c r="DD387" s="194"/>
      <c r="DE387" s="194"/>
      <c r="DF387" s="196"/>
      <c r="DG387" s="198"/>
      <c r="DH387" s="194"/>
      <c r="DI387" s="194"/>
    </row>
    <row r="388" spans="1:113" s="24" customFormat="1" hidden="1" x14ac:dyDescent="0.3">
      <c r="A388" s="172"/>
      <c r="B388" s="172"/>
      <c r="C388" s="172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  <c r="BT388" s="172"/>
      <c r="BU388" s="172"/>
      <c r="BV388" s="172"/>
      <c r="BW388" s="172"/>
      <c r="BX388" s="172"/>
      <c r="BY388" s="174"/>
      <c r="BZ388" s="172"/>
      <c r="CA388" s="172"/>
      <c r="CD388" s="194"/>
      <c r="CE388" s="194"/>
      <c r="CF388" s="194"/>
      <c r="CG388" s="194"/>
      <c r="CH388" s="195"/>
      <c r="CI388" s="194"/>
      <c r="CJ388" s="194"/>
      <c r="CK388" s="194"/>
      <c r="CL388" s="196"/>
      <c r="CM388" s="196"/>
      <c r="CN388" s="194"/>
      <c r="CO388" s="197"/>
      <c r="CP388" s="196"/>
      <c r="CQ388" s="196"/>
      <c r="CR388" s="196"/>
      <c r="CS388" s="196"/>
      <c r="CT388" s="196"/>
      <c r="CU388" s="196"/>
      <c r="CV388" s="194"/>
      <c r="CW388" s="194"/>
      <c r="CX388" s="194"/>
      <c r="CY388" s="194"/>
      <c r="CZ388" s="194"/>
      <c r="DA388" s="194"/>
      <c r="DB388" s="194"/>
      <c r="DC388" s="194"/>
      <c r="DD388" s="194"/>
      <c r="DE388" s="194"/>
      <c r="DF388" s="196"/>
      <c r="DG388" s="198"/>
      <c r="DH388" s="194"/>
      <c r="DI388" s="194"/>
    </row>
    <row r="389" spans="1:113" s="24" customFormat="1" hidden="1" x14ac:dyDescent="0.3">
      <c r="A389" s="172"/>
      <c r="B389" s="172"/>
      <c r="C389" s="172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4"/>
      <c r="BZ389" s="172"/>
      <c r="CA389" s="172"/>
      <c r="CD389" s="194"/>
      <c r="CE389" s="194"/>
      <c r="CF389" s="194"/>
      <c r="CG389" s="194"/>
      <c r="CH389" s="195"/>
      <c r="CI389" s="194"/>
      <c r="CJ389" s="194"/>
      <c r="CK389" s="194"/>
      <c r="CL389" s="196"/>
      <c r="CM389" s="196"/>
      <c r="CN389" s="194"/>
      <c r="CO389" s="197"/>
      <c r="CP389" s="196"/>
      <c r="CQ389" s="196"/>
      <c r="CR389" s="196"/>
      <c r="CS389" s="196"/>
      <c r="CT389" s="196"/>
      <c r="CU389" s="196"/>
      <c r="CV389" s="194"/>
      <c r="CW389" s="194"/>
      <c r="CX389" s="194"/>
      <c r="CY389" s="194"/>
      <c r="CZ389" s="194"/>
      <c r="DA389" s="194"/>
      <c r="DB389" s="194"/>
      <c r="DC389" s="194"/>
      <c r="DD389" s="194"/>
      <c r="DE389" s="194"/>
      <c r="DF389" s="196"/>
      <c r="DG389" s="198"/>
      <c r="DH389" s="194"/>
      <c r="DI389" s="194"/>
    </row>
    <row r="390" spans="1:113" s="24" customFormat="1" hidden="1" x14ac:dyDescent="0.3">
      <c r="A390" s="172"/>
      <c r="B390" s="172"/>
      <c r="C390" s="172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4"/>
      <c r="BZ390" s="172"/>
      <c r="CA390" s="172"/>
      <c r="CD390" s="194"/>
      <c r="CE390" s="194"/>
      <c r="CF390" s="194"/>
      <c r="CG390" s="194"/>
      <c r="CH390" s="195"/>
      <c r="CI390" s="194"/>
      <c r="CJ390" s="194"/>
      <c r="CK390" s="194"/>
      <c r="CL390" s="196"/>
      <c r="CM390" s="196"/>
      <c r="CN390" s="194"/>
      <c r="CO390" s="197"/>
      <c r="CP390" s="196"/>
      <c r="CQ390" s="196"/>
      <c r="CR390" s="196"/>
      <c r="CS390" s="196"/>
      <c r="CT390" s="196"/>
      <c r="CU390" s="196"/>
      <c r="CV390" s="194"/>
      <c r="CW390" s="194"/>
      <c r="CX390" s="194"/>
      <c r="CY390" s="194"/>
      <c r="CZ390" s="194"/>
      <c r="DA390" s="194"/>
      <c r="DB390" s="194"/>
      <c r="DC390" s="194"/>
      <c r="DD390" s="194"/>
      <c r="DE390" s="194"/>
      <c r="DF390" s="196"/>
      <c r="DG390" s="198"/>
      <c r="DH390" s="194"/>
      <c r="DI390" s="194"/>
    </row>
    <row r="391" spans="1:113" s="24" customFormat="1" hidden="1" x14ac:dyDescent="0.3">
      <c r="A391" s="172"/>
      <c r="B391" s="172"/>
      <c r="C391" s="172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4"/>
      <c r="BZ391" s="172"/>
      <c r="CA391" s="172"/>
      <c r="CD391" s="194"/>
      <c r="CE391" s="194"/>
      <c r="CF391" s="194"/>
      <c r="CG391" s="194"/>
      <c r="CH391" s="195"/>
      <c r="CI391" s="194"/>
      <c r="CJ391" s="194"/>
      <c r="CK391" s="194"/>
      <c r="CL391" s="196"/>
      <c r="CM391" s="196"/>
      <c r="CN391" s="194"/>
      <c r="CO391" s="197"/>
      <c r="CP391" s="196"/>
      <c r="CQ391" s="196"/>
      <c r="CR391" s="196"/>
      <c r="CS391" s="196"/>
      <c r="CT391" s="196"/>
      <c r="CU391" s="196"/>
      <c r="CV391" s="194"/>
      <c r="CW391" s="194"/>
      <c r="CX391" s="194"/>
      <c r="CY391" s="194"/>
      <c r="CZ391" s="194"/>
      <c r="DA391" s="194"/>
      <c r="DB391" s="194"/>
      <c r="DC391" s="194"/>
      <c r="DD391" s="194"/>
      <c r="DE391" s="194"/>
      <c r="DF391" s="196"/>
      <c r="DG391" s="198"/>
      <c r="DH391" s="194"/>
      <c r="DI391" s="194"/>
    </row>
    <row r="392" spans="1:113" s="24" customFormat="1" hidden="1" x14ac:dyDescent="0.3">
      <c r="A392" s="172"/>
      <c r="B392" s="172"/>
      <c r="C392" s="172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4"/>
      <c r="BZ392" s="172"/>
      <c r="CA392" s="172"/>
      <c r="CD392" s="194"/>
      <c r="CE392" s="194"/>
      <c r="CF392" s="194"/>
      <c r="CG392" s="194"/>
      <c r="CH392" s="195"/>
      <c r="CI392" s="194"/>
      <c r="CJ392" s="194"/>
      <c r="CK392" s="194"/>
      <c r="CL392" s="196"/>
      <c r="CM392" s="196"/>
      <c r="CN392" s="194"/>
      <c r="CO392" s="197"/>
      <c r="CP392" s="196"/>
      <c r="CQ392" s="196"/>
      <c r="CR392" s="196"/>
      <c r="CS392" s="196"/>
      <c r="CT392" s="196"/>
      <c r="CU392" s="196"/>
      <c r="CV392" s="194"/>
      <c r="CW392" s="194"/>
      <c r="CX392" s="194"/>
      <c r="CY392" s="194"/>
      <c r="CZ392" s="194"/>
      <c r="DA392" s="194"/>
      <c r="DB392" s="194"/>
      <c r="DC392" s="194"/>
      <c r="DD392" s="194"/>
      <c r="DE392" s="194"/>
      <c r="DF392" s="196"/>
      <c r="DG392" s="198"/>
      <c r="DH392" s="194"/>
      <c r="DI392" s="194"/>
    </row>
    <row r="393" spans="1:113" s="24" customFormat="1" hidden="1" x14ac:dyDescent="0.3">
      <c r="A393" s="172"/>
      <c r="B393" s="172"/>
      <c r="C393" s="172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4"/>
      <c r="BZ393" s="172"/>
      <c r="CA393" s="172"/>
      <c r="CD393" s="194"/>
      <c r="CE393" s="194"/>
      <c r="CF393" s="194"/>
      <c r="CG393" s="194"/>
      <c r="CH393" s="195"/>
      <c r="CI393" s="194"/>
      <c r="CJ393" s="194"/>
      <c r="CK393" s="194"/>
      <c r="CL393" s="196"/>
      <c r="CM393" s="196"/>
      <c r="CN393" s="194"/>
      <c r="CO393" s="197"/>
      <c r="CP393" s="196"/>
      <c r="CQ393" s="196"/>
      <c r="CR393" s="196"/>
      <c r="CS393" s="196"/>
      <c r="CT393" s="196"/>
      <c r="CU393" s="196"/>
      <c r="CV393" s="194"/>
      <c r="CW393" s="194"/>
      <c r="CX393" s="194"/>
      <c r="CY393" s="194"/>
      <c r="CZ393" s="194"/>
      <c r="DA393" s="194"/>
      <c r="DB393" s="194"/>
      <c r="DC393" s="194"/>
      <c r="DD393" s="194"/>
      <c r="DE393" s="194"/>
      <c r="DF393" s="196"/>
      <c r="DG393" s="198"/>
      <c r="DH393" s="194"/>
      <c r="DI393" s="194"/>
    </row>
    <row r="394" spans="1:113" s="24" customFormat="1" hidden="1" x14ac:dyDescent="0.3">
      <c r="A394" s="172"/>
      <c r="B394" s="172"/>
      <c r="C394" s="172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4"/>
      <c r="BZ394" s="172"/>
      <c r="CA394" s="172"/>
      <c r="CD394" s="194"/>
      <c r="CE394" s="194"/>
      <c r="CF394" s="194"/>
      <c r="CG394" s="194"/>
      <c r="CH394" s="195"/>
      <c r="CI394" s="194"/>
      <c r="CJ394" s="194"/>
      <c r="CK394" s="194"/>
      <c r="CL394" s="196"/>
      <c r="CM394" s="196"/>
      <c r="CN394" s="194"/>
      <c r="CO394" s="197"/>
      <c r="CP394" s="196"/>
      <c r="CQ394" s="196"/>
      <c r="CR394" s="196"/>
      <c r="CS394" s="196"/>
      <c r="CT394" s="196"/>
      <c r="CU394" s="196"/>
      <c r="CV394" s="194"/>
      <c r="CW394" s="194"/>
      <c r="CX394" s="194"/>
      <c r="CY394" s="194"/>
      <c r="CZ394" s="194"/>
      <c r="DA394" s="194"/>
      <c r="DB394" s="194"/>
      <c r="DC394" s="194"/>
      <c r="DD394" s="194"/>
      <c r="DE394" s="194"/>
      <c r="DF394" s="196"/>
      <c r="DG394" s="198"/>
      <c r="DH394" s="194"/>
      <c r="DI394" s="194"/>
    </row>
    <row r="395" spans="1:113" s="24" customFormat="1" hidden="1" x14ac:dyDescent="0.3">
      <c r="A395" s="172"/>
      <c r="B395" s="172"/>
      <c r="C395" s="172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4"/>
      <c r="BZ395" s="172"/>
      <c r="CA395" s="172"/>
      <c r="CD395" s="194"/>
      <c r="CE395" s="194"/>
      <c r="CF395" s="194"/>
      <c r="CG395" s="194"/>
      <c r="CH395" s="195"/>
      <c r="CI395" s="194"/>
      <c r="CJ395" s="194"/>
      <c r="CK395" s="194"/>
      <c r="CL395" s="196"/>
      <c r="CM395" s="196"/>
      <c r="CN395" s="194"/>
      <c r="CO395" s="197"/>
      <c r="CP395" s="196"/>
      <c r="CQ395" s="196"/>
      <c r="CR395" s="196"/>
      <c r="CS395" s="196"/>
      <c r="CT395" s="196"/>
      <c r="CU395" s="196"/>
      <c r="CV395" s="194"/>
      <c r="CW395" s="194"/>
      <c r="CX395" s="194"/>
      <c r="CY395" s="194"/>
      <c r="CZ395" s="194"/>
      <c r="DA395" s="194"/>
      <c r="DB395" s="194"/>
      <c r="DC395" s="194"/>
      <c r="DD395" s="194"/>
      <c r="DE395" s="194"/>
      <c r="DF395" s="196"/>
      <c r="DG395" s="198"/>
      <c r="DH395" s="194"/>
      <c r="DI395" s="194"/>
    </row>
    <row r="396" spans="1:113" s="24" customFormat="1" hidden="1" x14ac:dyDescent="0.3">
      <c r="A396" s="172"/>
      <c r="B396" s="172"/>
      <c r="C396" s="172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4"/>
      <c r="BZ396" s="172"/>
      <c r="CA396" s="172"/>
      <c r="CD396" s="194"/>
      <c r="CE396" s="194"/>
      <c r="CF396" s="194"/>
      <c r="CG396" s="194"/>
      <c r="CH396" s="195"/>
      <c r="CI396" s="194"/>
      <c r="CJ396" s="194"/>
      <c r="CK396" s="194"/>
      <c r="CL396" s="196"/>
      <c r="CM396" s="196"/>
      <c r="CN396" s="194"/>
      <c r="CO396" s="197"/>
      <c r="CP396" s="196"/>
      <c r="CQ396" s="196"/>
      <c r="CR396" s="196"/>
      <c r="CS396" s="196"/>
      <c r="CT396" s="196"/>
      <c r="CU396" s="196"/>
      <c r="CV396" s="194"/>
      <c r="CW396" s="194"/>
      <c r="CX396" s="194"/>
      <c r="CY396" s="194"/>
      <c r="CZ396" s="194"/>
      <c r="DA396" s="194"/>
      <c r="DB396" s="194"/>
      <c r="DC396" s="194"/>
      <c r="DD396" s="194"/>
      <c r="DE396" s="194"/>
      <c r="DF396" s="196"/>
      <c r="DG396" s="198"/>
      <c r="DH396" s="194"/>
      <c r="DI396" s="194"/>
    </row>
    <row r="397" spans="1:113" s="24" customFormat="1" hidden="1" x14ac:dyDescent="0.3">
      <c r="A397" s="172"/>
      <c r="B397" s="172"/>
      <c r="C397" s="172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4"/>
      <c r="BZ397" s="172"/>
      <c r="CA397" s="172"/>
      <c r="CD397" s="194"/>
      <c r="CE397" s="194"/>
      <c r="CF397" s="194"/>
      <c r="CG397" s="194"/>
      <c r="CH397" s="195"/>
      <c r="CI397" s="194"/>
      <c r="CJ397" s="194"/>
      <c r="CK397" s="194"/>
      <c r="CL397" s="196"/>
      <c r="CM397" s="196"/>
      <c r="CN397" s="194"/>
      <c r="CO397" s="197"/>
      <c r="CP397" s="196"/>
      <c r="CQ397" s="196"/>
      <c r="CR397" s="196"/>
      <c r="CS397" s="196"/>
      <c r="CT397" s="196"/>
      <c r="CU397" s="196"/>
      <c r="CV397" s="194"/>
      <c r="CW397" s="194"/>
      <c r="CX397" s="194"/>
      <c r="CY397" s="194"/>
      <c r="CZ397" s="194"/>
      <c r="DA397" s="194"/>
      <c r="DB397" s="194"/>
      <c r="DC397" s="194"/>
      <c r="DD397" s="194"/>
      <c r="DE397" s="194"/>
      <c r="DF397" s="196"/>
      <c r="DG397" s="198"/>
      <c r="DH397" s="194"/>
      <c r="DI397" s="194"/>
    </row>
    <row r="398" spans="1:113" s="24" customFormat="1" hidden="1" x14ac:dyDescent="0.3">
      <c r="A398" s="172"/>
      <c r="B398" s="172"/>
      <c r="C398" s="172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4"/>
      <c r="BZ398" s="172"/>
      <c r="CA398" s="172"/>
      <c r="CD398" s="194"/>
      <c r="CE398" s="194"/>
      <c r="CF398" s="194"/>
      <c r="CG398" s="194"/>
      <c r="CH398" s="195"/>
      <c r="CI398" s="194"/>
      <c r="CJ398" s="194"/>
      <c r="CK398" s="194"/>
      <c r="CL398" s="196"/>
      <c r="CM398" s="196"/>
      <c r="CN398" s="194"/>
      <c r="CO398" s="197"/>
      <c r="CP398" s="196"/>
      <c r="CQ398" s="196"/>
      <c r="CR398" s="196"/>
      <c r="CS398" s="196"/>
      <c r="CT398" s="196"/>
      <c r="CU398" s="196"/>
      <c r="CV398" s="194"/>
      <c r="CW398" s="194"/>
      <c r="CX398" s="194"/>
      <c r="CY398" s="194"/>
      <c r="CZ398" s="194"/>
      <c r="DA398" s="194"/>
      <c r="DB398" s="194"/>
      <c r="DC398" s="194"/>
      <c r="DD398" s="194"/>
      <c r="DE398" s="194"/>
      <c r="DF398" s="196"/>
      <c r="DG398" s="198"/>
      <c r="DH398" s="194"/>
      <c r="DI398" s="194"/>
    </row>
    <row r="399" spans="1:113" s="24" customFormat="1" hidden="1" x14ac:dyDescent="0.3">
      <c r="A399" s="172"/>
      <c r="B399" s="172"/>
      <c r="C399" s="172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  <c r="BT399" s="172"/>
      <c r="BU399" s="172"/>
      <c r="BV399" s="172"/>
      <c r="BW399" s="172"/>
      <c r="BX399" s="172"/>
      <c r="BY399" s="174"/>
      <c r="BZ399" s="172"/>
      <c r="CA399" s="172"/>
      <c r="CD399" s="194"/>
      <c r="CE399" s="194"/>
      <c r="CF399" s="194"/>
      <c r="CG399" s="194"/>
      <c r="CH399" s="195"/>
      <c r="CI399" s="194"/>
      <c r="CJ399" s="194"/>
      <c r="CK399" s="194"/>
      <c r="CL399" s="196"/>
      <c r="CM399" s="196"/>
      <c r="CN399" s="194"/>
      <c r="CO399" s="197"/>
      <c r="CP399" s="196"/>
      <c r="CQ399" s="196"/>
      <c r="CR399" s="196"/>
      <c r="CS399" s="196"/>
      <c r="CT399" s="196"/>
      <c r="CU399" s="196"/>
      <c r="CV399" s="194"/>
      <c r="CW399" s="194"/>
      <c r="CX399" s="194"/>
      <c r="CY399" s="194"/>
      <c r="CZ399" s="194"/>
      <c r="DA399" s="194"/>
      <c r="DB399" s="194"/>
      <c r="DC399" s="194"/>
      <c r="DD399" s="194"/>
      <c r="DE399" s="194"/>
      <c r="DF399" s="196"/>
      <c r="DG399" s="198"/>
      <c r="DH399" s="194"/>
      <c r="DI399" s="194"/>
    </row>
    <row r="400" spans="1:113" s="24" customFormat="1" hidden="1" x14ac:dyDescent="0.3">
      <c r="A400" s="172"/>
      <c r="B400" s="172"/>
      <c r="C400" s="172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  <c r="BT400" s="172"/>
      <c r="BU400" s="172"/>
      <c r="BV400" s="172"/>
      <c r="BW400" s="172"/>
      <c r="BX400" s="172"/>
      <c r="BY400" s="174"/>
      <c r="BZ400" s="172"/>
      <c r="CA400" s="172"/>
      <c r="CD400" s="194"/>
      <c r="CE400" s="194"/>
      <c r="CF400" s="194"/>
      <c r="CG400" s="194"/>
      <c r="CH400" s="195"/>
      <c r="CI400" s="194"/>
      <c r="CJ400" s="194"/>
      <c r="CK400" s="194"/>
      <c r="CL400" s="196"/>
      <c r="CM400" s="196"/>
      <c r="CN400" s="194"/>
      <c r="CO400" s="197"/>
      <c r="CP400" s="196"/>
      <c r="CQ400" s="196"/>
      <c r="CR400" s="196"/>
      <c r="CS400" s="196"/>
      <c r="CT400" s="196"/>
      <c r="CU400" s="196"/>
      <c r="CV400" s="194"/>
      <c r="CW400" s="194"/>
      <c r="CX400" s="194"/>
      <c r="CY400" s="194"/>
      <c r="CZ400" s="194"/>
      <c r="DA400" s="194"/>
      <c r="DB400" s="194"/>
      <c r="DC400" s="194"/>
      <c r="DD400" s="194"/>
      <c r="DE400" s="194"/>
      <c r="DF400" s="196"/>
      <c r="DG400" s="198"/>
      <c r="DH400" s="194"/>
      <c r="DI400" s="194"/>
    </row>
    <row r="401" spans="1:113" s="24" customFormat="1" hidden="1" x14ac:dyDescent="0.3">
      <c r="A401" s="172"/>
      <c r="B401" s="172"/>
      <c r="C401" s="172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2"/>
      <c r="BV401" s="172"/>
      <c r="BW401" s="172"/>
      <c r="BX401" s="172"/>
      <c r="BY401" s="174"/>
      <c r="BZ401" s="172"/>
      <c r="CA401" s="172"/>
      <c r="CD401" s="194"/>
      <c r="CE401" s="194"/>
      <c r="CF401" s="194"/>
      <c r="CG401" s="194"/>
      <c r="CH401" s="195"/>
      <c r="CI401" s="194"/>
      <c r="CJ401" s="194"/>
      <c r="CK401" s="194"/>
      <c r="CL401" s="196"/>
      <c r="CM401" s="196"/>
      <c r="CN401" s="194"/>
      <c r="CO401" s="197"/>
      <c r="CP401" s="196"/>
      <c r="CQ401" s="196"/>
      <c r="CR401" s="196"/>
      <c r="CS401" s="196"/>
      <c r="CT401" s="196"/>
      <c r="CU401" s="196"/>
      <c r="CV401" s="194"/>
      <c r="CW401" s="194"/>
      <c r="CX401" s="194"/>
      <c r="CY401" s="194"/>
      <c r="CZ401" s="194"/>
      <c r="DA401" s="194"/>
      <c r="DB401" s="194"/>
      <c r="DC401" s="194"/>
      <c r="DD401" s="194"/>
      <c r="DE401" s="194"/>
      <c r="DF401" s="196"/>
      <c r="DG401" s="198"/>
      <c r="DH401" s="194"/>
      <c r="DI401" s="194"/>
    </row>
    <row r="402" spans="1:113" s="24" customFormat="1" hidden="1" x14ac:dyDescent="0.3">
      <c r="A402" s="172"/>
      <c r="B402" s="172"/>
      <c r="C402" s="172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  <c r="BT402" s="172"/>
      <c r="BU402" s="172"/>
      <c r="BV402" s="172"/>
      <c r="BW402" s="172"/>
      <c r="BX402" s="172"/>
      <c r="BY402" s="174"/>
      <c r="BZ402" s="172"/>
      <c r="CA402" s="172"/>
      <c r="CD402" s="194"/>
      <c r="CE402" s="194"/>
      <c r="CF402" s="194"/>
      <c r="CG402" s="194"/>
      <c r="CH402" s="195"/>
      <c r="CI402" s="194"/>
      <c r="CJ402" s="194"/>
      <c r="CK402" s="194"/>
      <c r="CL402" s="196"/>
      <c r="CM402" s="196"/>
      <c r="CN402" s="194"/>
      <c r="CO402" s="197"/>
      <c r="CP402" s="196"/>
      <c r="CQ402" s="196"/>
      <c r="CR402" s="196"/>
      <c r="CS402" s="196"/>
      <c r="CT402" s="196"/>
      <c r="CU402" s="196"/>
      <c r="CV402" s="194"/>
      <c r="CW402" s="194"/>
      <c r="CX402" s="194"/>
      <c r="CY402" s="194"/>
      <c r="CZ402" s="194"/>
      <c r="DA402" s="194"/>
      <c r="DB402" s="194"/>
      <c r="DC402" s="194"/>
      <c r="DD402" s="194"/>
      <c r="DE402" s="194"/>
      <c r="DF402" s="196"/>
      <c r="DG402" s="198"/>
      <c r="DH402" s="194"/>
      <c r="DI402" s="194"/>
    </row>
    <row r="403" spans="1:113" s="24" customFormat="1" hidden="1" x14ac:dyDescent="0.3">
      <c r="A403" s="172"/>
      <c r="B403" s="172"/>
      <c r="C403" s="172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  <c r="BT403" s="172"/>
      <c r="BU403" s="172"/>
      <c r="BV403" s="172"/>
      <c r="BW403" s="172"/>
      <c r="BX403" s="172"/>
      <c r="BY403" s="174"/>
      <c r="BZ403" s="172"/>
      <c r="CA403" s="172"/>
      <c r="CD403" s="194"/>
      <c r="CE403" s="194"/>
      <c r="CF403" s="194"/>
      <c r="CG403" s="194"/>
      <c r="CH403" s="195"/>
      <c r="CI403" s="194"/>
      <c r="CJ403" s="194"/>
      <c r="CK403" s="194"/>
      <c r="CL403" s="196"/>
      <c r="CM403" s="196"/>
      <c r="CN403" s="194"/>
      <c r="CO403" s="197"/>
      <c r="CP403" s="196"/>
      <c r="CQ403" s="196"/>
      <c r="CR403" s="196"/>
      <c r="CS403" s="196"/>
      <c r="CT403" s="196"/>
      <c r="CU403" s="196"/>
      <c r="CV403" s="194"/>
      <c r="CW403" s="194"/>
      <c r="CX403" s="194"/>
      <c r="CY403" s="194"/>
      <c r="CZ403" s="194"/>
      <c r="DA403" s="194"/>
      <c r="DB403" s="194"/>
      <c r="DC403" s="194"/>
      <c r="DD403" s="194"/>
      <c r="DE403" s="194"/>
      <c r="DF403" s="196"/>
      <c r="DG403" s="198"/>
      <c r="DH403" s="194"/>
      <c r="DI403" s="194"/>
    </row>
    <row r="404" spans="1:113" s="24" customFormat="1" hidden="1" x14ac:dyDescent="0.3">
      <c r="A404" s="172"/>
      <c r="B404" s="172"/>
      <c r="C404" s="172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4"/>
      <c r="BZ404" s="172"/>
      <c r="CA404" s="172"/>
      <c r="CD404" s="194"/>
      <c r="CE404" s="194"/>
      <c r="CF404" s="194"/>
      <c r="CG404" s="194"/>
      <c r="CH404" s="195"/>
      <c r="CI404" s="194"/>
      <c r="CJ404" s="194"/>
      <c r="CK404" s="194"/>
      <c r="CL404" s="196"/>
      <c r="CM404" s="196"/>
      <c r="CN404" s="194"/>
      <c r="CO404" s="197"/>
      <c r="CP404" s="196"/>
      <c r="CQ404" s="196"/>
      <c r="CR404" s="196"/>
      <c r="CS404" s="196"/>
      <c r="CT404" s="196"/>
      <c r="CU404" s="196"/>
      <c r="CV404" s="194"/>
      <c r="CW404" s="194"/>
      <c r="CX404" s="194"/>
      <c r="CY404" s="194"/>
      <c r="CZ404" s="194"/>
      <c r="DA404" s="194"/>
      <c r="DB404" s="194"/>
      <c r="DC404" s="194"/>
      <c r="DD404" s="194"/>
      <c r="DE404" s="194"/>
      <c r="DF404" s="196"/>
      <c r="DG404" s="198"/>
      <c r="DH404" s="194"/>
      <c r="DI404" s="194"/>
    </row>
    <row r="405" spans="1:113" s="24" customFormat="1" hidden="1" x14ac:dyDescent="0.3">
      <c r="A405" s="172"/>
      <c r="B405" s="172"/>
      <c r="C405" s="172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  <c r="BT405" s="172"/>
      <c r="BU405" s="172"/>
      <c r="BV405" s="172"/>
      <c r="BW405" s="172"/>
      <c r="BX405" s="172"/>
      <c r="BY405" s="174"/>
      <c r="BZ405" s="172"/>
      <c r="CA405" s="172"/>
      <c r="CD405" s="194"/>
      <c r="CE405" s="194"/>
      <c r="CF405" s="194"/>
      <c r="CG405" s="194"/>
      <c r="CH405" s="195"/>
      <c r="CI405" s="194"/>
      <c r="CJ405" s="194"/>
      <c r="CK405" s="194"/>
      <c r="CL405" s="196"/>
      <c r="CM405" s="196"/>
      <c r="CN405" s="194"/>
      <c r="CO405" s="197"/>
      <c r="CP405" s="196"/>
      <c r="CQ405" s="196"/>
      <c r="CR405" s="196"/>
      <c r="CS405" s="196"/>
      <c r="CT405" s="196"/>
      <c r="CU405" s="196"/>
      <c r="CV405" s="194"/>
      <c r="CW405" s="194"/>
      <c r="CX405" s="194"/>
      <c r="CY405" s="194"/>
      <c r="CZ405" s="194"/>
      <c r="DA405" s="194"/>
      <c r="DB405" s="194"/>
      <c r="DC405" s="194"/>
      <c r="DD405" s="194"/>
      <c r="DE405" s="194"/>
      <c r="DF405" s="196"/>
      <c r="DG405" s="198"/>
      <c r="DH405" s="194"/>
      <c r="DI405" s="194"/>
    </row>
    <row r="406" spans="1:113" s="24" customFormat="1" hidden="1" x14ac:dyDescent="0.3">
      <c r="A406" s="172"/>
      <c r="B406" s="172"/>
      <c r="C406" s="172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4"/>
      <c r="BZ406" s="172"/>
      <c r="CA406" s="172"/>
      <c r="CD406" s="194"/>
      <c r="CE406" s="194"/>
      <c r="CF406" s="194"/>
      <c r="CG406" s="194"/>
      <c r="CH406" s="195"/>
      <c r="CI406" s="194"/>
      <c r="CJ406" s="194"/>
      <c r="CK406" s="194"/>
      <c r="CL406" s="196"/>
      <c r="CM406" s="196"/>
      <c r="CN406" s="194"/>
      <c r="CO406" s="197"/>
      <c r="CP406" s="196"/>
      <c r="CQ406" s="196"/>
      <c r="CR406" s="196"/>
      <c r="CS406" s="196"/>
      <c r="CT406" s="196"/>
      <c r="CU406" s="196"/>
      <c r="CV406" s="194"/>
      <c r="CW406" s="194"/>
      <c r="CX406" s="194"/>
      <c r="CY406" s="194"/>
      <c r="CZ406" s="194"/>
      <c r="DA406" s="194"/>
      <c r="DB406" s="194"/>
      <c r="DC406" s="194"/>
      <c r="DD406" s="194"/>
      <c r="DE406" s="194"/>
      <c r="DF406" s="196"/>
      <c r="DG406" s="198"/>
      <c r="DH406" s="194"/>
      <c r="DI406" s="194"/>
    </row>
    <row r="407" spans="1:113" s="24" customFormat="1" hidden="1" x14ac:dyDescent="0.3">
      <c r="A407" s="172"/>
      <c r="B407" s="172"/>
      <c r="C407" s="172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  <c r="BT407" s="172"/>
      <c r="BU407" s="172"/>
      <c r="BV407" s="172"/>
      <c r="BW407" s="172"/>
      <c r="BX407" s="172"/>
      <c r="BY407" s="174"/>
      <c r="BZ407" s="172"/>
      <c r="CA407" s="172"/>
      <c r="CD407" s="194"/>
      <c r="CE407" s="194"/>
      <c r="CF407" s="194"/>
      <c r="CG407" s="194"/>
      <c r="CH407" s="195"/>
      <c r="CI407" s="194"/>
      <c r="CJ407" s="194"/>
      <c r="CK407" s="194"/>
      <c r="CL407" s="196"/>
      <c r="CM407" s="196"/>
      <c r="CN407" s="194"/>
      <c r="CO407" s="197"/>
      <c r="CP407" s="196"/>
      <c r="CQ407" s="196"/>
      <c r="CR407" s="196"/>
      <c r="CS407" s="196"/>
      <c r="CT407" s="196"/>
      <c r="CU407" s="196"/>
      <c r="CV407" s="194"/>
      <c r="CW407" s="194"/>
      <c r="CX407" s="194"/>
      <c r="CY407" s="194"/>
      <c r="CZ407" s="194"/>
      <c r="DA407" s="194"/>
      <c r="DB407" s="194"/>
      <c r="DC407" s="194"/>
      <c r="DD407" s="194"/>
      <c r="DE407" s="194"/>
      <c r="DF407" s="196"/>
      <c r="DG407" s="198"/>
      <c r="DH407" s="194"/>
      <c r="DI407" s="194"/>
    </row>
    <row r="408" spans="1:113" s="24" customFormat="1" hidden="1" x14ac:dyDescent="0.3">
      <c r="A408" s="172"/>
      <c r="B408" s="172"/>
      <c r="C408" s="172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  <c r="BT408" s="172"/>
      <c r="BU408" s="172"/>
      <c r="BV408" s="172"/>
      <c r="BW408" s="172"/>
      <c r="BX408" s="172"/>
      <c r="BY408" s="174"/>
      <c r="BZ408" s="172"/>
      <c r="CA408" s="172"/>
      <c r="CD408" s="194"/>
      <c r="CE408" s="194"/>
      <c r="CF408" s="194"/>
      <c r="CG408" s="194"/>
      <c r="CH408" s="195"/>
      <c r="CI408" s="194"/>
      <c r="CJ408" s="194"/>
      <c r="CK408" s="194"/>
      <c r="CL408" s="196"/>
      <c r="CM408" s="196"/>
      <c r="CN408" s="194"/>
      <c r="CO408" s="197"/>
      <c r="CP408" s="196"/>
      <c r="CQ408" s="196"/>
      <c r="CR408" s="196"/>
      <c r="CS408" s="196"/>
      <c r="CT408" s="196"/>
      <c r="CU408" s="196"/>
      <c r="CV408" s="194"/>
      <c r="CW408" s="194"/>
      <c r="CX408" s="194"/>
      <c r="CY408" s="194"/>
      <c r="CZ408" s="194"/>
      <c r="DA408" s="194"/>
      <c r="DB408" s="194"/>
      <c r="DC408" s="194"/>
      <c r="DD408" s="194"/>
      <c r="DE408" s="194"/>
      <c r="DF408" s="196"/>
      <c r="DG408" s="198"/>
      <c r="DH408" s="194"/>
      <c r="DI408" s="194"/>
    </row>
    <row r="409" spans="1:113" s="24" customFormat="1" hidden="1" x14ac:dyDescent="0.3">
      <c r="A409" s="172"/>
      <c r="B409" s="172"/>
      <c r="C409" s="172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4"/>
      <c r="BZ409" s="172"/>
      <c r="CA409" s="172"/>
      <c r="CD409" s="194"/>
      <c r="CE409" s="194"/>
      <c r="CF409" s="194"/>
      <c r="CG409" s="194"/>
      <c r="CH409" s="195"/>
      <c r="CI409" s="194"/>
      <c r="CJ409" s="194"/>
      <c r="CK409" s="194"/>
      <c r="CL409" s="196"/>
      <c r="CM409" s="196"/>
      <c r="CN409" s="194"/>
      <c r="CO409" s="197"/>
      <c r="CP409" s="196"/>
      <c r="CQ409" s="196"/>
      <c r="CR409" s="196"/>
      <c r="CS409" s="196"/>
      <c r="CT409" s="196"/>
      <c r="CU409" s="196"/>
      <c r="CV409" s="194"/>
      <c r="CW409" s="194"/>
      <c r="CX409" s="194"/>
      <c r="CY409" s="194"/>
      <c r="CZ409" s="194"/>
      <c r="DA409" s="194"/>
      <c r="DB409" s="194"/>
      <c r="DC409" s="194"/>
      <c r="DD409" s="194"/>
      <c r="DE409" s="194"/>
      <c r="DF409" s="196"/>
      <c r="DG409" s="198"/>
      <c r="DH409" s="194"/>
      <c r="DI409" s="194"/>
    </row>
    <row r="410" spans="1:113" s="24" customFormat="1" hidden="1" x14ac:dyDescent="0.3">
      <c r="A410" s="172"/>
      <c r="B410" s="172"/>
      <c r="C410" s="172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4"/>
      <c r="BZ410" s="172"/>
      <c r="CA410" s="172"/>
      <c r="CD410" s="194"/>
      <c r="CE410" s="194"/>
      <c r="CF410" s="194"/>
      <c r="CG410" s="194"/>
      <c r="CH410" s="195"/>
      <c r="CI410" s="194"/>
      <c r="CJ410" s="194"/>
      <c r="CK410" s="194"/>
      <c r="CL410" s="196"/>
      <c r="CM410" s="196"/>
      <c r="CN410" s="194"/>
      <c r="CO410" s="197"/>
      <c r="CP410" s="196"/>
      <c r="CQ410" s="196"/>
      <c r="CR410" s="196"/>
      <c r="CS410" s="196"/>
      <c r="CT410" s="196"/>
      <c r="CU410" s="196"/>
      <c r="CV410" s="194"/>
      <c r="CW410" s="194"/>
      <c r="CX410" s="194"/>
      <c r="CY410" s="194"/>
      <c r="CZ410" s="194"/>
      <c r="DA410" s="194"/>
      <c r="DB410" s="194"/>
      <c r="DC410" s="194"/>
      <c r="DD410" s="194"/>
      <c r="DE410" s="194"/>
      <c r="DF410" s="196"/>
      <c r="DG410" s="198"/>
      <c r="DH410" s="194"/>
      <c r="DI410" s="194"/>
    </row>
    <row r="411" spans="1:113" s="24" customFormat="1" hidden="1" x14ac:dyDescent="0.3">
      <c r="A411" s="172"/>
      <c r="B411" s="172"/>
      <c r="C411" s="172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/>
      <c r="BX411" s="172"/>
      <c r="BY411" s="174"/>
      <c r="BZ411" s="172"/>
      <c r="CA411" s="172"/>
      <c r="CD411" s="194"/>
      <c r="CE411" s="194"/>
      <c r="CF411" s="194"/>
      <c r="CG411" s="194"/>
      <c r="CH411" s="195"/>
      <c r="CI411" s="194"/>
      <c r="CJ411" s="194"/>
      <c r="CK411" s="194"/>
      <c r="CL411" s="196"/>
      <c r="CM411" s="196"/>
      <c r="CN411" s="194"/>
      <c r="CO411" s="197"/>
      <c r="CP411" s="196"/>
      <c r="CQ411" s="196"/>
      <c r="CR411" s="196"/>
      <c r="CS411" s="196"/>
      <c r="CT411" s="196"/>
      <c r="CU411" s="196"/>
      <c r="CV411" s="194"/>
      <c r="CW411" s="194"/>
      <c r="CX411" s="194"/>
      <c r="CY411" s="194"/>
      <c r="CZ411" s="194"/>
      <c r="DA411" s="194"/>
      <c r="DB411" s="194"/>
      <c r="DC411" s="194"/>
      <c r="DD411" s="194"/>
      <c r="DE411" s="194"/>
      <c r="DF411" s="196"/>
      <c r="DG411" s="198"/>
      <c r="DH411" s="194"/>
      <c r="DI411" s="194"/>
    </row>
    <row r="412" spans="1:113" s="24" customFormat="1" hidden="1" x14ac:dyDescent="0.3">
      <c r="A412" s="172"/>
      <c r="B412" s="172"/>
      <c r="C412" s="172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/>
      <c r="BW412" s="172"/>
      <c r="BX412" s="172"/>
      <c r="BY412" s="174"/>
      <c r="BZ412" s="172"/>
      <c r="CA412" s="172"/>
      <c r="CD412" s="194"/>
      <c r="CE412" s="194"/>
      <c r="CF412" s="194"/>
      <c r="CG412" s="194"/>
      <c r="CH412" s="195"/>
      <c r="CI412" s="194"/>
      <c r="CJ412" s="194"/>
      <c r="CK412" s="194"/>
      <c r="CL412" s="196"/>
      <c r="CM412" s="196"/>
      <c r="CN412" s="194"/>
      <c r="CO412" s="197"/>
      <c r="CP412" s="196"/>
      <c r="CQ412" s="196"/>
      <c r="CR412" s="196"/>
      <c r="CS412" s="196"/>
      <c r="CT412" s="196"/>
      <c r="CU412" s="196"/>
      <c r="CV412" s="194"/>
      <c r="CW412" s="194"/>
      <c r="CX412" s="194"/>
      <c r="CY412" s="194"/>
      <c r="CZ412" s="194"/>
      <c r="DA412" s="194"/>
      <c r="DB412" s="194"/>
      <c r="DC412" s="194"/>
      <c r="DD412" s="194"/>
      <c r="DE412" s="194"/>
      <c r="DF412" s="196"/>
      <c r="DG412" s="198"/>
      <c r="DH412" s="194"/>
      <c r="DI412" s="194"/>
    </row>
    <row r="413" spans="1:113" s="24" customFormat="1" hidden="1" x14ac:dyDescent="0.3">
      <c r="A413" s="172"/>
      <c r="B413" s="172"/>
      <c r="C413" s="172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  <c r="BT413" s="172"/>
      <c r="BU413" s="172"/>
      <c r="BV413" s="172"/>
      <c r="BW413" s="172"/>
      <c r="BX413" s="172"/>
      <c r="BY413" s="174"/>
      <c r="BZ413" s="172"/>
      <c r="CA413" s="172"/>
      <c r="CD413" s="194"/>
      <c r="CE413" s="194"/>
      <c r="CF413" s="194"/>
      <c r="CG413" s="194"/>
      <c r="CH413" s="195"/>
      <c r="CI413" s="194"/>
      <c r="CJ413" s="194"/>
      <c r="CK413" s="194"/>
      <c r="CL413" s="196"/>
      <c r="CM413" s="196"/>
      <c r="CN413" s="194"/>
      <c r="CO413" s="197"/>
      <c r="CP413" s="196"/>
      <c r="CQ413" s="196"/>
      <c r="CR413" s="196"/>
      <c r="CS413" s="196"/>
      <c r="CT413" s="196"/>
      <c r="CU413" s="196"/>
      <c r="CV413" s="194"/>
      <c r="CW413" s="194"/>
      <c r="CX413" s="194"/>
      <c r="CY413" s="194"/>
      <c r="CZ413" s="194"/>
      <c r="DA413" s="194"/>
      <c r="DB413" s="194"/>
      <c r="DC413" s="194"/>
      <c r="DD413" s="194"/>
      <c r="DE413" s="194"/>
      <c r="DF413" s="196"/>
      <c r="DG413" s="198"/>
      <c r="DH413" s="194"/>
      <c r="DI413" s="194"/>
    </row>
    <row r="414" spans="1:113" s="24" customFormat="1" hidden="1" x14ac:dyDescent="0.3">
      <c r="A414" s="172"/>
      <c r="B414" s="172"/>
      <c r="C414" s="172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  <c r="BT414" s="172"/>
      <c r="BU414" s="172"/>
      <c r="BV414" s="172"/>
      <c r="BW414" s="172"/>
      <c r="BX414" s="172"/>
      <c r="BY414" s="174"/>
      <c r="BZ414" s="172"/>
      <c r="CA414" s="172"/>
      <c r="CD414" s="194"/>
      <c r="CE414" s="194"/>
      <c r="CF414" s="194"/>
      <c r="CG414" s="194"/>
      <c r="CH414" s="195"/>
      <c r="CI414" s="194"/>
      <c r="CJ414" s="194"/>
      <c r="CK414" s="194"/>
      <c r="CL414" s="196"/>
      <c r="CM414" s="196"/>
      <c r="CN414" s="194"/>
      <c r="CO414" s="197"/>
      <c r="CP414" s="196"/>
      <c r="CQ414" s="196"/>
      <c r="CR414" s="196"/>
      <c r="CS414" s="196"/>
      <c r="CT414" s="196"/>
      <c r="CU414" s="196"/>
      <c r="CV414" s="194"/>
      <c r="CW414" s="194"/>
      <c r="CX414" s="194"/>
      <c r="CY414" s="194"/>
      <c r="CZ414" s="194"/>
      <c r="DA414" s="194"/>
      <c r="DB414" s="194"/>
      <c r="DC414" s="194"/>
      <c r="DD414" s="194"/>
      <c r="DE414" s="194"/>
      <c r="DF414" s="196"/>
      <c r="DG414" s="198"/>
      <c r="DH414" s="194"/>
      <c r="DI414" s="194"/>
    </row>
    <row r="415" spans="1:113" s="24" customFormat="1" hidden="1" x14ac:dyDescent="0.3">
      <c r="A415" s="172"/>
      <c r="B415" s="172"/>
      <c r="C415" s="172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/>
      <c r="BW415" s="172"/>
      <c r="BX415" s="172"/>
      <c r="BY415" s="174"/>
      <c r="BZ415" s="172"/>
      <c r="CA415" s="172"/>
      <c r="CD415" s="194"/>
      <c r="CE415" s="194"/>
      <c r="CF415" s="194"/>
      <c r="CG415" s="194"/>
      <c r="CH415" s="195"/>
      <c r="CI415" s="194"/>
      <c r="CJ415" s="194"/>
      <c r="CK415" s="194"/>
      <c r="CL415" s="196"/>
      <c r="CM415" s="196"/>
      <c r="CN415" s="194"/>
      <c r="CO415" s="197"/>
      <c r="CP415" s="196"/>
      <c r="CQ415" s="196"/>
      <c r="CR415" s="196"/>
      <c r="CS415" s="196"/>
      <c r="CT415" s="196"/>
      <c r="CU415" s="196"/>
      <c r="CV415" s="194"/>
      <c r="CW415" s="194"/>
      <c r="CX415" s="194"/>
      <c r="CY415" s="194"/>
      <c r="CZ415" s="194"/>
      <c r="DA415" s="194"/>
      <c r="DB415" s="194"/>
      <c r="DC415" s="194"/>
      <c r="DD415" s="194"/>
      <c r="DE415" s="194"/>
      <c r="DF415" s="196"/>
      <c r="DG415" s="198"/>
      <c r="DH415" s="194"/>
      <c r="DI415" s="194"/>
    </row>
    <row r="416" spans="1:113" s="24" customFormat="1" hidden="1" x14ac:dyDescent="0.3">
      <c r="A416" s="172"/>
      <c r="B416" s="172"/>
      <c r="C416" s="172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4"/>
      <c r="BZ416" s="172"/>
      <c r="CA416" s="172"/>
      <c r="CD416" s="194"/>
      <c r="CE416" s="194"/>
      <c r="CF416" s="194"/>
      <c r="CG416" s="194"/>
      <c r="CH416" s="195"/>
      <c r="CI416" s="194"/>
      <c r="CJ416" s="194"/>
      <c r="CK416" s="194"/>
      <c r="CL416" s="196"/>
      <c r="CM416" s="196"/>
      <c r="CN416" s="194"/>
      <c r="CO416" s="197"/>
      <c r="CP416" s="196"/>
      <c r="CQ416" s="196"/>
      <c r="CR416" s="196"/>
      <c r="CS416" s="196"/>
      <c r="CT416" s="196"/>
      <c r="CU416" s="196"/>
      <c r="CV416" s="194"/>
      <c r="CW416" s="194"/>
      <c r="CX416" s="194"/>
      <c r="CY416" s="194"/>
      <c r="CZ416" s="194"/>
      <c r="DA416" s="194"/>
      <c r="DB416" s="194"/>
      <c r="DC416" s="194"/>
      <c r="DD416" s="194"/>
      <c r="DE416" s="194"/>
      <c r="DF416" s="196"/>
      <c r="DG416" s="198"/>
      <c r="DH416" s="194"/>
      <c r="DI416" s="194"/>
    </row>
    <row r="417" spans="1:113" s="24" customFormat="1" hidden="1" x14ac:dyDescent="0.3">
      <c r="A417" s="172"/>
      <c r="B417" s="172"/>
      <c r="C417" s="172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4"/>
      <c r="BZ417" s="172"/>
      <c r="CA417" s="172"/>
      <c r="CD417" s="194"/>
      <c r="CE417" s="194"/>
      <c r="CF417" s="194"/>
      <c r="CG417" s="194"/>
      <c r="CH417" s="195"/>
      <c r="CI417" s="194"/>
      <c r="CJ417" s="194"/>
      <c r="CK417" s="194"/>
      <c r="CL417" s="196"/>
      <c r="CM417" s="196"/>
      <c r="CN417" s="194"/>
      <c r="CO417" s="197"/>
      <c r="CP417" s="196"/>
      <c r="CQ417" s="196"/>
      <c r="CR417" s="196"/>
      <c r="CS417" s="196"/>
      <c r="CT417" s="196"/>
      <c r="CU417" s="196"/>
      <c r="CV417" s="194"/>
      <c r="CW417" s="194"/>
      <c r="CX417" s="194"/>
      <c r="CY417" s="194"/>
      <c r="CZ417" s="194"/>
      <c r="DA417" s="194"/>
      <c r="DB417" s="194"/>
      <c r="DC417" s="194"/>
      <c r="DD417" s="194"/>
      <c r="DE417" s="194"/>
      <c r="DF417" s="196"/>
      <c r="DG417" s="198"/>
      <c r="DH417" s="194"/>
      <c r="DI417" s="194"/>
    </row>
    <row r="418" spans="1:113" s="24" customFormat="1" hidden="1" x14ac:dyDescent="0.3">
      <c r="A418" s="172"/>
      <c r="B418" s="172"/>
      <c r="C418" s="172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  <c r="BT418" s="172"/>
      <c r="BU418" s="172"/>
      <c r="BV418" s="172"/>
      <c r="BW418" s="172"/>
      <c r="BX418" s="172"/>
      <c r="BY418" s="174"/>
      <c r="BZ418" s="172"/>
      <c r="CA418" s="172"/>
      <c r="CD418" s="194"/>
      <c r="CE418" s="194"/>
      <c r="CF418" s="194"/>
      <c r="CG418" s="194"/>
      <c r="CH418" s="195"/>
      <c r="CI418" s="194"/>
      <c r="CJ418" s="194"/>
      <c r="CK418" s="194"/>
      <c r="CL418" s="196"/>
      <c r="CM418" s="196"/>
      <c r="CN418" s="194"/>
      <c r="CO418" s="197"/>
      <c r="CP418" s="196"/>
      <c r="CQ418" s="196"/>
      <c r="CR418" s="196"/>
      <c r="CS418" s="196"/>
      <c r="CT418" s="196"/>
      <c r="CU418" s="196"/>
      <c r="CV418" s="194"/>
      <c r="CW418" s="194"/>
      <c r="CX418" s="194"/>
      <c r="CY418" s="194"/>
      <c r="CZ418" s="194"/>
      <c r="DA418" s="194"/>
      <c r="DB418" s="194"/>
      <c r="DC418" s="194"/>
      <c r="DD418" s="194"/>
      <c r="DE418" s="194"/>
      <c r="DF418" s="196"/>
      <c r="DG418" s="198"/>
      <c r="DH418" s="194"/>
      <c r="DI418" s="194"/>
    </row>
    <row r="419" spans="1:113" s="24" customFormat="1" hidden="1" x14ac:dyDescent="0.3">
      <c r="A419" s="172"/>
      <c r="B419" s="172"/>
      <c r="C419" s="172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  <c r="BT419" s="172"/>
      <c r="BU419" s="172"/>
      <c r="BV419" s="172"/>
      <c r="BW419" s="172"/>
      <c r="BX419" s="172"/>
      <c r="BY419" s="174"/>
      <c r="BZ419" s="172"/>
      <c r="CA419" s="172"/>
      <c r="CD419" s="194"/>
      <c r="CE419" s="194"/>
      <c r="CF419" s="194"/>
      <c r="CG419" s="194"/>
      <c r="CH419" s="195"/>
      <c r="CI419" s="194"/>
      <c r="CJ419" s="194"/>
      <c r="CK419" s="194"/>
      <c r="CL419" s="196"/>
      <c r="CM419" s="196"/>
      <c r="CN419" s="194"/>
      <c r="CO419" s="197"/>
      <c r="CP419" s="196"/>
      <c r="CQ419" s="196"/>
      <c r="CR419" s="196"/>
      <c r="CS419" s="196"/>
      <c r="CT419" s="196"/>
      <c r="CU419" s="196"/>
      <c r="CV419" s="194"/>
      <c r="CW419" s="194"/>
      <c r="CX419" s="194"/>
      <c r="CY419" s="194"/>
      <c r="CZ419" s="194"/>
      <c r="DA419" s="194"/>
      <c r="DB419" s="194"/>
      <c r="DC419" s="194"/>
      <c r="DD419" s="194"/>
      <c r="DE419" s="194"/>
      <c r="DF419" s="196"/>
      <c r="DG419" s="198"/>
      <c r="DH419" s="194"/>
      <c r="DI419" s="194"/>
    </row>
    <row r="420" spans="1:113" s="24" customFormat="1" hidden="1" x14ac:dyDescent="0.3">
      <c r="A420" s="172"/>
      <c r="B420" s="172"/>
      <c r="C420" s="172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  <c r="BT420" s="172"/>
      <c r="BU420" s="172"/>
      <c r="BV420" s="172"/>
      <c r="BW420" s="172"/>
      <c r="BX420" s="172"/>
      <c r="BY420" s="174"/>
      <c r="BZ420" s="172"/>
      <c r="CA420" s="172"/>
      <c r="CD420" s="194"/>
      <c r="CE420" s="194"/>
      <c r="CF420" s="194"/>
      <c r="CG420" s="194"/>
      <c r="CH420" s="195"/>
      <c r="CI420" s="194"/>
      <c r="CJ420" s="194"/>
      <c r="CK420" s="194"/>
      <c r="CL420" s="196"/>
      <c r="CM420" s="196"/>
      <c r="CN420" s="194"/>
      <c r="CO420" s="197"/>
      <c r="CP420" s="196"/>
      <c r="CQ420" s="196"/>
      <c r="CR420" s="196"/>
      <c r="CS420" s="196"/>
      <c r="CT420" s="196"/>
      <c r="CU420" s="196"/>
      <c r="CV420" s="194"/>
      <c r="CW420" s="194"/>
      <c r="CX420" s="194"/>
      <c r="CY420" s="194"/>
      <c r="CZ420" s="194"/>
      <c r="DA420" s="194"/>
      <c r="DB420" s="194"/>
      <c r="DC420" s="194"/>
      <c r="DD420" s="194"/>
      <c r="DE420" s="194"/>
      <c r="DF420" s="196"/>
      <c r="DG420" s="198"/>
      <c r="DH420" s="194"/>
      <c r="DI420" s="194"/>
    </row>
    <row r="421" spans="1:113" s="24" customFormat="1" hidden="1" x14ac:dyDescent="0.3">
      <c r="A421" s="172"/>
      <c r="B421" s="172"/>
      <c r="C421" s="172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4"/>
      <c r="BZ421" s="172"/>
      <c r="CA421" s="172"/>
      <c r="CD421" s="194"/>
      <c r="CE421" s="194"/>
      <c r="CF421" s="194"/>
      <c r="CG421" s="194"/>
      <c r="CH421" s="195"/>
      <c r="CI421" s="194"/>
      <c r="CJ421" s="194"/>
      <c r="CK421" s="194"/>
      <c r="CL421" s="196"/>
      <c r="CM421" s="196"/>
      <c r="CN421" s="194"/>
      <c r="CO421" s="197"/>
      <c r="CP421" s="196"/>
      <c r="CQ421" s="196"/>
      <c r="CR421" s="196"/>
      <c r="CS421" s="196"/>
      <c r="CT421" s="196"/>
      <c r="CU421" s="196"/>
      <c r="CV421" s="194"/>
      <c r="CW421" s="194"/>
      <c r="CX421" s="194"/>
      <c r="CY421" s="194"/>
      <c r="CZ421" s="194"/>
      <c r="DA421" s="194"/>
      <c r="DB421" s="194"/>
      <c r="DC421" s="194"/>
      <c r="DD421" s="194"/>
      <c r="DE421" s="194"/>
      <c r="DF421" s="196"/>
      <c r="DG421" s="198"/>
      <c r="DH421" s="194"/>
      <c r="DI421" s="194"/>
    </row>
    <row r="422" spans="1:113" s="24" customFormat="1" hidden="1" x14ac:dyDescent="0.3">
      <c r="A422" s="172"/>
      <c r="B422" s="172"/>
      <c r="C422" s="172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/>
      <c r="BX422" s="172"/>
      <c r="BY422" s="174"/>
      <c r="BZ422" s="172"/>
      <c r="CA422" s="172"/>
      <c r="CD422" s="194"/>
      <c r="CE422" s="194"/>
      <c r="CF422" s="194"/>
      <c r="CG422" s="194"/>
      <c r="CH422" s="195"/>
      <c r="CI422" s="194"/>
      <c r="CJ422" s="194"/>
      <c r="CK422" s="194"/>
      <c r="CL422" s="196"/>
      <c r="CM422" s="196"/>
      <c r="CN422" s="194"/>
      <c r="CO422" s="197"/>
      <c r="CP422" s="196"/>
      <c r="CQ422" s="196"/>
      <c r="CR422" s="196"/>
      <c r="CS422" s="196"/>
      <c r="CT422" s="196"/>
      <c r="CU422" s="196"/>
      <c r="CV422" s="194"/>
      <c r="CW422" s="194"/>
      <c r="CX422" s="194"/>
      <c r="CY422" s="194"/>
      <c r="CZ422" s="194"/>
      <c r="DA422" s="194"/>
      <c r="DB422" s="194"/>
      <c r="DC422" s="194"/>
      <c r="DD422" s="194"/>
      <c r="DE422" s="194"/>
      <c r="DF422" s="196"/>
      <c r="DG422" s="198"/>
      <c r="DH422" s="194"/>
      <c r="DI422" s="194"/>
    </row>
    <row r="423" spans="1:113" s="24" customFormat="1" hidden="1" x14ac:dyDescent="0.3">
      <c r="A423" s="172"/>
      <c r="B423" s="172"/>
      <c r="C423" s="172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  <c r="BT423" s="172"/>
      <c r="BU423" s="172"/>
      <c r="BV423" s="172"/>
      <c r="BW423" s="172"/>
      <c r="BX423" s="172"/>
      <c r="BY423" s="174"/>
      <c r="BZ423" s="172"/>
      <c r="CA423" s="172"/>
      <c r="CD423" s="194"/>
      <c r="CE423" s="194"/>
      <c r="CF423" s="194"/>
      <c r="CG423" s="194"/>
      <c r="CH423" s="195"/>
      <c r="CI423" s="194"/>
      <c r="CJ423" s="194"/>
      <c r="CK423" s="194"/>
      <c r="CL423" s="196"/>
      <c r="CM423" s="196"/>
      <c r="CN423" s="194"/>
      <c r="CO423" s="197"/>
      <c r="CP423" s="196"/>
      <c r="CQ423" s="196"/>
      <c r="CR423" s="196"/>
      <c r="CS423" s="196"/>
      <c r="CT423" s="196"/>
      <c r="CU423" s="196"/>
      <c r="CV423" s="194"/>
      <c r="CW423" s="194"/>
      <c r="CX423" s="194"/>
      <c r="CY423" s="194"/>
      <c r="CZ423" s="194"/>
      <c r="DA423" s="194"/>
      <c r="DB423" s="194"/>
      <c r="DC423" s="194"/>
      <c r="DD423" s="194"/>
      <c r="DE423" s="194"/>
      <c r="DF423" s="196"/>
      <c r="DG423" s="198"/>
      <c r="DH423" s="194"/>
      <c r="DI423" s="194"/>
    </row>
    <row r="424" spans="1:113" s="24" customFormat="1" hidden="1" x14ac:dyDescent="0.3">
      <c r="A424" s="172"/>
      <c r="B424" s="172"/>
      <c r="C424" s="172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  <c r="BT424" s="172"/>
      <c r="BU424" s="172"/>
      <c r="BV424" s="172"/>
      <c r="BW424" s="172"/>
      <c r="BX424" s="172"/>
      <c r="BY424" s="174"/>
      <c r="BZ424" s="172"/>
      <c r="CA424" s="172"/>
      <c r="CD424" s="194"/>
      <c r="CE424" s="194"/>
      <c r="CF424" s="194"/>
      <c r="CG424" s="194"/>
      <c r="CH424" s="195"/>
      <c r="CI424" s="194"/>
      <c r="CJ424" s="194"/>
      <c r="CK424" s="194"/>
      <c r="CL424" s="196"/>
      <c r="CM424" s="196"/>
      <c r="CN424" s="194"/>
      <c r="CO424" s="197"/>
      <c r="CP424" s="196"/>
      <c r="CQ424" s="196"/>
      <c r="CR424" s="196"/>
      <c r="CS424" s="196"/>
      <c r="CT424" s="196"/>
      <c r="CU424" s="196"/>
      <c r="CV424" s="194"/>
      <c r="CW424" s="194"/>
      <c r="CX424" s="194"/>
      <c r="CY424" s="194"/>
      <c r="CZ424" s="194"/>
      <c r="DA424" s="194"/>
      <c r="DB424" s="194"/>
      <c r="DC424" s="194"/>
      <c r="DD424" s="194"/>
      <c r="DE424" s="194"/>
      <c r="DF424" s="196"/>
      <c r="DG424" s="198"/>
      <c r="DH424" s="194"/>
      <c r="DI424" s="194"/>
    </row>
    <row r="425" spans="1:113" s="24" customFormat="1" hidden="1" x14ac:dyDescent="0.3">
      <c r="A425" s="172"/>
      <c r="B425" s="172"/>
      <c r="C425" s="172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  <c r="BT425" s="172"/>
      <c r="BU425" s="172"/>
      <c r="BV425" s="172"/>
      <c r="BW425" s="172"/>
      <c r="BX425" s="172"/>
      <c r="BY425" s="174"/>
      <c r="BZ425" s="172"/>
      <c r="CA425" s="172"/>
      <c r="CD425" s="194"/>
      <c r="CE425" s="194"/>
      <c r="CF425" s="194"/>
      <c r="CG425" s="194"/>
      <c r="CH425" s="195"/>
      <c r="CI425" s="194"/>
      <c r="CJ425" s="194"/>
      <c r="CK425" s="194"/>
      <c r="CL425" s="196"/>
      <c r="CM425" s="196"/>
      <c r="CN425" s="194"/>
      <c r="CO425" s="197"/>
      <c r="CP425" s="196"/>
      <c r="CQ425" s="196"/>
      <c r="CR425" s="196"/>
      <c r="CS425" s="196"/>
      <c r="CT425" s="196"/>
      <c r="CU425" s="196"/>
      <c r="CV425" s="194"/>
      <c r="CW425" s="194"/>
      <c r="CX425" s="194"/>
      <c r="CY425" s="194"/>
      <c r="CZ425" s="194"/>
      <c r="DA425" s="194"/>
      <c r="DB425" s="194"/>
      <c r="DC425" s="194"/>
      <c r="DD425" s="194"/>
      <c r="DE425" s="194"/>
      <c r="DF425" s="196"/>
      <c r="DG425" s="198"/>
      <c r="DH425" s="194"/>
      <c r="DI425" s="194"/>
    </row>
    <row r="426" spans="1:113" s="24" customFormat="1" hidden="1" x14ac:dyDescent="0.3">
      <c r="A426" s="172"/>
      <c r="B426" s="172"/>
      <c r="C426" s="172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  <c r="BT426" s="172"/>
      <c r="BU426" s="172"/>
      <c r="BV426" s="172"/>
      <c r="BW426" s="172"/>
      <c r="BX426" s="172"/>
      <c r="BY426" s="174"/>
      <c r="BZ426" s="172"/>
      <c r="CA426" s="172"/>
      <c r="CD426" s="194"/>
      <c r="CE426" s="194"/>
      <c r="CF426" s="194"/>
      <c r="CG426" s="194"/>
      <c r="CH426" s="195"/>
      <c r="CI426" s="194"/>
      <c r="CJ426" s="194"/>
      <c r="CK426" s="194"/>
      <c r="CL426" s="196"/>
      <c r="CM426" s="196"/>
      <c r="CN426" s="194"/>
      <c r="CO426" s="197"/>
      <c r="CP426" s="196"/>
      <c r="CQ426" s="196"/>
      <c r="CR426" s="196"/>
      <c r="CS426" s="196"/>
      <c r="CT426" s="196"/>
      <c r="CU426" s="196"/>
      <c r="CV426" s="194"/>
      <c r="CW426" s="194"/>
      <c r="CX426" s="194"/>
      <c r="CY426" s="194"/>
      <c r="CZ426" s="194"/>
      <c r="DA426" s="194"/>
      <c r="DB426" s="194"/>
      <c r="DC426" s="194"/>
      <c r="DD426" s="194"/>
      <c r="DE426" s="194"/>
      <c r="DF426" s="196"/>
      <c r="DG426" s="198"/>
      <c r="DH426" s="194"/>
      <c r="DI426" s="194"/>
    </row>
    <row r="427" spans="1:113" s="24" customFormat="1" hidden="1" x14ac:dyDescent="0.3">
      <c r="A427" s="172"/>
      <c r="B427" s="172"/>
      <c r="C427" s="172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  <c r="BT427" s="172"/>
      <c r="BU427" s="172"/>
      <c r="BV427" s="172"/>
      <c r="BW427" s="172"/>
      <c r="BX427" s="172"/>
      <c r="BY427" s="174"/>
      <c r="BZ427" s="172"/>
      <c r="CA427" s="172"/>
      <c r="CD427" s="194"/>
      <c r="CE427" s="194"/>
      <c r="CF427" s="194"/>
      <c r="CG427" s="194"/>
      <c r="CH427" s="195"/>
      <c r="CI427" s="194"/>
      <c r="CJ427" s="194"/>
      <c r="CK427" s="194"/>
      <c r="CL427" s="196"/>
      <c r="CM427" s="196"/>
      <c r="CN427" s="194"/>
      <c r="CO427" s="197"/>
      <c r="CP427" s="196"/>
      <c r="CQ427" s="196"/>
      <c r="CR427" s="196"/>
      <c r="CS427" s="196"/>
      <c r="CT427" s="196"/>
      <c r="CU427" s="196"/>
      <c r="CV427" s="194"/>
      <c r="CW427" s="194"/>
      <c r="CX427" s="194"/>
      <c r="CY427" s="194"/>
      <c r="CZ427" s="194"/>
      <c r="DA427" s="194"/>
      <c r="DB427" s="194"/>
      <c r="DC427" s="194"/>
      <c r="DD427" s="194"/>
      <c r="DE427" s="194"/>
      <c r="DF427" s="196"/>
      <c r="DG427" s="198"/>
      <c r="DH427" s="194"/>
      <c r="DI427" s="194"/>
    </row>
    <row r="428" spans="1:113" s="24" customFormat="1" hidden="1" x14ac:dyDescent="0.3">
      <c r="A428" s="172"/>
      <c r="B428" s="172"/>
      <c r="C428" s="172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  <c r="BT428" s="172"/>
      <c r="BU428" s="172"/>
      <c r="BV428" s="172"/>
      <c r="BW428" s="172"/>
      <c r="BX428" s="172"/>
      <c r="BY428" s="174"/>
      <c r="BZ428" s="172"/>
      <c r="CA428" s="172"/>
      <c r="CD428" s="194"/>
      <c r="CE428" s="194"/>
      <c r="CF428" s="194"/>
      <c r="CG428" s="194"/>
      <c r="CH428" s="195"/>
      <c r="CI428" s="194"/>
      <c r="CJ428" s="194"/>
      <c r="CK428" s="194"/>
      <c r="CL428" s="196"/>
      <c r="CM428" s="196"/>
      <c r="CN428" s="194"/>
      <c r="CO428" s="197"/>
      <c r="CP428" s="196"/>
      <c r="CQ428" s="196"/>
      <c r="CR428" s="196"/>
      <c r="CS428" s="196"/>
      <c r="CT428" s="196"/>
      <c r="CU428" s="196"/>
      <c r="CV428" s="194"/>
      <c r="CW428" s="194"/>
      <c r="CX428" s="194"/>
      <c r="CY428" s="194"/>
      <c r="CZ428" s="194"/>
      <c r="DA428" s="194"/>
      <c r="DB428" s="194"/>
      <c r="DC428" s="194"/>
      <c r="DD428" s="194"/>
      <c r="DE428" s="194"/>
      <c r="DF428" s="196"/>
      <c r="DG428" s="198"/>
      <c r="DH428" s="194"/>
      <c r="DI428" s="194"/>
    </row>
    <row r="429" spans="1:113" s="24" customFormat="1" hidden="1" x14ac:dyDescent="0.3">
      <c r="A429" s="172"/>
      <c r="B429" s="172"/>
      <c r="C429" s="172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  <c r="BT429" s="172"/>
      <c r="BU429" s="172"/>
      <c r="BV429" s="172"/>
      <c r="BW429" s="172"/>
      <c r="BX429" s="172"/>
      <c r="BY429" s="174"/>
      <c r="BZ429" s="172"/>
      <c r="CA429" s="172"/>
      <c r="CD429" s="194"/>
      <c r="CE429" s="194"/>
      <c r="CF429" s="194"/>
      <c r="CG429" s="194"/>
      <c r="CH429" s="195"/>
      <c r="CI429" s="194"/>
      <c r="CJ429" s="194"/>
      <c r="CK429" s="194"/>
      <c r="CL429" s="196"/>
      <c r="CM429" s="196"/>
      <c r="CN429" s="194"/>
      <c r="CO429" s="197"/>
      <c r="CP429" s="196"/>
      <c r="CQ429" s="196"/>
      <c r="CR429" s="196"/>
      <c r="CS429" s="196"/>
      <c r="CT429" s="196"/>
      <c r="CU429" s="196"/>
      <c r="CV429" s="194"/>
      <c r="CW429" s="194"/>
      <c r="CX429" s="194"/>
      <c r="CY429" s="194"/>
      <c r="CZ429" s="194"/>
      <c r="DA429" s="194"/>
      <c r="DB429" s="194"/>
      <c r="DC429" s="194"/>
      <c r="DD429" s="194"/>
      <c r="DE429" s="194"/>
      <c r="DF429" s="196"/>
      <c r="DG429" s="198"/>
      <c r="DH429" s="194"/>
      <c r="DI429" s="194"/>
    </row>
    <row r="430" spans="1:113" s="24" customFormat="1" hidden="1" x14ac:dyDescent="0.3">
      <c r="A430" s="172"/>
      <c r="B430" s="172"/>
      <c r="C430" s="172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  <c r="BT430" s="172"/>
      <c r="BU430" s="172"/>
      <c r="BV430" s="172"/>
      <c r="BW430" s="172"/>
      <c r="BX430" s="172"/>
      <c r="BY430" s="174"/>
      <c r="BZ430" s="172"/>
      <c r="CA430" s="172"/>
      <c r="CD430" s="194"/>
      <c r="CE430" s="194"/>
      <c r="CF430" s="194"/>
      <c r="CG430" s="194"/>
      <c r="CH430" s="195"/>
      <c r="CI430" s="194"/>
      <c r="CJ430" s="194"/>
      <c r="CK430" s="194"/>
      <c r="CL430" s="196"/>
      <c r="CM430" s="196"/>
      <c r="CN430" s="194"/>
      <c r="CO430" s="197"/>
      <c r="CP430" s="196"/>
      <c r="CQ430" s="196"/>
      <c r="CR430" s="196"/>
      <c r="CS430" s="196"/>
      <c r="CT430" s="196"/>
      <c r="CU430" s="196"/>
      <c r="CV430" s="194"/>
      <c r="CW430" s="194"/>
      <c r="CX430" s="194"/>
      <c r="CY430" s="194"/>
      <c r="CZ430" s="194"/>
      <c r="DA430" s="194"/>
      <c r="DB430" s="194"/>
      <c r="DC430" s="194"/>
      <c r="DD430" s="194"/>
      <c r="DE430" s="194"/>
      <c r="DF430" s="196"/>
      <c r="DG430" s="198"/>
      <c r="DH430" s="194"/>
      <c r="DI430" s="194"/>
    </row>
    <row r="431" spans="1:113" s="24" customFormat="1" hidden="1" x14ac:dyDescent="0.3">
      <c r="A431" s="172"/>
      <c r="B431" s="172"/>
      <c r="C431" s="172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  <c r="BT431" s="172"/>
      <c r="BU431" s="172"/>
      <c r="BV431" s="172"/>
      <c r="BW431" s="172"/>
      <c r="BX431" s="172"/>
      <c r="BY431" s="174"/>
      <c r="BZ431" s="172"/>
      <c r="CA431" s="172"/>
      <c r="CD431" s="194"/>
      <c r="CE431" s="194"/>
      <c r="CF431" s="194"/>
      <c r="CG431" s="194"/>
      <c r="CH431" s="195"/>
      <c r="CI431" s="194"/>
      <c r="CJ431" s="194"/>
      <c r="CK431" s="194"/>
      <c r="CL431" s="196"/>
      <c r="CM431" s="196"/>
      <c r="CN431" s="194"/>
      <c r="CO431" s="197"/>
      <c r="CP431" s="196"/>
      <c r="CQ431" s="196"/>
      <c r="CR431" s="196"/>
      <c r="CS431" s="196"/>
      <c r="CT431" s="196"/>
      <c r="CU431" s="196"/>
      <c r="CV431" s="194"/>
      <c r="CW431" s="194"/>
      <c r="CX431" s="194"/>
      <c r="CY431" s="194"/>
      <c r="CZ431" s="194"/>
      <c r="DA431" s="194"/>
      <c r="DB431" s="194"/>
      <c r="DC431" s="194"/>
      <c r="DD431" s="194"/>
      <c r="DE431" s="194"/>
      <c r="DF431" s="196"/>
      <c r="DG431" s="198"/>
      <c r="DH431" s="194"/>
      <c r="DI431" s="194"/>
    </row>
    <row r="432" spans="1:113" s="24" customFormat="1" hidden="1" x14ac:dyDescent="0.3">
      <c r="A432" s="172"/>
      <c r="B432" s="172"/>
      <c r="C432" s="172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  <c r="BT432" s="172"/>
      <c r="BU432" s="172"/>
      <c r="BV432" s="172"/>
      <c r="BW432" s="172"/>
      <c r="BX432" s="172"/>
      <c r="BY432" s="174"/>
      <c r="BZ432" s="172"/>
      <c r="CA432" s="172"/>
      <c r="CD432" s="194"/>
      <c r="CE432" s="194"/>
      <c r="CF432" s="194"/>
      <c r="CG432" s="194"/>
      <c r="CH432" s="195"/>
      <c r="CI432" s="194"/>
      <c r="CJ432" s="194"/>
      <c r="CK432" s="194"/>
      <c r="CL432" s="196"/>
      <c r="CM432" s="196"/>
      <c r="CN432" s="194"/>
      <c r="CO432" s="197"/>
      <c r="CP432" s="196"/>
      <c r="CQ432" s="196"/>
      <c r="CR432" s="196"/>
      <c r="CS432" s="196"/>
      <c r="CT432" s="196"/>
      <c r="CU432" s="196"/>
      <c r="CV432" s="194"/>
      <c r="CW432" s="194"/>
      <c r="CX432" s="194"/>
      <c r="CY432" s="194"/>
      <c r="CZ432" s="194"/>
      <c r="DA432" s="194"/>
      <c r="DB432" s="194"/>
      <c r="DC432" s="194"/>
      <c r="DD432" s="194"/>
      <c r="DE432" s="194"/>
      <c r="DF432" s="196"/>
      <c r="DG432" s="198"/>
      <c r="DH432" s="194"/>
      <c r="DI432" s="194"/>
    </row>
    <row r="433" spans="1:113" s="24" customFormat="1" hidden="1" x14ac:dyDescent="0.3">
      <c r="A433" s="172"/>
      <c r="B433" s="172"/>
      <c r="C433" s="172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/>
      <c r="BW433" s="172"/>
      <c r="BX433" s="172"/>
      <c r="BY433" s="174"/>
      <c r="BZ433" s="172"/>
      <c r="CA433" s="172"/>
      <c r="CD433" s="194"/>
      <c r="CE433" s="194"/>
      <c r="CF433" s="194"/>
      <c r="CG433" s="194"/>
      <c r="CH433" s="195"/>
      <c r="CI433" s="194"/>
      <c r="CJ433" s="194"/>
      <c r="CK433" s="194"/>
      <c r="CL433" s="196"/>
      <c r="CM433" s="196"/>
      <c r="CN433" s="194"/>
      <c r="CO433" s="197"/>
      <c r="CP433" s="196"/>
      <c r="CQ433" s="196"/>
      <c r="CR433" s="196"/>
      <c r="CS433" s="196"/>
      <c r="CT433" s="196"/>
      <c r="CU433" s="196"/>
      <c r="CV433" s="194"/>
      <c r="CW433" s="194"/>
      <c r="CX433" s="194"/>
      <c r="CY433" s="194"/>
      <c r="CZ433" s="194"/>
      <c r="DA433" s="194"/>
      <c r="DB433" s="194"/>
      <c r="DC433" s="194"/>
      <c r="DD433" s="194"/>
      <c r="DE433" s="194"/>
      <c r="DF433" s="196"/>
      <c r="DG433" s="198"/>
      <c r="DH433" s="194"/>
      <c r="DI433" s="194"/>
    </row>
    <row r="434" spans="1:113" s="24" customFormat="1" hidden="1" x14ac:dyDescent="0.3">
      <c r="A434" s="172"/>
      <c r="B434" s="172"/>
      <c r="C434" s="172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2"/>
      <c r="BV434" s="172"/>
      <c r="BW434" s="172"/>
      <c r="BX434" s="172"/>
      <c r="BY434" s="174"/>
      <c r="BZ434" s="172"/>
      <c r="CA434" s="172"/>
      <c r="CD434" s="194"/>
      <c r="CE434" s="194"/>
      <c r="CF434" s="194"/>
      <c r="CG434" s="194"/>
      <c r="CH434" s="195"/>
      <c r="CI434" s="194"/>
      <c r="CJ434" s="194"/>
      <c r="CK434" s="194"/>
      <c r="CL434" s="196"/>
      <c r="CM434" s="196"/>
      <c r="CN434" s="194"/>
      <c r="CO434" s="197"/>
      <c r="CP434" s="196"/>
      <c r="CQ434" s="196"/>
      <c r="CR434" s="196"/>
      <c r="CS434" s="196"/>
      <c r="CT434" s="196"/>
      <c r="CU434" s="196"/>
      <c r="CV434" s="194"/>
      <c r="CW434" s="194"/>
      <c r="CX434" s="194"/>
      <c r="CY434" s="194"/>
      <c r="CZ434" s="194"/>
      <c r="DA434" s="194"/>
      <c r="DB434" s="194"/>
      <c r="DC434" s="194"/>
      <c r="DD434" s="194"/>
      <c r="DE434" s="194"/>
      <c r="DF434" s="196"/>
      <c r="DG434" s="198"/>
      <c r="DH434" s="194"/>
      <c r="DI434" s="194"/>
    </row>
    <row r="435" spans="1:113" s="24" customFormat="1" hidden="1" x14ac:dyDescent="0.3">
      <c r="A435" s="172"/>
      <c r="B435" s="172"/>
      <c r="C435" s="172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  <c r="BT435" s="172"/>
      <c r="BU435" s="172"/>
      <c r="BV435" s="172"/>
      <c r="BW435" s="172"/>
      <c r="BX435" s="172"/>
      <c r="BY435" s="174"/>
      <c r="BZ435" s="172"/>
      <c r="CA435" s="172"/>
      <c r="CD435" s="194"/>
      <c r="CE435" s="194"/>
      <c r="CF435" s="194"/>
      <c r="CG435" s="194"/>
      <c r="CH435" s="195"/>
      <c r="CI435" s="194"/>
      <c r="CJ435" s="194"/>
      <c r="CK435" s="194"/>
      <c r="CL435" s="196"/>
      <c r="CM435" s="196"/>
      <c r="CN435" s="194"/>
      <c r="CO435" s="197"/>
      <c r="CP435" s="196"/>
      <c r="CQ435" s="196"/>
      <c r="CR435" s="196"/>
      <c r="CS435" s="196"/>
      <c r="CT435" s="196"/>
      <c r="CU435" s="196"/>
      <c r="CV435" s="194"/>
      <c r="CW435" s="194"/>
      <c r="CX435" s="194"/>
      <c r="CY435" s="194"/>
      <c r="CZ435" s="194"/>
      <c r="DA435" s="194"/>
      <c r="DB435" s="194"/>
      <c r="DC435" s="194"/>
      <c r="DD435" s="194"/>
      <c r="DE435" s="194"/>
      <c r="DF435" s="196"/>
      <c r="DG435" s="198"/>
      <c r="DH435" s="194"/>
      <c r="DI435" s="194"/>
    </row>
    <row r="436" spans="1:113" s="24" customFormat="1" hidden="1" x14ac:dyDescent="0.3">
      <c r="A436" s="172"/>
      <c r="B436" s="172"/>
      <c r="C436" s="172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2"/>
      <c r="BV436" s="172"/>
      <c r="BW436" s="172"/>
      <c r="BX436" s="172"/>
      <c r="BY436" s="174"/>
      <c r="BZ436" s="172"/>
      <c r="CA436" s="172"/>
      <c r="CD436" s="194"/>
      <c r="CE436" s="194"/>
      <c r="CF436" s="194"/>
      <c r="CG436" s="194"/>
      <c r="CH436" s="195"/>
      <c r="CI436" s="194"/>
      <c r="CJ436" s="194"/>
      <c r="CK436" s="194"/>
      <c r="CL436" s="196"/>
      <c r="CM436" s="196"/>
      <c r="CN436" s="194"/>
      <c r="CO436" s="197"/>
      <c r="CP436" s="196"/>
      <c r="CQ436" s="196"/>
      <c r="CR436" s="196"/>
      <c r="CS436" s="196"/>
      <c r="CT436" s="196"/>
      <c r="CU436" s="196"/>
      <c r="CV436" s="194"/>
      <c r="CW436" s="194"/>
      <c r="CX436" s="194"/>
      <c r="CY436" s="194"/>
      <c r="CZ436" s="194"/>
      <c r="DA436" s="194"/>
      <c r="DB436" s="194"/>
      <c r="DC436" s="194"/>
      <c r="DD436" s="194"/>
      <c r="DE436" s="194"/>
      <c r="DF436" s="196"/>
      <c r="DG436" s="198"/>
      <c r="DH436" s="194"/>
      <c r="DI436" s="194"/>
    </row>
    <row r="437" spans="1:113" s="24" customFormat="1" hidden="1" x14ac:dyDescent="0.3">
      <c r="A437" s="172"/>
      <c r="B437" s="172"/>
      <c r="C437" s="172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2"/>
      <c r="BV437" s="172"/>
      <c r="BW437" s="172"/>
      <c r="BX437" s="172"/>
      <c r="BY437" s="174"/>
      <c r="BZ437" s="172"/>
      <c r="CA437" s="172"/>
      <c r="CD437" s="194"/>
      <c r="CE437" s="194"/>
      <c r="CF437" s="194"/>
      <c r="CG437" s="194"/>
      <c r="CH437" s="195"/>
      <c r="CI437" s="194"/>
      <c r="CJ437" s="194"/>
      <c r="CK437" s="194"/>
      <c r="CL437" s="196"/>
      <c r="CM437" s="196"/>
      <c r="CN437" s="194"/>
      <c r="CO437" s="197"/>
      <c r="CP437" s="196"/>
      <c r="CQ437" s="196"/>
      <c r="CR437" s="196"/>
      <c r="CS437" s="196"/>
      <c r="CT437" s="196"/>
      <c r="CU437" s="196"/>
      <c r="CV437" s="194"/>
      <c r="CW437" s="194"/>
      <c r="CX437" s="194"/>
      <c r="CY437" s="194"/>
      <c r="CZ437" s="194"/>
      <c r="DA437" s="194"/>
      <c r="DB437" s="194"/>
      <c r="DC437" s="194"/>
      <c r="DD437" s="194"/>
      <c r="DE437" s="194"/>
      <c r="DF437" s="196"/>
      <c r="DG437" s="198"/>
      <c r="DH437" s="194"/>
      <c r="DI437" s="194"/>
    </row>
    <row r="438" spans="1:113" s="24" customFormat="1" hidden="1" x14ac:dyDescent="0.3">
      <c r="A438" s="172"/>
      <c r="B438" s="172"/>
      <c r="C438" s="172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4"/>
      <c r="BZ438" s="172"/>
      <c r="CA438" s="172"/>
      <c r="CD438" s="194"/>
      <c r="CE438" s="194"/>
      <c r="CF438" s="194"/>
      <c r="CG438" s="194"/>
      <c r="CH438" s="195"/>
      <c r="CI438" s="194"/>
      <c r="CJ438" s="194"/>
      <c r="CK438" s="194"/>
      <c r="CL438" s="196"/>
      <c r="CM438" s="196"/>
      <c r="CN438" s="194"/>
      <c r="CO438" s="197"/>
      <c r="CP438" s="196"/>
      <c r="CQ438" s="196"/>
      <c r="CR438" s="196"/>
      <c r="CS438" s="196"/>
      <c r="CT438" s="196"/>
      <c r="CU438" s="196"/>
      <c r="CV438" s="194"/>
      <c r="CW438" s="194"/>
      <c r="CX438" s="194"/>
      <c r="CY438" s="194"/>
      <c r="CZ438" s="194"/>
      <c r="DA438" s="194"/>
      <c r="DB438" s="194"/>
      <c r="DC438" s="194"/>
      <c r="DD438" s="194"/>
      <c r="DE438" s="194"/>
      <c r="DF438" s="196"/>
      <c r="DG438" s="198"/>
      <c r="DH438" s="194"/>
      <c r="DI438" s="194"/>
    </row>
    <row r="439" spans="1:113" s="24" customFormat="1" hidden="1" x14ac:dyDescent="0.3">
      <c r="A439" s="172"/>
      <c r="B439" s="172"/>
      <c r="C439" s="172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  <c r="BT439" s="172"/>
      <c r="BU439" s="172"/>
      <c r="BV439" s="172"/>
      <c r="BW439" s="172"/>
      <c r="BX439" s="172"/>
      <c r="BY439" s="174"/>
      <c r="BZ439" s="172"/>
      <c r="CA439" s="172"/>
      <c r="CD439" s="194"/>
      <c r="CE439" s="194"/>
      <c r="CF439" s="194"/>
      <c r="CG439" s="194"/>
      <c r="CH439" s="195"/>
      <c r="CI439" s="194"/>
      <c r="CJ439" s="194"/>
      <c r="CK439" s="194"/>
      <c r="CL439" s="196"/>
      <c r="CM439" s="196"/>
      <c r="CN439" s="194"/>
      <c r="CO439" s="197"/>
      <c r="CP439" s="196"/>
      <c r="CQ439" s="196"/>
      <c r="CR439" s="196"/>
      <c r="CS439" s="196"/>
      <c r="CT439" s="196"/>
      <c r="CU439" s="196"/>
      <c r="CV439" s="194"/>
      <c r="CW439" s="194"/>
      <c r="CX439" s="194"/>
      <c r="CY439" s="194"/>
      <c r="CZ439" s="194"/>
      <c r="DA439" s="194"/>
      <c r="DB439" s="194"/>
      <c r="DC439" s="194"/>
      <c r="DD439" s="194"/>
      <c r="DE439" s="194"/>
      <c r="DF439" s="196"/>
      <c r="DG439" s="198"/>
      <c r="DH439" s="194"/>
      <c r="DI439" s="194"/>
    </row>
    <row r="440" spans="1:113" s="24" customFormat="1" hidden="1" x14ac:dyDescent="0.3">
      <c r="A440" s="172"/>
      <c r="B440" s="172"/>
      <c r="C440" s="172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4"/>
      <c r="BZ440" s="172"/>
      <c r="CA440" s="172"/>
      <c r="CD440" s="194"/>
      <c r="CE440" s="194"/>
      <c r="CF440" s="194"/>
      <c r="CG440" s="194"/>
      <c r="CH440" s="195"/>
      <c r="CI440" s="194"/>
      <c r="CJ440" s="194"/>
      <c r="CK440" s="194"/>
      <c r="CL440" s="196"/>
      <c r="CM440" s="196"/>
      <c r="CN440" s="194"/>
      <c r="CO440" s="197"/>
      <c r="CP440" s="196"/>
      <c r="CQ440" s="196"/>
      <c r="CR440" s="196"/>
      <c r="CS440" s="196"/>
      <c r="CT440" s="196"/>
      <c r="CU440" s="196"/>
      <c r="CV440" s="194"/>
      <c r="CW440" s="194"/>
      <c r="CX440" s="194"/>
      <c r="CY440" s="194"/>
      <c r="CZ440" s="194"/>
      <c r="DA440" s="194"/>
      <c r="DB440" s="194"/>
      <c r="DC440" s="194"/>
      <c r="DD440" s="194"/>
      <c r="DE440" s="194"/>
      <c r="DF440" s="196"/>
      <c r="DG440" s="198"/>
      <c r="DH440" s="194"/>
      <c r="DI440" s="194"/>
    </row>
    <row r="441" spans="1:113" s="24" customFormat="1" hidden="1" x14ac:dyDescent="0.3">
      <c r="A441" s="172"/>
      <c r="B441" s="172"/>
      <c r="C441" s="172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4"/>
      <c r="BZ441" s="172"/>
      <c r="CA441" s="172"/>
      <c r="CD441" s="194"/>
      <c r="CE441" s="194"/>
      <c r="CF441" s="194"/>
      <c r="CG441" s="194"/>
      <c r="CH441" s="195"/>
      <c r="CI441" s="194"/>
      <c r="CJ441" s="194"/>
      <c r="CK441" s="194"/>
      <c r="CL441" s="196"/>
      <c r="CM441" s="196"/>
      <c r="CN441" s="194"/>
      <c r="CO441" s="197"/>
      <c r="CP441" s="196"/>
      <c r="CQ441" s="196"/>
      <c r="CR441" s="196"/>
      <c r="CS441" s="196"/>
      <c r="CT441" s="196"/>
      <c r="CU441" s="196"/>
      <c r="CV441" s="194"/>
      <c r="CW441" s="194"/>
      <c r="CX441" s="194"/>
      <c r="CY441" s="194"/>
      <c r="CZ441" s="194"/>
      <c r="DA441" s="194"/>
      <c r="DB441" s="194"/>
      <c r="DC441" s="194"/>
      <c r="DD441" s="194"/>
      <c r="DE441" s="194"/>
      <c r="DF441" s="196"/>
      <c r="DG441" s="198"/>
      <c r="DH441" s="194"/>
      <c r="DI441" s="194"/>
    </row>
    <row r="442" spans="1:113" s="24" customFormat="1" hidden="1" x14ac:dyDescent="0.3">
      <c r="A442" s="172"/>
      <c r="B442" s="172"/>
      <c r="C442" s="172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  <c r="BT442" s="172"/>
      <c r="BU442" s="172"/>
      <c r="BV442" s="172"/>
      <c r="BW442" s="172"/>
      <c r="BX442" s="172"/>
      <c r="BY442" s="174"/>
      <c r="BZ442" s="172"/>
      <c r="CA442" s="172"/>
      <c r="CD442" s="194"/>
      <c r="CE442" s="194"/>
      <c r="CF442" s="194"/>
      <c r="CG442" s="194"/>
      <c r="CH442" s="195"/>
      <c r="CI442" s="194"/>
      <c r="CJ442" s="194"/>
      <c r="CK442" s="194"/>
      <c r="CL442" s="196"/>
      <c r="CM442" s="196"/>
      <c r="CN442" s="194"/>
      <c r="CO442" s="197"/>
      <c r="CP442" s="196"/>
      <c r="CQ442" s="196"/>
      <c r="CR442" s="196"/>
      <c r="CS442" s="196"/>
      <c r="CT442" s="196"/>
      <c r="CU442" s="196"/>
      <c r="CV442" s="194"/>
      <c r="CW442" s="194"/>
      <c r="CX442" s="194"/>
      <c r="CY442" s="194"/>
      <c r="CZ442" s="194"/>
      <c r="DA442" s="194"/>
      <c r="DB442" s="194"/>
      <c r="DC442" s="194"/>
      <c r="DD442" s="194"/>
      <c r="DE442" s="194"/>
      <c r="DF442" s="196"/>
      <c r="DG442" s="198"/>
      <c r="DH442" s="194"/>
      <c r="DI442" s="194"/>
    </row>
    <row r="443" spans="1:113" s="24" customFormat="1" hidden="1" x14ac:dyDescent="0.3">
      <c r="A443" s="172"/>
      <c r="B443" s="172"/>
      <c r="C443" s="172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  <c r="BT443" s="172"/>
      <c r="BU443" s="172"/>
      <c r="BV443" s="172"/>
      <c r="BW443" s="172"/>
      <c r="BX443" s="172"/>
      <c r="BY443" s="174"/>
      <c r="BZ443" s="172"/>
      <c r="CA443" s="172"/>
      <c r="CD443" s="194"/>
      <c r="CE443" s="194"/>
      <c r="CF443" s="194"/>
      <c r="CG443" s="194"/>
      <c r="CH443" s="195"/>
      <c r="CI443" s="194"/>
      <c r="CJ443" s="194"/>
      <c r="CK443" s="194"/>
      <c r="CL443" s="196"/>
      <c r="CM443" s="196"/>
      <c r="CN443" s="194"/>
      <c r="CO443" s="197"/>
      <c r="CP443" s="196"/>
      <c r="CQ443" s="196"/>
      <c r="CR443" s="196"/>
      <c r="CS443" s="196"/>
      <c r="CT443" s="196"/>
      <c r="CU443" s="196"/>
      <c r="CV443" s="194"/>
      <c r="CW443" s="194"/>
      <c r="CX443" s="194"/>
      <c r="CY443" s="194"/>
      <c r="CZ443" s="194"/>
      <c r="DA443" s="194"/>
      <c r="DB443" s="194"/>
      <c r="DC443" s="194"/>
      <c r="DD443" s="194"/>
      <c r="DE443" s="194"/>
      <c r="DF443" s="196"/>
      <c r="DG443" s="198"/>
      <c r="DH443" s="194"/>
      <c r="DI443" s="194"/>
    </row>
    <row r="444" spans="1:113" s="24" customFormat="1" hidden="1" x14ac:dyDescent="0.3">
      <c r="A444" s="172"/>
      <c r="B444" s="172"/>
      <c r="C444" s="172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/>
      <c r="BX444" s="172"/>
      <c r="BY444" s="174"/>
      <c r="BZ444" s="172"/>
      <c r="CA444" s="172"/>
      <c r="CD444" s="194"/>
      <c r="CE444" s="194"/>
      <c r="CF444" s="194"/>
      <c r="CG444" s="194"/>
      <c r="CH444" s="195"/>
      <c r="CI444" s="194"/>
      <c r="CJ444" s="194"/>
      <c r="CK444" s="194"/>
      <c r="CL444" s="196"/>
      <c r="CM444" s="196"/>
      <c r="CN444" s="194"/>
      <c r="CO444" s="197"/>
      <c r="CP444" s="196"/>
      <c r="CQ444" s="196"/>
      <c r="CR444" s="196"/>
      <c r="CS444" s="196"/>
      <c r="CT444" s="196"/>
      <c r="CU444" s="196"/>
      <c r="CV444" s="194"/>
      <c r="CW444" s="194"/>
      <c r="CX444" s="194"/>
      <c r="CY444" s="194"/>
      <c r="CZ444" s="194"/>
      <c r="DA444" s="194"/>
      <c r="DB444" s="194"/>
      <c r="DC444" s="194"/>
      <c r="DD444" s="194"/>
      <c r="DE444" s="194"/>
      <c r="DF444" s="196"/>
      <c r="DG444" s="198"/>
      <c r="DH444" s="194"/>
      <c r="DI444" s="194"/>
    </row>
    <row r="445" spans="1:113" s="24" customFormat="1" hidden="1" x14ac:dyDescent="0.3">
      <c r="A445" s="172"/>
      <c r="B445" s="172"/>
      <c r="C445" s="172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  <c r="BT445" s="172"/>
      <c r="BU445" s="172"/>
      <c r="BV445" s="172"/>
      <c r="BW445" s="172"/>
      <c r="BX445" s="172"/>
      <c r="BY445" s="174"/>
      <c r="BZ445" s="172"/>
      <c r="CA445" s="172"/>
      <c r="CD445" s="194"/>
      <c r="CE445" s="194"/>
      <c r="CF445" s="194"/>
      <c r="CG445" s="194"/>
      <c r="CH445" s="195"/>
      <c r="CI445" s="194"/>
      <c r="CJ445" s="194"/>
      <c r="CK445" s="194"/>
      <c r="CL445" s="196"/>
      <c r="CM445" s="196"/>
      <c r="CN445" s="194"/>
      <c r="CO445" s="197"/>
      <c r="CP445" s="196"/>
      <c r="CQ445" s="196"/>
      <c r="CR445" s="196"/>
      <c r="CS445" s="196"/>
      <c r="CT445" s="196"/>
      <c r="CU445" s="196"/>
      <c r="CV445" s="194"/>
      <c r="CW445" s="194"/>
      <c r="CX445" s="194"/>
      <c r="CY445" s="194"/>
      <c r="CZ445" s="194"/>
      <c r="DA445" s="194"/>
      <c r="DB445" s="194"/>
      <c r="DC445" s="194"/>
      <c r="DD445" s="194"/>
      <c r="DE445" s="194"/>
      <c r="DF445" s="196"/>
      <c r="DG445" s="198"/>
      <c r="DH445" s="194"/>
      <c r="DI445" s="194"/>
    </row>
    <row r="446" spans="1:113" s="24" customFormat="1" hidden="1" x14ac:dyDescent="0.3">
      <c r="A446" s="172"/>
      <c r="B446" s="172"/>
      <c r="C446" s="172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  <c r="BT446" s="172"/>
      <c r="BU446" s="172"/>
      <c r="BV446" s="172"/>
      <c r="BW446" s="172"/>
      <c r="BX446" s="172"/>
      <c r="BY446" s="174"/>
      <c r="BZ446" s="172"/>
      <c r="CA446" s="172"/>
      <c r="CD446" s="194"/>
      <c r="CE446" s="194"/>
      <c r="CF446" s="194"/>
      <c r="CG446" s="194"/>
      <c r="CH446" s="195"/>
      <c r="CI446" s="194"/>
      <c r="CJ446" s="194"/>
      <c r="CK446" s="194"/>
      <c r="CL446" s="196"/>
      <c r="CM446" s="196"/>
      <c r="CN446" s="194"/>
      <c r="CO446" s="197"/>
      <c r="CP446" s="196"/>
      <c r="CQ446" s="196"/>
      <c r="CR446" s="196"/>
      <c r="CS446" s="196"/>
      <c r="CT446" s="196"/>
      <c r="CU446" s="196"/>
      <c r="CV446" s="194"/>
      <c r="CW446" s="194"/>
      <c r="CX446" s="194"/>
      <c r="CY446" s="194"/>
      <c r="CZ446" s="194"/>
      <c r="DA446" s="194"/>
      <c r="DB446" s="194"/>
      <c r="DC446" s="194"/>
      <c r="DD446" s="194"/>
      <c r="DE446" s="194"/>
      <c r="DF446" s="196"/>
      <c r="DG446" s="198"/>
      <c r="DH446" s="194"/>
      <c r="DI446" s="194"/>
    </row>
    <row r="447" spans="1:113" s="24" customFormat="1" hidden="1" x14ac:dyDescent="0.3">
      <c r="A447" s="172"/>
      <c r="B447" s="172"/>
      <c r="C447" s="172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  <c r="BT447" s="172"/>
      <c r="BU447" s="172"/>
      <c r="BV447" s="172"/>
      <c r="BW447" s="172"/>
      <c r="BX447" s="172"/>
      <c r="BY447" s="174"/>
      <c r="BZ447" s="172"/>
      <c r="CA447" s="172"/>
      <c r="CD447" s="194"/>
      <c r="CE447" s="194"/>
      <c r="CF447" s="194"/>
      <c r="CG447" s="194"/>
      <c r="CH447" s="195"/>
      <c r="CI447" s="194"/>
      <c r="CJ447" s="194"/>
      <c r="CK447" s="194"/>
      <c r="CL447" s="196"/>
      <c r="CM447" s="196"/>
      <c r="CN447" s="194"/>
      <c r="CO447" s="197"/>
      <c r="CP447" s="196"/>
      <c r="CQ447" s="196"/>
      <c r="CR447" s="196"/>
      <c r="CS447" s="196"/>
      <c r="CT447" s="196"/>
      <c r="CU447" s="196"/>
      <c r="CV447" s="194"/>
      <c r="CW447" s="194"/>
      <c r="CX447" s="194"/>
      <c r="CY447" s="194"/>
      <c r="CZ447" s="194"/>
      <c r="DA447" s="194"/>
      <c r="DB447" s="194"/>
      <c r="DC447" s="194"/>
      <c r="DD447" s="194"/>
      <c r="DE447" s="194"/>
      <c r="DF447" s="196"/>
      <c r="DG447" s="198"/>
      <c r="DH447" s="194"/>
      <c r="DI447" s="194"/>
    </row>
    <row r="448" spans="1:113" s="24" customFormat="1" hidden="1" x14ac:dyDescent="0.3">
      <c r="A448" s="172"/>
      <c r="B448" s="172"/>
      <c r="C448" s="172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  <c r="BT448" s="172"/>
      <c r="BU448" s="172"/>
      <c r="BV448" s="172"/>
      <c r="BW448" s="172"/>
      <c r="BX448" s="172"/>
      <c r="BY448" s="174"/>
      <c r="BZ448" s="172"/>
      <c r="CA448" s="172"/>
      <c r="CD448" s="194"/>
      <c r="CE448" s="194"/>
      <c r="CF448" s="194"/>
      <c r="CG448" s="194"/>
      <c r="CH448" s="195"/>
      <c r="CI448" s="194"/>
      <c r="CJ448" s="194"/>
      <c r="CK448" s="194"/>
      <c r="CL448" s="196"/>
      <c r="CM448" s="196"/>
      <c r="CN448" s="194"/>
      <c r="CO448" s="197"/>
      <c r="CP448" s="196"/>
      <c r="CQ448" s="196"/>
      <c r="CR448" s="196"/>
      <c r="CS448" s="196"/>
      <c r="CT448" s="196"/>
      <c r="CU448" s="196"/>
      <c r="CV448" s="194"/>
      <c r="CW448" s="194"/>
      <c r="CX448" s="194"/>
      <c r="CY448" s="194"/>
      <c r="CZ448" s="194"/>
      <c r="DA448" s="194"/>
      <c r="DB448" s="194"/>
      <c r="DC448" s="194"/>
      <c r="DD448" s="194"/>
      <c r="DE448" s="194"/>
      <c r="DF448" s="196"/>
      <c r="DG448" s="198"/>
      <c r="DH448" s="194"/>
      <c r="DI448" s="194"/>
    </row>
    <row r="449" spans="1:113" s="24" customFormat="1" hidden="1" x14ac:dyDescent="0.3">
      <c r="A449" s="172"/>
      <c r="B449" s="172"/>
      <c r="C449" s="172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  <c r="BT449" s="172"/>
      <c r="BU449" s="172"/>
      <c r="BV449" s="172"/>
      <c r="BW449" s="172"/>
      <c r="BX449" s="172"/>
      <c r="BY449" s="174"/>
      <c r="BZ449" s="172"/>
      <c r="CA449" s="172"/>
      <c r="CD449" s="194"/>
      <c r="CE449" s="194"/>
      <c r="CF449" s="194"/>
      <c r="CG449" s="194"/>
      <c r="CH449" s="195"/>
      <c r="CI449" s="194"/>
      <c r="CJ449" s="194"/>
      <c r="CK449" s="194"/>
      <c r="CL449" s="196"/>
      <c r="CM449" s="196"/>
      <c r="CN449" s="194"/>
      <c r="CO449" s="197"/>
      <c r="CP449" s="196"/>
      <c r="CQ449" s="196"/>
      <c r="CR449" s="196"/>
      <c r="CS449" s="196"/>
      <c r="CT449" s="196"/>
      <c r="CU449" s="196"/>
      <c r="CV449" s="194"/>
      <c r="CW449" s="194"/>
      <c r="CX449" s="194"/>
      <c r="CY449" s="194"/>
      <c r="CZ449" s="194"/>
      <c r="DA449" s="194"/>
      <c r="DB449" s="194"/>
      <c r="DC449" s="194"/>
      <c r="DD449" s="194"/>
      <c r="DE449" s="194"/>
      <c r="DF449" s="196"/>
      <c r="DG449" s="198"/>
      <c r="DH449" s="194"/>
      <c r="DI449" s="194"/>
    </row>
    <row r="450" spans="1:113" s="24" customFormat="1" hidden="1" x14ac:dyDescent="0.3">
      <c r="A450" s="172"/>
      <c r="B450" s="172"/>
      <c r="C450" s="172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  <c r="BT450" s="172"/>
      <c r="BU450" s="172"/>
      <c r="BV450" s="172"/>
      <c r="BW450" s="172"/>
      <c r="BX450" s="172"/>
      <c r="BY450" s="174"/>
      <c r="BZ450" s="172"/>
      <c r="CA450" s="172"/>
      <c r="CD450" s="194"/>
      <c r="CE450" s="194"/>
      <c r="CF450" s="194"/>
      <c r="CG450" s="194"/>
      <c r="CH450" s="195"/>
      <c r="CI450" s="194"/>
      <c r="CJ450" s="194"/>
      <c r="CK450" s="194"/>
      <c r="CL450" s="196"/>
      <c r="CM450" s="196"/>
      <c r="CN450" s="194"/>
      <c r="CO450" s="197"/>
      <c r="CP450" s="196"/>
      <c r="CQ450" s="196"/>
      <c r="CR450" s="196"/>
      <c r="CS450" s="196"/>
      <c r="CT450" s="196"/>
      <c r="CU450" s="196"/>
      <c r="CV450" s="194"/>
      <c r="CW450" s="194"/>
      <c r="CX450" s="194"/>
      <c r="CY450" s="194"/>
      <c r="CZ450" s="194"/>
      <c r="DA450" s="194"/>
      <c r="DB450" s="194"/>
      <c r="DC450" s="194"/>
      <c r="DD450" s="194"/>
      <c r="DE450" s="194"/>
      <c r="DF450" s="196"/>
      <c r="DG450" s="198"/>
      <c r="DH450" s="194"/>
      <c r="DI450" s="194"/>
    </row>
    <row r="451" spans="1:113" s="24" customFormat="1" hidden="1" x14ac:dyDescent="0.3">
      <c r="A451" s="172"/>
      <c r="B451" s="172"/>
      <c r="C451" s="172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  <c r="BT451" s="172"/>
      <c r="BU451" s="172"/>
      <c r="BV451" s="172"/>
      <c r="BW451" s="172"/>
      <c r="BX451" s="172"/>
      <c r="BY451" s="174"/>
      <c r="BZ451" s="172"/>
      <c r="CA451" s="172"/>
      <c r="CD451" s="194"/>
      <c r="CE451" s="194"/>
      <c r="CF451" s="194"/>
      <c r="CG451" s="194"/>
      <c r="CH451" s="195"/>
      <c r="CI451" s="194"/>
      <c r="CJ451" s="194"/>
      <c r="CK451" s="194"/>
      <c r="CL451" s="196"/>
      <c r="CM451" s="196"/>
      <c r="CN451" s="194"/>
      <c r="CO451" s="197"/>
      <c r="CP451" s="196"/>
      <c r="CQ451" s="196"/>
      <c r="CR451" s="196"/>
      <c r="CS451" s="196"/>
      <c r="CT451" s="196"/>
      <c r="CU451" s="196"/>
      <c r="CV451" s="194"/>
      <c r="CW451" s="194"/>
      <c r="CX451" s="194"/>
      <c r="CY451" s="194"/>
      <c r="CZ451" s="194"/>
      <c r="DA451" s="194"/>
      <c r="DB451" s="194"/>
      <c r="DC451" s="194"/>
      <c r="DD451" s="194"/>
      <c r="DE451" s="194"/>
      <c r="DF451" s="196"/>
      <c r="DG451" s="198"/>
      <c r="DH451" s="194"/>
      <c r="DI451" s="194"/>
    </row>
    <row r="452" spans="1:113" s="24" customFormat="1" hidden="1" x14ac:dyDescent="0.3">
      <c r="A452" s="172"/>
      <c r="B452" s="172"/>
      <c r="C452" s="172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  <c r="BT452" s="172"/>
      <c r="BU452" s="172"/>
      <c r="BV452" s="172"/>
      <c r="BW452" s="172"/>
      <c r="BX452" s="172"/>
      <c r="BY452" s="174"/>
      <c r="BZ452" s="172"/>
      <c r="CA452" s="172"/>
      <c r="CD452" s="194"/>
      <c r="CE452" s="194"/>
      <c r="CF452" s="194"/>
      <c r="CG452" s="194"/>
      <c r="CH452" s="195"/>
      <c r="CI452" s="194"/>
      <c r="CJ452" s="194"/>
      <c r="CK452" s="194"/>
      <c r="CL452" s="196"/>
      <c r="CM452" s="196"/>
      <c r="CN452" s="194"/>
      <c r="CO452" s="197"/>
      <c r="CP452" s="196"/>
      <c r="CQ452" s="196"/>
      <c r="CR452" s="196"/>
      <c r="CS452" s="196"/>
      <c r="CT452" s="196"/>
      <c r="CU452" s="196"/>
      <c r="CV452" s="194"/>
      <c r="CW452" s="194"/>
      <c r="CX452" s="194"/>
      <c r="CY452" s="194"/>
      <c r="CZ452" s="194"/>
      <c r="DA452" s="194"/>
      <c r="DB452" s="194"/>
      <c r="DC452" s="194"/>
      <c r="DD452" s="194"/>
      <c r="DE452" s="194"/>
      <c r="DF452" s="196"/>
      <c r="DG452" s="198"/>
      <c r="DH452" s="194"/>
      <c r="DI452" s="194"/>
    </row>
    <row r="453" spans="1:113" s="24" customFormat="1" hidden="1" x14ac:dyDescent="0.3">
      <c r="A453" s="172"/>
      <c r="B453" s="172"/>
      <c r="C453" s="172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  <c r="BT453" s="172"/>
      <c r="BU453" s="172"/>
      <c r="BV453" s="172"/>
      <c r="BW453" s="172"/>
      <c r="BX453" s="172"/>
      <c r="BY453" s="174"/>
      <c r="BZ453" s="172"/>
      <c r="CA453" s="172"/>
      <c r="CD453" s="194"/>
      <c r="CE453" s="194"/>
      <c r="CF453" s="194"/>
      <c r="CG453" s="194"/>
      <c r="CH453" s="195"/>
      <c r="CI453" s="194"/>
      <c r="CJ453" s="194"/>
      <c r="CK453" s="194"/>
      <c r="CL453" s="196"/>
      <c r="CM453" s="196"/>
      <c r="CN453" s="194"/>
      <c r="CO453" s="197"/>
      <c r="CP453" s="196"/>
      <c r="CQ453" s="196"/>
      <c r="CR453" s="196"/>
      <c r="CS453" s="196"/>
      <c r="CT453" s="196"/>
      <c r="CU453" s="196"/>
      <c r="CV453" s="194"/>
      <c r="CW453" s="194"/>
      <c r="CX453" s="194"/>
      <c r="CY453" s="194"/>
      <c r="CZ453" s="194"/>
      <c r="DA453" s="194"/>
      <c r="DB453" s="194"/>
      <c r="DC453" s="194"/>
      <c r="DD453" s="194"/>
      <c r="DE453" s="194"/>
      <c r="DF453" s="196"/>
      <c r="DG453" s="198"/>
      <c r="DH453" s="194"/>
      <c r="DI453" s="194"/>
    </row>
    <row r="454" spans="1:113" s="24" customFormat="1" hidden="1" x14ac:dyDescent="0.3">
      <c r="A454" s="172"/>
      <c r="B454" s="172"/>
      <c r="C454" s="172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2"/>
      <c r="BV454" s="172"/>
      <c r="BW454" s="172"/>
      <c r="BX454" s="172"/>
      <c r="BY454" s="174"/>
      <c r="BZ454" s="172"/>
      <c r="CA454" s="172"/>
      <c r="CD454" s="194"/>
      <c r="CE454" s="194"/>
      <c r="CF454" s="194"/>
      <c r="CG454" s="194"/>
      <c r="CH454" s="195"/>
      <c r="CI454" s="194"/>
      <c r="CJ454" s="194"/>
      <c r="CK454" s="194"/>
      <c r="CL454" s="196"/>
      <c r="CM454" s="196"/>
      <c r="CN454" s="194"/>
      <c r="CO454" s="197"/>
      <c r="CP454" s="196"/>
      <c r="CQ454" s="196"/>
      <c r="CR454" s="196"/>
      <c r="CS454" s="196"/>
      <c r="CT454" s="196"/>
      <c r="CU454" s="196"/>
      <c r="CV454" s="194"/>
      <c r="CW454" s="194"/>
      <c r="CX454" s="194"/>
      <c r="CY454" s="194"/>
      <c r="CZ454" s="194"/>
      <c r="DA454" s="194"/>
      <c r="DB454" s="194"/>
      <c r="DC454" s="194"/>
      <c r="DD454" s="194"/>
      <c r="DE454" s="194"/>
      <c r="DF454" s="196"/>
      <c r="DG454" s="198"/>
      <c r="DH454" s="194"/>
      <c r="DI454" s="194"/>
    </row>
    <row r="455" spans="1:113" s="24" customFormat="1" hidden="1" x14ac:dyDescent="0.3">
      <c r="A455" s="172"/>
      <c r="B455" s="172"/>
      <c r="C455" s="172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  <c r="BT455" s="172"/>
      <c r="BU455" s="172"/>
      <c r="BV455" s="172"/>
      <c r="BW455" s="172"/>
      <c r="BX455" s="172"/>
      <c r="BY455" s="174"/>
      <c r="BZ455" s="172"/>
      <c r="CA455" s="172"/>
      <c r="CD455" s="194"/>
      <c r="CE455" s="194"/>
      <c r="CF455" s="194"/>
      <c r="CG455" s="194"/>
      <c r="CH455" s="195"/>
      <c r="CI455" s="194"/>
      <c r="CJ455" s="194"/>
      <c r="CK455" s="194"/>
      <c r="CL455" s="196"/>
      <c r="CM455" s="196"/>
      <c r="CN455" s="194"/>
      <c r="CO455" s="197"/>
      <c r="CP455" s="196"/>
      <c r="CQ455" s="196"/>
      <c r="CR455" s="196"/>
      <c r="CS455" s="196"/>
      <c r="CT455" s="196"/>
      <c r="CU455" s="196"/>
      <c r="CV455" s="194"/>
      <c r="CW455" s="194"/>
      <c r="CX455" s="194"/>
      <c r="CY455" s="194"/>
      <c r="CZ455" s="194"/>
      <c r="DA455" s="194"/>
      <c r="DB455" s="194"/>
      <c r="DC455" s="194"/>
      <c r="DD455" s="194"/>
      <c r="DE455" s="194"/>
      <c r="DF455" s="196"/>
      <c r="DG455" s="198"/>
      <c r="DH455" s="194"/>
      <c r="DI455" s="194"/>
    </row>
    <row r="456" spans="1:113" s="24" customFormat="1" hidden="1" x14ac:dyDescent="0.3">
      <c r="A456" s="172"/>
      <c r="B456" s="172"/>
      <c r="C456" s="172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  <c r="BT456" s="172"/>
      <c r="BU456" s="172"/>
      <c r="BV456" s="172"/>
      <c r="BW456" s="172"/>
      <c r="BX456" s="172"/>
      <c r="BY456" s="174"/>
      <c r="BZ456" s="172"/>
      <c r="CA456" s="172"/>
      <c r="CD456" s="194"/>
      <c r="CE456" s="194"/>
      <c r="CF456" s="194"/>
      <c r="CG456" s="194"/>
      <c r="CH456" s="195"/>
      <c r="CI456" s="194"/>
      <c r="CJ456" s="194"/>
      <c r="CK456" s="194"/>
      <c r="CL456" s="196"/>
      <c r="CM456" s="196"/>
      <c r="CN456" s="194"/>
      <c r="CO456" s="197"/>
      <c r="CP456" s="196"/>
      <c r="CQ456" s="196"/>
      <c r="CR456" s="196"/>
      <c r="CS456" s="196"/>
      <c r="CT456" s="196"/>
      <c r="CU456" s="196"/>
      <c r="CV456" s="194"/>
      <c r="CW456" s="194"/>
      <c r="CX456" s="194"/>
      <c r="CY456" s="194"/>
      <c r="CZ456" s="194"/>
      <c r="DA456" s="194"/>
      <c r="DB456" s="194"/>
      <c r="DC456" s="194"/>
      <c r="DD456" s="194"/>
      <c r="DE456" s="194"/>
      <c r="DF456" s="196"/>
      <c r="DG456" s="198"/>
      <c r="DH456" s="194"/>
      <c r="DI456" s="194"/>
    </row>
    <row r="457" spans="1:113" s="24" customFormat="1" hidden="1" x14ac:dyDescent="0.3">
      <c r="A457" s="172"/>
      <c r="B457" s="172"/>
      <c r="C457" s="172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  <c r="BT457" s="172"/>
      <c r="BU457" s="172"/>
      <c r="BV457" s="172"/>
      <c r="BW457" s="172"/>
      <c r="BX457" s="172"/>
      <c r="BY457" s="174"/>
      <c r="BZ457" s="172"/>
      <c r="CA457" s="172"/>
      <c r="CD457" s="194"/>
      <c r="CE457" s="194"/>
      <c r="CF457" s="194"/>
      <c r="CG457" s="194"/>
      <c r="CH457" s="195"/>
      <c r="CI457" s="194"/>
      <c r="CJ457" s="194"/>
      <c r="CK457" s="194"/>
      <c r="CL457" s="196"/>
      <c r="CM457" s="196"/>
      <c r="CN457" s="194"/>
      <c r="CO457" s="197"/>
      <c r="CP457" s="196"/>
      <c r="CQ457" s="196"/>
      <c r="CR457" s="196"/>
      <c r="CS457" s="196"/>
      <c r="CT457" s="196"/>
      <c r="CU457" s="196"/>
      <c r="CV457" s="194"/>
      <c r="CW457" s="194"/>
      <c r="CX457" s="194"/>
      <c r="CY457" s="194"/>
      <c r="CZ457" s="194"/>
      <c r="DA457" s="194"/>
      <c r="DB457" s="194"/>
      <c r="DC457" s="194"/>
      <c r="DD457" s="194"/>
      <c r="DE457" s="194"/>
      <c r="DF457" s="196"/>
      <c r="DG457" s="198"/>
      <c r="DH457" s="194"/>
      <c r="DI457" s="194"/>
    </row>
    <row r="458" spans="1:113" s="24" customFormat="1" hidden="1" x14ac:dyDescent="0.3">
      <c r="A458" s="172"/>
      <c r="B458" s="172"/>
      <c r="C458" s="172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  <c r="BT458" s="172"/>
      <c r="BU458" s="172"/>
      <c r="BV458" s="172"/>
      <c r="BW458" s="172"/>
      <c r="BX458" s="172"/>
      <c r="BY458" s="174"/>
      <c r="BZ458" s="172"/>
      <c r="CA458" s="172"/>
      <c r="CD458" s="194"/>
      <c r="CE458" s="194"/>
      <c r="CF458" s="194"/>
      <c r="CG458" s="194"/>
      <c r="CH458" s="195"/>
      <c r="CI458" s="194"/>
      <c r="CJ458" s="194"/>
      <c r="CK458" s="194"/>
      <c r="CL458" s="196"/>
      <c r="CM458" s="196"/>
      <c r="CN458" s="194"/>
      <c r="CO458" s="197"/>
      <c r="CP458" s="196"/>
      <c r="CQ458" s="196"/>
      <c r="CR458" s="196"/>
      <c r="CS458" s="196"/>
      <c r="CT458" s="196"/>
      <c r="CU458" s="196"/>
      <c r="CV458" s="194"/>
      <c r="CW458" s="194"/>
      <c r="CX458" s="194"/>
      <c r="CY458" s="194"/>
      <c r="CZ458" s="194"/>
      <c r="DA458" s="194"/>
      <c r="DB458" s="194"/>
      <c r="DC458" s="194"/>
      <c r="DD458" s="194"/>
      <c r="DE458" s="194"/>
      <c r="DF458" s="196"/>
      <c r="DG458" s="198"/>
      <c r="DH458" s="194"/>
      <c r="DI458" s="194"/>
    </row>
    <row r="459" spans="1:113" s="24" customFormat="1" hidden="1" x14ac:dyDescent="0.3">
      <c r="A459" s="172"/>
      <c r="B459" s="172"/>
      <c r="C459" s="172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  <c r="BT459" s="172"/>
      <c r="BU459" s="172"/>
      <c r="BV459" s="172"/>
      <c r="BW459" s="172"/>
      <c r="BX459" s="172"/>
      <c r="BY459" s="174"/>
      <c r="BZ459" s="172"/>
      <c r="CA459" s="172"/>
      <c r="CD459" s="194"/>
      <c r="CE459" s="194"/>
      <c r="CF459" s="194"/>
      <c r="CG459" s="194"/>
      <c r="CH459" s="195"/>
      <c r="CI459" s="194"/>
      <c r="CJ459" s="194"/>
      <c r="CK459" s="194"/>
      <c r="CL459" s="196"/>
      <c r="CM459" s="196"/>
      <c r="CN459" s="194"/>
      <c r="CO459" s="197"/>
      <c r="CP459" s="196"/>
      <c r="CQ459" s="196"/>
      <c r="CR459" s="196"/>
      <c r="CS459" s="196"/>
      <c r="CT459" s="196"/>
      <c r="CU459" s="196"/>
      <c r="CV459" s="194"/>
      <c r="CW459" s="194"/>
      <c r="CX459" s="194"/>
      <c r="CY459" s="194"/>
      <c r="CZ459" s="194"/>
      <c r="DA459" s="194"/>
      <c r="DB459" s="194"/>
      <c r="DC459" s="194"/>
      <c r="DD459" s="194"/>
      <c r="DE459" s="194"/>
      <c r="DF459" s="196"/>
      <c r="DG459" s="198"/>
      <c r="DH459" s="194"/>
      <c r="DI459" s="194"/>
    </row>
    <row r="460" spans="1:113" s="24" customFormat="1" hidden="1" x14ac:dyDescent="0.3">
      <c r="A460" s="172"/>
      <c r="B460" s="172"/>
      <c r="C460" s="172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  <c r="BT460" s="172"/>
      <c r="BU460" s="172"/>
      <c r="BV460" s="172"/>
      <c r="BW460" s="172"/>
      <c r="BX460" s="172"/>
      <c r="BY460" s="174"/>
      <c r="BZ460" s="172"/>
      <c r="CA460" s="172"/>
      <c r="CD460" s="194"/>
      <c r="CE460" s="194"/>
      <c r="CF460" s="194"/>
      <c r="CG460" s="194"/>
      <c r="CH460" s="195"/>
      <c r="CI460" s="194"/>
      <c r="CJ460" s="194"/>
      <c r="CK460" s="194"/>
      <c r="CL460" s="196"/>
      <c r="CM460" s="196"/>
      <c r="CN460" s="194"/>
      <c r="CO460" s="197"/>
      <c r="CP460" s="196"/>
      <c r="CQ460" s="196"/>
      <c r="CR460" s="196"/>
      <c r="CS460" s="196"/>
      <c r="CT460" s="196"/>
      <c r="CU460" s="196"/>
      <c r="CV460" s="194"/>
      <c r="CW460" s="194"/>
      <c r="CX460" s="194"/>
      <c r="CY460" s="194"/>
      <c r="CZ460" s="194"/>
      <c r="DA460" s="194"/>
      <c r="DB460" s="194"/>
      <c r="DC460" s="194"/>
      <c r="DD460" s="194"/>
      <c r="DE460" s="194"/>
      <c r="DF460" s="196"/>
      <c r="DG460" s="198"/>
      <c r="DH460" s="194"/>
      <c r="DI460" s="194"/>
    </row>
    <row r="461" spans="1:113" s="24" customFormat="1" hidden="1" x14ac:dyDescent="0.3">
      <c r="A461" s="172"/>
      <c r="B461" s="172"/>
      <c r="C461" s="172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2"/>
      <c r="BV461" s="172"/>
      <c r="BW461" s="172"/>
      <c r="BX461" s="172"/>
      <c r="BY461" s="174"/>
      <c r="BZ461" s="172"/>
      <c r="CA461" s="172"/>
      <c r="CD461" s="194"/>
      <c r="CE461" s="194"/>
      <c r="CF461" s="194"/>
      <c r="CG461" s="194"/>
      <c r="CH461" s="195"/>
      <c r="CI461" s="194"/>
      <c r="CJ461" s="194"/>
      <c r="CK461" s="194"/>
      <c r="CL461" s="196"/>
      <c r="CM461" s="196"/>
      <c r="CN461" s="194"/>
      <c r="CO461" s="197"/>
      <c r="CP461" s="196"/>
      <c r="CQ461" s="196"/>
      <c r="CR461" s="196"/>
      <c r="CS461" s="196"/>
      <c r="CT461" s="196"/>
      <c r="CU461" s="196"/>
      <c r="CV461" s="194"/>
      <c r="CW461" s="194"/>
      <c r="CX461" s="194"/>
      <c r="CY461" s="194"/>
      <c r="CZ461" s="194"/>
      <c r="DA461" s="194"/>
      <c r="DB461" s="194"/>
      <c r="DC461" s="194"/>
      <c r="DD461" s="194"/>
      <c r="DE461" s="194"/>
      <c r="DF461" s="196"/>
      <c r="DG461" s="198"/>
      <c r="DH461" s="194"/>
      <c r="DI461" s="194"/>
    </row>
    <row r="462" spans="1:113" s="24" customFormat="1" hidden="1" x14ac:dyDescent="0.3">
      <c r="A462" s="172"/>
      <c r="B462" s="172"/>
      <c r="C462" s="172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  <c r="BT462" s="172"/>
      <c r="BU462" s="172"/>
      <c r="BV462" s="172"/>
      <c r="BW462" s="172"/>
      <c r="BX462" s="172"/>
      <c r="BY462" s="174"/>
      <c r="BZ462" s="172"/>
      <c r="CA462" s="172"/>
      <c r="CD462" s="194"/>
      <c r="CE462" s="194"/>
      <c r="CF462" s="194"/>
      <c r="CG462" s="194"/>
      <c r="CH462" s="195"/>
      <c r="CI462" s="194"/>
      <c r="CJ462" s="194"/>
      <c r="CK462" s="194"/>
      <c r="CL462" s="196"/>
      <c r="CM462" s="196"/>
      <c r="CN462" s="194"/>
      <c r="CO462" s="197"/>
      <c r="CP462" s="196"/>
      <c r="CQ462" s="196"/>
      <c r="CR462" s="196"/>
      <c r="CS462" s="196"/>
      <c r="CT462" s="196"/>
      <c r="CU462" s="196"/>
      <c r="CV462" s="194"/>
      <c r="CW462" s="194"/>
      <c r="CX462" s="194"/>
      <c r="CY462" s="194"/>
      <c r="CZ462" s="194"/>
      <c r="DA462" s="194"/>
      <c r="DB462" s="194"/>
      <c r="DC462" s="194"/>
      <c r="DD462" s="194"/>
      <c r="DE462" s="194"/>
      <c r="DF462" s="196"/>
      <c r="DG462" s="198"/>
      <c r="DH462" s="194"/>
      <c r="DI462" s="194"/>
    </row>
    <row r="463" spans="1:113" s="24" customFormat="1" hidden="1" x14ac:dyDescent="0.3">
      <c r="A463" s="172"/>
      <c r="B463" s="172"/>
      <c r="C463" s="172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/>
      <c r="BX463" s="172"/>
      <c r="BY463" s="174"/>
      <c r="BZ463" s="172"/>
      <c r="CA463" s="172"/>
      <c r="CD463" s="194"/>
      <c r="CE463" s="194"/>
      <c r="CF463" s="194"/>
      <c r="CG463" s="194"/>
      <c r="CH463" s="195"/>
      <c r="CI463" s="194"/>
      <c r="CJ463" s="194"/>
      <c r="CK463" s="194"/>
      <c r="CL463" s="196"/>
      <c r="CM463" s="196"/>
      <c r="CN463" s="194"/>
      <c r="CO463" s="197"/>
      <c r="CP463" s="196"/>
      <c r="CQ463" s="196"/>
      <c r="CR463" s="196"/>
      <c r="CS463" s="196"/>
      <c r="CT463" s="196"/>
      <c r="CU463" s="196"/>
      <c r="CV463" s="194"/>
      <c r="CW463" s="194"/>
      <c r="CX463" s="194"/>
      <c r="CY463" s="194"/>
      <c r="CZ463" s="194"/>
      <c r="DA463" s="194"/>
      <c r="DB463" s="194"/>
      <c r="DC463" s="194"/>
      <c r="DD463" s="194"/>
      <c r="DE463" s="194"/>
      <c r="DF463" s="196"/>
      <c r="DG463" s="198"/>
      <c r="DH463" s="194"/>
      <c r="DI463" s="194"/>
    </row>
    <row r="464" spans="1:113" s="24" customFormat="1" hidden="1" x14ac:dyDescent="0.3">
      <c r="A464" s="172"/>
      <c r="B464" s="172"/>
      <c r="C464" s="172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  <c r="BT464" s="172"/>
      <c r="BU464" s="172"/>
      <c r="BV464" s="172"/>
      <c r="BW464" s="172"/>
      <c r="BX464" s="172"/>
      <c r="BY464" s="174"/>
      <c r="BZ464" s="172"/>
      <c r="CA464" s="172"/>
      <c r="CD464" s="194"/>
      <c r="CE464" s="194"/>
      <c r="CF464" s="194"/>
      <c r="CG464" s="194"/>
      <c r="CH464" s="195"/>
      <c r="CI464" s="194"/>
      <c r="CJ464" s="194"/>
      <c r="CK464" s="194"/>
      <c r="CL464" s="196"/>
      <c r="CM464" s="196"/>
      <c r="CN464" s="194"/>
      <c r="CO464" s="197"/>
      <c r="CP464" s="196"/>
      <c r="CQ464" s="196"/>
      <c r="CR464" s="196"/>
      <c r="CS464" s="196"/>
      <c r="CT464" s="196"/>
      <c r="CU464" s="196"/>
      <c r="CV464" s="194"/>
      <c r="CW464" s="194"/>
      <c r="CX464" s="194"/>
      <c r="CY464" s="194"/>
      <c r="CZ464" s="194"/>
      <c r="DA464" s="194"/>
      <c r="DB464" s="194"/>
      <c r="DC464" s="194"/>
      <c r="DD464" s="194"/>
      <c r="DE464" s="194"/>
      <c r="DF464" s="196"/>
      <c r="DG464" s="198"/>
      <c r="DH464" s="194"/>
      <c r="DI464" s="194"/>
    </row>
    <row r="465" spans="1:113" s="24" customFormat="1" hidden="1" x14ac:dyDescent="0.3">
      <c r="A465" s="172"/>
      <c r="B465" s="172"/>
      <c r="C465" s="172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  <c r="BT465" s="172"/>
      <c r="BU465" s="172"/>
      <c r="BV465" s="172"/>
      <c r="BW465" s="172"/>
      <c r="BX465" s="172"/>
      <c r="BY465" s="174"/>
      <c r="BZ465" s="172"/>
      <c r="CA465" s="172"/>
      <c r="CD465" s="194"/>
      <c r="CE465" s="194"/>
      <c r="CF465" s="194"/>
      <c r="CG465" s="194"/>
      <c r="CH465" s="195"/>
      <c r="CI465" s="194"/>
      <c r="CJ465" s="194"/>
      <c r="CK465" s="194"/>
      <c r="CL465" s="196"/>
      <c r="CM465" s="196"/>
      <c r="CN465" s="194"/>
      <c r="CO465" s="197"/>
      <c r="CP465" s="196"/>
      <c r="CQ465" s="196"/>
      <c r="CR465" s="196"/>
      <c r="CS465" s="196"/>
      <c r="CT465" s="196"/>
      <c r="CU465" s="196"/>
      <c r="CV465" s="194"/>
      <c r="CW465" s="194"/>
      <c r="CX465" s="194"/>
      <c r="CY465" s="194"/>
      <c r="CZ465" s="194"/>
      <c r="DA465" s="194"/>
      <c r="DB465" s="194"/>
      <c r="DC465" s="194"/>
      <c r="DD465" s="194"/>
      <c r="DE465" s="194"/>
      <c r="DF465" s="196"/>
      <c r="DG465" s="198"/>
      <c r="DH465" s="194"/>
      <c r="DI465" s="194"/>
    </row>
    <row r="466" spans="1:113" s="24" customFormat="1" hidden="1" x14ac:dyDescent="0.3">
      <c r="A466" s="172"/>
      <c r="B466" s="172"/>
      <c r="C466" s="172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  <c r="BT466" s="172"/>
      <c r="BU466" s="172"/>
      <c r="BV466" s="172"/>
      <c r="BW466" s="172"/>
      <c r="BX466" s="172"/>
      <c r="BY466" s="174"/>
      <c r="BZ466" s="172"/>
      <c r="CA466" s="172"/>
      <c r="CD466" s="194"/>
      <c r="CE466" s="194"/>
      <c r="CF466" s="194"/>
      <c r="CG466" s="194"/>
      <c r="CH466" s="195"/>
      <c r="CI466" s="194"/>
      <c r="CJ466" s="194"/>
      <c r="CK466" s="194"/>
      <c r="CL466" s="196"/>
      <c r="CM466" s="196"/>
      <c r="CN466" s="194"/>
      <c r="CO466" s="197"/>
      <c r="CP466" s="196"/>
      <c r="CQ466" s="196"/>
      <c r="CR466" s="196"/>
      <c r="CS466" s="196"/>
      <c r="CT466" s="196"/>
      <c r="CU466" s="196"/>
      <c r="CV466" s="194"/>
      <c r="CW466" s="194"/>
      <c r="CX466" s="194"/>
      <c r="CY466" s="194"/>
      <c r="CZ466" s="194"/>
      <c r="DA466" s="194"/>
      <c r="DB466" s="194"/>
      <c r="DC466" s="194"/>
      <c r="DD466" s="194"/>
      <c r="DE466" s="194"/>
      <c r="DF466" s="196"/>
      <c r="DG466" s="198"/>
      <c r="DH466" s="194"/>
      <c r="DI466" s="194"/>
    </row>
    <row r="467" spans="1:113" s="24" customFormat="1" hidden="1" x14ac:dyDescent="0.3">
      <c r="A467" s="172"/>
      <c r="B467" s="172"/>
      <c r="C467" s="172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  <c r="BT467" s="172"/>
      <c r="BU467" s="172"/>
      <c r="BV467" s="172"/>
      <c r="BW467" s="172"/>
      <c r="BX467" s="172"/>
      <c r="BY467" s="174"/>
      <c r="BZ467" s="172"/>
      <c r="CA467" s="172"/>
      <c r="CD467" s="194"/>
      <c r="CE467" s="194"/>
      <c r="CF467" s="194"/>
      <c r="CG467" s="194"/>
      <c r="CH467" s="195"/>
      <c r="CI467" s="194"/>
      <c r="CJ467" s="194"/>
      <c r="CK467" s="194"/>
      <c r="CL467" s="196"/>
      <c r="CM467" s="196"/>
      <c r="CN467" s="194"/>
      <c r="CO467" s="197"/>
      <c r="CP467" s="196"/>
      <c r="CQ467" s="196"/>
      <c r="CR467" s="196"/>
      <c r="CS467" s="196"/>
      <c r="CT467" s="196"/>
      <c r="CU467" s="196"/>
      <c r="CV467" s="194"/>
      <c r="CW467" s="194"/>
      <c r="CX467" s="194"/>
      <c r="CY467" s="194"/>
      <c r="CZ467" s="194"/>
      <c r="DA467" s="194"/>
      <c r="DB467" s="194"/>
      <c r="DC467" s="194"/>
      <c r="DD467" s="194"/>
      <c r="DE467" s="194"/>
      <c r="DF467" s="196"/>
      <c r="DG467" s="198"/>
      <c r="DH467" s="194"/>
      <c r="DI467" s="194"/>
    </row>
    <row r="468" spans="1:113" s="24" customFormat="1" hidden="1" x14ac:dyDescent="0.3">
      <c r="A468" s="172"/>
      <c r="B468" s="172"/>
      <c r="C468" s="172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  <c r="BT468" s="172"/>
      <c r="BU468" s="172"/>
      <c r="BV468" s="172"/>
      <c r="BW468" s="172"/>
      <c r="BX468" s="172"/>
      <c r="BY468" s="174"/>
      <c r="BZ468" s="172"/>
      <c r="CA468" s="172"/>
      <c r="CD468" s="194"/>
      <c r="CE468" s="194"/>
      <c r="CF468" s="194"/>
      <c r="CG468" s="194"/>
      <c r="CH468" s="195"/>
      <c r="CI468" s="194"/>
      <c r="CJ468" s="194"/>
      <c r="CK468" s="194"/>
      <c r="CL468" s="196"/>
      <c r="CM468" s="196"/>
      <c r="CN468" s="194"/>
      <c r="CO468" s="197"/>
      <c r="CP468" s="196"/>
      <c r="CQ468" s="196"/>
      <c r="CR468" s="196"/>
      <c r="CS468" s="196"/>
      <c r="CT468" s="196"/>
      <c r="CU468" s="196"/>
      <c r="CV468" s="194"/>
      <c r="CW468" s="194"/>
      <c r="CX468" s="194"/>
      <c r="CY468" s="194"/>
      <c r="CZ468" s="194"/>
      <c r="DA468" s="194"/>
      <c r="DB468" s="194"/>
      <c r="DC468" s="194"/>
      <c r="DD468" s="194"/>
      <c r="DE468" s="194"/>
      <c r="DF468" s="196"/>
      <c r="DG468" s="198"/>
      <c r="DH468" s="194"/>
      <c r="DI468" s="194"/>
    </row>
    <row r="469" spans="1:113" s="24" customFormat="1" hidden="1" x14ac:dyDescent="0.3">
      <c r="A469" s="172"/>
      <c r="B469" s="172"/>
      <c r="C469" s="172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  <c r="BT469" s="172"/>
      <c r="BU469" s="172"/>
      <c r="BV469" s="172"/>
      <c r="BW469" s="172"/>
      <c r="BX469" s="172"/>
      <c r="BY469" s="174"/>
      <c r="BZ469" s="172"/>
      <c r="CA469" s="172"/>
      <c r="CD469" s="194"/>
      <c r="CE469" s="194"/>
      <c r="CF469" s="194"/>
      <c r="CG469" s="194"/>
      <c r="CH469" s="195"/>
      <c r="CI469" s="194"/>
      <c r="CJ469" s="194"/>
      <c r="CK469" s="194"/>
      <c r="CL469" s="196"/>
      <c r="CM469" s="196"/>
      <c r="CN469" s="194"/>
      <c r="CO469" s="197"/>
      <c r="CP469" s="196"/>
      <c r="CQ469" s="196"/>
      <c r="CR469" s="196"/>
      <c r="CS469" s="196"/>
      <c r="CT469" s="196"/>
      <c r="CU469" s="196"/>
      <c r="CV469" s="194"/>
      <c r="CW469" s="194"/>
      <c r="CX469" s="194"/>
      <c r="CY469" s="194"/>
      <c r="CZ469" s="194"/>
      <c r="DA469" s="194"/>
      <c r="DB469" s="194"/>
      <c r="DC469" s="194"/>
      <c r="DD469" s="194"/>
      <c r="DE469" s="194"/>
      <c r="DF469" s="196"/>
      <c r="DG469" s="198"/>
      <c r="DH469" s="194"/>
      <c r="DI469" s="194"/>
    </row>
    <row r="470" spans="1:113" s="24" customFormat="1" hidden="1" x14ac:dyDescent="0.3">
      <c r="A470" s="172"/>
      <c r="B470" s="172"/>
      <c r="C470" s="172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  <c r="BT470" s="172"/>
      <c r="BU470" s="172"/>
      <c r="BV470" s="172"/>
      <c r="BW470" s="172"/>
      <c r="BX470" s="172"/>
      <c r="BY470" s="174"/>
      <c r="BZ470" s="172"/>
      <c r="CA470" s="172"/>
      <c r="CD470" s="194"/>
      <c r="CE470" s="194"/>
      <c r="CF470" s="194"/>
      <c r="CG470" s="194"/>
      <c r="CH470" s="195"/>
      <c r="CI470" s="194"/>
      <c r="CJ470" s="194"/>
      <c r="CK470" s="194"/>
      <c r="CL470" s="196"/>
      <c r="CM470" s="196"/>
      <c r="CN470" s="194"/>
      <c r="CO470" s="197"/>
      <c r="CP470" s="196"/>
      <c r="CQ470" s="196"/>
      <c r="CR470" s="196"/>
      <c r="CS470" s="196"/>
      <c r="CT470" s="196"/>
      <c r="CU470" s="196"/>
      <c r="CV470" s="194"/>
      <c r="CW470" s="194"/>
      <c r="CX470" s="194"/>
      <c r="CY470" s="194"/>
      <c r="CZ470" s="194"/>
      <c r="DA470" s="194"/>
      <c r="DB470" s="194"/>
      <c r="DC470" s="194"/>
      <c r="DD470" s="194"/>
      <c r="DE470" s="194"/>
      <c r="DF470" s="196"/>
      <c r="DG470" s="198"/>
      <c r="DH470" s="194"/>
      <c r="DI470" s="194"/>
    </row>
    <row r="471" spans="1:113" s="24" customFormat="1" hidden="1" x14ac:dyDescent="0.3">
      <c r="A471" s="172"/>
      <c r="B471" s="172"/>
      <c r="C471" s="172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  <c r="BT471" s="172"/>
      <c r="BU471" s="172"/>
      <c r="BV471" s="172"/>
      <c r="BW471" s="172"/>
      <c r="BX471" s="172"/>
      <c r="BY471" s="174"/>
      <c r="BZ471" s="172"/>
      <c r="CA471" s="172"/>
      <c r="CD471" s="194"/>
      <c r="CE471" s="194"/>
      <c r="CF471" s="194"/>
      <c r="CG471" s="194"/>
      <c r="CH471" s="195"/>
      <c r="CI471" s="194"/>
      <c r="CJ471" s="194"/>
      <c r="CK471" s="194"/>
      <c r="CL471" s="196"/>
      <c r="CM471" s="196"/>
      <c r="CN471" s="194"/>
      <c r="CO471" s="197"/>
      <c r="CP471" s="196"/>
      <c r="CQ471" s="196"/>
      <c r="CR471" s="196"/>
      <c r="CS471" s="196"/>
      <c r="CT471" s="196"/>
      <c r="CU471" s="196"/>
      <c r="CV471" s="194"/>
      <c r="CW471" s="194"/>
      <c r="CX471" s="194"/>
      <c r="CY471" s="194"/>
      <c r="CZ471" s="194"/>
      <c r="DA471" s="194"/>
      <c r="DB471" s="194"/>
      <c r="DC471" s="194"/>
      <c r="DD471" s="194"/>
      <c r="DE471" s="194"/>
      <c r="DF471" s="196"/>
      <c r="DG471" s="198"/>
      <c r="DH471" s="194"/>
      <c r="DI471" s="194"/>
    </row>
    <row r="472" spans="1:113" s="24" customFormat="1" hidden="1" x14ac:dyDescent="0.3">
      <c r="A472" s="172"/>
      <c r="B472" s="172"/>
      <c r="C472" s="172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  <c r="BT472" s="172"/>
      <c r="BU472" s="172"/>
      <c r="BV472" s="172"/>
      <c r="BW472" s="172"/>
      <c r="BX472" s="172"/>
      <c r="BY472" s="174"/>
      <c r="BZ472" s="172"/>
      <c r="CA472" s="172"/>
      <c r="CD472" s="194"/>
      <c r="CE472" s="194"/>
      <c r="CF472" s="194"/>
      <c r="CG472" s="194"/>
      <c r="CH472" s="195"/>
      <c r="CI472" s="194"/>
      <c r="CJ472" s="194"/>
      <c r="CK472" s="194"/>
      <c r="CL472" s="196"/>
      <c r="CM472" s="196"/>
      <c r="CN472" s="194"/>
      <c r="CO472" s="197"/>
      <c r="CP472" s="196"/>
      <c r="CQ472" s="196"/>
      <c r="CR472" s="196"/>
      <c r="CS472" s="196"/>
      <c r="CT472" s="196"/>
      <c r="CU472" s="196"/>
      <c r="CV472" s="194"/>
      <c r="CW472" s="194"/>
      <c r="CX472" s="194"/>
      <c r="CY472" s="194"/>
      <c r="CZ472" s="194"/>
      <c r="DA472" s="194"/>
      <c r="DB472" s="194"/>
      <c r="DC472" s="194"/>
      <c r="DD472" s="194"/>
      <c r="DE472" s="194"/>
      <c r="DF472" s="196"/>
      <c r="DG472" s="198"/>
      <c r="DH472" s="194"/>
      <c r="DI472" s="194"/>
    </row>
    <row r="473" spans="1:113" s="24" customFormat="1" hidden="1" x14ac:dyDescent="0.3">
      <c r="A473" s="172"/>
      <c r="B473" s="172"/>
      <c r="C473" s="172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  <c r="BT473" s="172"/>
      <c r="BU473" s="172"/>
      <c r="BV473" s="172"/>
      <c r="BW473" s="172"/>
      <c r="BX473" s="172"/>
      <c r="BY473" s="174"/>
      <c r="BZ473" s="172"/>
      <c r="CA473" s="172"/>
      <c r="CD473" s="194"/>
      <c r="CE473" s="194"/>
      <c r="CF473" s="194"/>
      <c r="CG473" s="194"/>
      <c r="CH473" s="195"/>
      <c r="CI473" s="194"/>
      <c r="CJ473" s="194"/>
      <c r="CK473" s="194"/>
      <c r="CL473" s="196"/>
      <c r="CM473" s="196"/>
      <c r="CN473" s="194"/>
      <c r="CO473" s="197"/>
      <c r="CP473" s="196"/>
      <c r="CQ473" s="196"/>
      <c r="CR473" s="196"/>
      <c r="CS473" s="196"/>
      <c r="CT473" s="196"/>
      <c r="CU473" s="196"/>
      <c r="CV473" s="194"/>
      <c r="CW473" s="194"/>
      <c r="CX473" s="194"/>
      <c r="CY473" s="194"/>
      <c r="CZ473" s="194"/>
      <c r="DA473" s="194"/>
      <c r="DB473" s="194"/>
      <c r="DC473" s="194"/>
      <c r="DD473" s="194"/>
      <c r="DE473" s="194"/>
      <c r="DF473" s="196"/>
      <c r="DG473" s="198"/>
      <c r="DH473" s="194"/>
      <c r="DI473" s="194"/>
    </row>
    <row r="474" spans="1:113" s="24" customFormat="1" hidden="1" x14ac:dyDescent="0.3">
      <c r="A474" s="172"/>
      <c r="B474" s="172"/>
      <c r="C474" s="172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  <c r="BT474" s="172"/>
      <c r="BU474" s="172"/>
      <c r="BV474" s="172"/>
      <c r="BW474" s="172"/>
      <c r="BX474" s="172"/>
      <c r="BY474" s="174"/>
      <c r="BZ474" s="172"/>
      <c r="CA474" s="172"/>
      <c r="CD474" s="194"/>
      <c r="CE474" s="194"/>
      <c r="CF474" s="194"/>
      <c r="CG474" s="194"/>
      <c r="CH474" s="195"/>
      <c r="CI474" s="194"/>
      <c r="CJ474" s="194"/>
      <c r="CK474" s="194"/>
      <c r="CL474" s="196"/>
      <c r="CM474" s="196"/>
      <c r="CN474" s="194"/>
      <c r="CO474" s="197"/>
      <c r="CP474" s="196"/>
      <c r="CQ474" s="196"/>
      <c r="CR474" s="196"/>
      <c r="CS474" s="196"/>
      <c r="CT474" s="196"/>
      <c r="CU474" s="196"/>
      <c r="CV474" s="194"/>
      <c r="CW474" s="194"/>
      <c r="CX474" s="194"/>
      <c r="CY474" s="194"/>
      <c r="CZ474" s="194"/>
      <c r="DA474" s="194"/>
      <c r="DB474" s="194"/>
      <c r="DC474" s="194"/>
      <c r="DD474" s="194"/>
      <c r="DE474" s="194"/>
      <c r="DF474" s="196"/>
      <c r="DG474" s="198"/>
      <c r="DH474" s="194"/>
      <c r="DI474" s="194"/>
    </row>
    <row r="475" spans="1:113" s="24" customFormat="1" hidden="1" x14ac:dyDescent="0.3">
      <c r="A475" s="172"/>
      <c r="B475" s="172"/>
      <c r="C475" s="172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  <c r="BT475" s="172"/>
      <c r="BU475" s="172"/>
      <c r="BV475" s="172"/>
      <c r="BW475" s="172"/>
      <c r="BX475" s="172"/>
      <c r="BY475" s="174"/>
      <c r="BZ475" s="172"/>
      <c r="CA475" s="172"/>
      <c r="CD475" s="194"/>
      <c r="CE475" s="194"/>
      <c r="CF475" s="194"/>
      <c r="CG475" s="194"/>
      <c r="CH475" s="195"/>
      <c r="CI475" s="194"/>
      <c r="CJ475" s="194"/>
      <c r="CK475" s="194"/>
      <c r="CL475" s="196"/>
      <c r="CM475" s="196"/>
      <c r="CN475" s="194"/>
      <c r="CO475" s="197"/>
      <c r="CP475" s="196"/>
      <c r="CQ475" s="196"/>
      <c r="CR475" s="196"/>
      <c r="CS475" s="196"/>
      <c r="CT475" s="196"/>
      <c r="CU475" s="196"/>
      <c r="CV475" s="194"/>
      <c r="CW475" s="194"/>
      <c r="CX475" s="194"/>
      <c r="CY475" s="194"/>
      <c r="CZ475" s="194"/>
      <c r="DA475" s="194"/>
      <c r="DB475" s="194"/>
      <c r="DC475" s="194"/>
      <c r="DD475" s="194"/>
      <c r="DE475" s="194"/>
      <c r="DF475" s="196"/>
      <c r="DG475" s="198"/>
      <c r="DH475" s="194"/>
      <c r="DI475" s="194"/>
    </row>
    <row r="476" spans="1:113" s="24" customFormat="1" hidden="1" x14ac:dyDescent="0.3">
      <c r="A476" s="172"/>
      <c r="B476" s="172"/>
      <c r="C476" s="172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  <c r="BT476" s="172"/>
      <c r="BU476" s="172"/>
      <c r="BV476" s="172"/>
      <c r="BW476" s="172"/>
      <c r="BX476" s="172"/>
      <c r="BY476" s="174"/>
      <c r="BZ476" s="172"/>
      <c r="CA476" s="172"/>
      <c r="CD476" s="194"/>
      <c r="CE476" s="194"/>
      <c r="CF476" s="194"/>
      <c r="CG476" s="194"/>
      <c r="CH476" s="195"/>
      <c r="CI476" s="194"/>
      <c r="CJ476" s="194"/>
      <c r="CK476" s="194"/>
      <c r="CL476" s="196"/>
      <c r="CM476" s="196"/>
      <c r="CN476" s="194"/>
      <c r="CO476" s="197"/>
      <c r="CP476" s="196"/>
      <c r="CQ476" s="196"/>
      <c r="CR476" s="196"/>
      <c r="CS476" s="196"/>
      <c r="CT476" s="196"/>
      <c r="CU476" s="196"/>
      <c r="CV476" s="194"/>
      <c r="CW476" s="194"/>
      <c r="CX476" s="194"/>
      <c r="CY476" s="194"/>
      <c r="CZ476" s="194"/>
      <c r="DA476" s="194"/>
      <c r="DB476" s="194"/>
      <c r="DC476" s="194"/>
      <c r="DD476" s="194"/>
      <c r="DE476" s="194"/>
      <c r="DF476" s="196"/>
      <c r="DG476" s="198"/>
      <c r="DH476" s="194"/>
      <c r="DI476" s="194"/>
    </row>
    <row r="477" spans="1:113" s="24" customFormat="1" hidden="1" x14ac:dyDescent="0.3">
      <c r="A477" s="172"/>
      <c r="B477" s="172"/>
      <c r="C477" s="172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  <c r="BT477" s="172"/>
      <c r="BU477" s="172"/>
      <c r="BV477" s="172"/>
      <c r="BW477" s="172"/>
      <c r="BX477" s="172"/>
      <c r="BY477" s="174"/>
      <c r="BZ477" s="172"/>
      <c r="CA477" s="172"/>
      <c r="CD477" s="194"/>
      <c r="CE477" s="194"/>
      <c r="CF477" s="194"/>
      <c r="CG477" s="194"/>
      <c r="CH477" s="195"/>
      <c r="CI477" s="194"/>
      <c r="CJ477" s="194"/>
      <c r="CK477" s="194"/>
      <c r="CL477" s="196"/>
      <c r="CM477" s="196"/>
      <c r="CN477" s="194"/>
      <c r="CO477" s="197"/>
      <c r="CP477" s="196"/>
      <c r="CQ477" s="196"/>
      <c r="CR477" s="196"/>
      <c r="CS477" s="196"/>
      <c r="CT477" s="196"/>
      <c r="CU477" s="196"/>
      <c r="CV477" s="194"/>
      <c r="CW477" s="194"/>
      <c r="CX477" s="194"/>
      <c r="CY477" s="194"/>
      <c r="CZ477" s="194"/>
      <c r="DA477" s="194"/>
      <c r="DB477" s="194"/>
      <c r="DC477" s="194"/>
      <c r="DD477" s="194"/>
      <c r="DE477" s="194"/>
      <c r="DF477" s="196"/>
      <c r="DG477" s="198"/>
      <c r="DH477" s="194"/>
      <c r="DI477" s="194"/>
    </row>
    <row r="478" spans="1:113" s="24" customFormat="1" hidden="1" x14ac:dyDescent="0.3">
      <c r="A478" s="172"/>
      <c r="B478" s="172"/>
      <c r="C478" s="172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  <c r="BT478" s="172"/>
      <c r="BU478" s="172"/>
      <c r="BV478" s="172"/>
      <c r="BW478" s="172"/>
      <c r="BX478" s="172"/>
      <c r="BY478" s="174"/>
      <c r="BZ478" s="172"/>
      <c r="CA478" s="172"/>
      <c r="CD478" s="194"/>
      <c r="CE478" s="194"/>
      <c r="CF478" s="194"/>
      <c r="CG478" s="194"/>
      <c r="CH478" s="195"/>
      <c r="CI478" s="194"/>
      <c r="CJ478" s="194"/>
      <c r="CK478" s="194"/>
      <c r="CL478" s="196"/>
      <c r="CM478" s="196"/>
      <c r="CN478" s="194"/>
      <c r="CO478" s="197"/>
      <c r="CP478" s="196"/>
      <c r="CQ478" s="196"/>
      <c r="CR478" s="196"/>
      <c r="CS478" s="196"/>
      <c r="CT478" s="196"/>
      <c r="CU478" s="196"/>
      <c r="CV478" s="194"/>
      <c r="CW478" s="194"/>
      <c r="CX478" s="194"/>
      <c r="CY478" s="194"/>
      <c r="CZ478" s="194"/>
      <c r="DA478" s="194"/>
      <c r="DB478" s="194"/>
      <c r="DC478" s="194"/>
      <c r="DD478" s="194"/>
      <c r="DE478" s="194"/>
      <c r="DF478" s="196"/>
      <c r="DG478" s="198"/>
      <c r="DH478" s="194"/>
      <c r="DI478" s="194"/>
    </row>
    <row r="479" spans="1:113" s="24" customFormat="1" hidden="1" x14ac:dyDescent="0.3">
      <c r="A479" s="172"/>
      <c r="B479" s="172"/>
      <c r="C479" s="172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  <c r="BT479" s="172"/>
      <c r="BU479" s="172"/>
      <c r="BV479" s="172"/>
      <c r="BW479" s="172"/>
      <c r="BX479" s="172"/>
      <c r="BY479" s="174"/>
      <c r="BZ479" s="172"/>
      <c r="CA479" s="172"/>
      <c r="CD479" s="194"/>
      <c r="CE479" s="194"/>
      <c r="CF479" s="194"/>
      <c r="CG479" s="194"/>
      <c r="CH479" s="195"/>
      <c r="CI479" s="194"/>
      <c r="CJ479" s="194"/>
      <c r="CK479" s="194"/>
      <c r="CL479" s="196"/>
      <c r="CM479" s="196"/>
      <c r="CN479" s="194"/>
      <c r="CO479" s="197"/>
      <c r="CP479" s="196"/>
      <c r="CQ479" s="196"/>
      <c r="CR479" s="196"/>
      <c r="CS479" s="196"/>
      <c r="CT479" s="196"/>
      <c r="CU479" s="196"/>
      <c r="CV479" s="194"/>
      <c r="CW479" s="194"/>
      <c r="CX479" s="194"/>
      <c r="CY479" s="194"/>
      <c r="CZ479" s="194"/>
      <c r="DA479" s="194"/>
      <c r="DB479" s="194"/>
      <c r="DC479" s="194"/>
      <c r="DD479" s="194"/>
      <c r="DE479" s="194"/>
      <c r="DF479" s="196"/>
      <c r="DG479" s="198"/>
      <c r="DH479" s="194"/>
      <c r="DI479" s="194"/>
    </row>
    <row r="480" spans="1:113" s="24" customFormat="1" hidden="1" x14ac:dyDescent="0.3">
      <c r="A480" s="172"/>
      <c r="B480" s="172"/>
      <c r="C480" s="172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  <c r="BT480" s="172"/>
      <c r="BU480" s="172"/>
      <c r="BV480" s="172"/>
      <c r="BW480" s="172"/>
      <c r="BX480" s="172"/>
      <c r="BY480" s="174"/>
      <c r="BZ480" s="172"/>
      <c r="CA480" s="172"/>
      <c r="CD480" s="194"/>
      <c r="CE480" s="194"/>
      <c r="CF480" s="194"/>
      <c r="CG480" s="194"/>
      <c r="CH480" s="195"/>
      <c r="CI480" s="194"/>
      <c r="CJ480" s="194"/>
      <c r="CK480" s="194"/>
      <c r="CL480" s="196"/>
      <c r="CM480" s="196"/>
      <c r="CN480" s="194"/>
      <c r="CO480" s="197"/>
      <c r="CP480" s="196"/>
      <c r="CQ480" s="196"/>
      <c r="CR480" s="196"/>
      <c r="CS480" s="196"/>
      <c r="CT480" s="196"/>
      <c r="CU480" s="196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6"/>
      <c r="DG480" s="198"/>
      <c r="DH480" s="194"/>
      <c r="DI480" s="194"/>
    </row>
    <row r="481" spans="1:113" s="24" customFormat="1" hidden="1" x14ac:dyDescent="0.3">
      <c r="A481" s="172"/>
      <c r="B481" s="172"/>
      <c r="C481" s="172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/>
      <c r="BX481" s="172"/>
      <c r="BY481" s="174"/>
      <c r="BZ481" s="172"/>
      <c r="CA481" s="172"/>
      <c r="CD481" s="194"/>
      <c r="CE481" s="194"/>
      <c r="CF481" s="194"/>
      <c r="CG481" s="194"/>
      <c r="CH481" s="195"/>
      <c r="CI481" s="194"/>
      <c r="CJ481" s="194"/>
      <c r="CK481" s="194"/>
      <c r="CL481" s="196"/>
      <c r="CM481" s="196"/>
      <c r="CN481" s="194"/>
      <c r="CO481" s="197"/>
      <c r="CP481" s="196"/>
      <c r="CQ481" s="196"/>
      <c r="CR481" s="196"/>
      <c r="CS481" s="196"/>
      <c r="CT481" s="196"/>
      <c r="CU481" s="196"/>
      <c r="CV481" s="194"/>
      <c r="CW481" s="194"/>
      <c r="CX481" s="194"/>
      <c r="CY481" s="194"/>
      <c r="CZ481" s="194"/>
      <c r="DA481" s="194"/>
      <c r="DB481" s="194"/>
      <c r="DC481" s="194"/>
      <c r="DD481" s="194"/>
      <c r="DE481" s="194"/>
      <c r="DF481" s="196"/>
      <c r="DG481" s="198"/>
      <c r="DH481" s="194"/>
      <c r="DI481" s="194"/>
    </row>
    <row r="482" spans="1:113" s="24" customFormat="1" hidden="1" x14ac:dyDescent="0.3">
      <c r="A482" s="172"/>
      <c r="B482" s="172"/>
      <c r="C482" s="172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  <c r="BT482" s="172"/>
      <c r="BU482" s="172"/>
      <c r="BV482" s="172"/>
      <c r="BW482" s="172"/>
      <c r="BX482" s="172"/>
      <c r="BY482" s="174"/>
      <c r="BZ482" s="172"/>
      <c r="CA482" s="172"/>
      <c r="CD482" s="194"/>
      <c r="CE482" s="194"/>
      <c r="CF482" s="194"/>
      <c r="CG482" s="194"/>
      <c r="CH482" s="195"/>
      <c r="CI482" s="194"/>
      <c r="CJ482" s="194"/>
      <c r="CK482" s="194"/>
      <c r="CL482" s="196"/>
      <c r="CM482" s="196"/>
      <c r="CN482" s="194"/>
      <c r="CO482" s="197"/>
      <c r="CP482" s="196"/>
      <c r="CQ482" s="196"/>
      <c r="CR482" s="196"/>
      <c r="CS482" s="196"/>
      <c r="CT482" s="196"/>
      <c r="CU482" s="196"/>
      <c r="CV482" s="194"/>
      <c r="CW482" s="194"/>
      <c r="CX482" s="194"/>
      <c r="CY482" s="194"/>
      <c r="CZ482" s="194"/>
      <c r="DA482" s="194"/>
      <c r="DB482" s="194"/>
      <c r="DC482" s="194"/>
      <c r="DD482" s="194"/>
      <c r="DE482" s="194"/>
      <c r="DF482" s="196"/>
      <c r="DG482" s="198"/>
      <c r="DH482" s="194"/>
      <c r="DI482" s="194"/>
    </row>
    <row r="483" spans="1:113" s="24" customFormat="1" hidden="1" x14ac:dyDescent="0.3">
      <c r="A483" s="172"/>
      <c r="B483" s="172"/>
      <c r="C483" s="172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4"/>
      <c r="BZ483" s="172"/>
      <c r="CA483" s="172"/>
      <c r="CD483" s="194"/>
      <c r="CE483" s="194"/>
      <c r="CF483" s="194"/>
      <c r="CG483" s="194"/>
      <c r="CH483" s="195"/>
      <c r="CI483" s="194"/>
      <c r="CJ483" s="194"/>
      <c r="CK483" s="194"/>
      <c r="CL483" s="196"/>
      <c r="CM483" s="196"/>
      <c r="CN483" s="194"/>
      <c r="CO483" s="197"/>
      <c r="CP483" s="196"/>
      <c r="CQ483" s="196"/>
      <c r="CR483" s="196"/>
      <c r="CS483" s="196"/>
      <c r="CT483" s="196"/>
      <c r="CU483" s="196"/>
      <c r="CV483" s="194"/>
      <c r="CW483" s="194"/>
      <c r="CX483" s="194"/>
      <c r="CY483" s="194"/>
      <c r="CZ483" s="194"/>
      <c r="DA483" s="194"/>
      <c r="DB483" s="194"/>
      <c r="DC483" s="194"/>
      <c r="DD483" s="194"/>
      <c r="DE483" s="194"/>
      <c r="DF483" s="196"/>
      <c r="DG483" s="198"/>
      <c r="DH483" s="194"/>
      <c r="DI483" s="194"/>
    </row>
    <row r="484" spans="1:113" s="24" customFormat="1" hidden="1" x14ac:dyDescent="0.3">
      <c r="A484" s="172"/>
      <c r="B484" s="172"/>
      <c r="C484" s="172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4"/>
      <c r="BZ484" s="172"/>
      <c r="CA484" s="172"/>
      <c r="CD484" s="194"/>
      <c r="CE484" s="194"/>
      <c r="CF484" s="194"/>
      <c r="CG484" s="194"/>
      <c r="CH484" s="195"/>
      <c r="CI484" s="194"/>
      <c r="CJ484" s="194"/>
      <c r="CK484" s="194"/>
      <c r="CL484" s="196"/>
      <c r="CM484" s="196"/>
      <c r="CN484" s="194"/>
      <c r="CO484" s="197"/>
      <c r="CP484" s="196"/>
      <c r="CQ484" s="196"/>
      <c r="CR484" s="196"/>
      <c r="CS484" s="196"/>
      <c r="CT484" s="196"/>
      <c r="CU484" s="196"/>
      <c r="CV484" s="194"/>
      <c r="CW484" s="194"/>
      <c r="CX484" s="194"/>
      <c r="CY484" s="194"/>
      <c r="CZ484" s="194"/>
      <c r="DA484" s="194"/>
      <c r="DB484" s="194"/>
      <c r="DC484" s="194"/>
      <c r="DD484" s="194"/>
      <c r="DE484" s="194"/>
      <c r="DF484" s="196"/>
      <c r="DG484" s="198"/>
      <c r="DH484" s="194"/>
      <c r="DI484" s="194"/>
    </row>
    <row r="485" spans="1:113" s="24" customFormat="1" hidden="1" x14ac:dyDescent="0.3">
      <c r="A485" s="172"/>
      <c r="B485" s="172"/>
      <c r="C485" s="172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/>
      <c r="BW485" s="172"/>
      <c r="BX485" s="172"/>
      <c r="BY485" s="174"/>
      <c r="BZ485" s="172"/>
      <c r="CA485" s="172"/>
      <c r="CD485" s="194"/>
      <c r="CE485" s="194"/>
      <c r="CF485" s="194"/>
      <c r="CG485" s="194"/>
      <c r="CH485" s="195"/>
      <c r="CI485" s="194"/>
      <c r="CJ485" s="194"/>
      <c r="CK485" s="194"/>
      <c r="CL485" s="196"/>
      <c r="CM485" s="196"/>
      <c r="CN485" s="194"/>
      <c r="CO485" s="197"/>
      <c r="CP485" s="196"/>
      <c r="CQ485" s="196"/>
      <c r="CR485" s="196"/>
      <c r="CS485" s="196"/>
      <c r="CT485" s="196"/>
      <c r="CU485" s="196"/>
      <c r="CV485" s="194"/>
      <c r="CW485" s="194"/>
      <c r="CX485" s="194"/>
      <c r="CY485" s="194"/>
      <c r="CZ485" s="194"/>
      <c r="DA485" s="194"/>
      <c r="DB485" s="194"/>
      <c r="DC485" s="194"/>
      <c r="DD485" s="194"/>
      <c r="DE485" s="194"/>
      <c r="DF485" s="196"/>
      <c r="DG485" s="198"/>
      <c r="DH485" s="194"/>
      <c r="DI485" s="194"/>
    </row>
    <row r="486" spans="1:113" s="24" customFormat="1" hidden="1" x14ac:dyDescent="0.3">
      <c r="A486" s="172"/>
      <c r="B486" s="172"/>
      <c r="C486" s="172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4"/>
      <c r="BZ486" s="172"/>
      <c r="CA486" s="172"/>
      <c r="CD486" s="194"/>
      <c r="CE486" s="194"/>
      <c r="CF486" s="194"/>
      <c r="CG486" s="194"/>
      <c r="CH486" s="195"/>
      <c r="CI486" s="194"/>
      <c r="CJ486" s="194"/>
      <c r="CK486" s="194"/>
      <c r="CL486" s="196"/>
      <c r="CM486" s="196"/>
      <c r="CN486" s="194"/>
      <c r="CO486" s="197"/>
      <c r="CP486" s="196"/>
      <c r="CQ486" s="196"/>
      <c r="CR486" s="196"/>
      <c r="CS486" s="196"/>
      <c r="CT486" s="196"/>
      <c r="CU486" s="196"/>
      <c r="CV486" s="194"/>
      <c r="CW486" s="194"/>
      <c r="CX486" s="194"/>
      <c r="CY486" s="194"/>
      <c r="CZ486" s="194"/>
      <c r="DA486" s="194"/>
      <c r="DB486" s="194"/>
      <c r="DC486" s="194"/>
      <c r="DD486" s="194"/>
      <c r="DE486" s="194"/>
      <c r="DF486" s="196"/>
      <c r="DG486" s="198"/>
      <c r="DH486" s="194"/>
      <c r="DI486" s="194"/>
    </row>
    <row r="487" spans="1:113" s="24" customFormat="1" hidden="1" x14ac:dyDescent="0.3">
      <c r="A487" s="172"/>
      <c r="B487" s="172"/>
      <c r="C487" s="172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4"/>
      <c r="BZ487" s="172"/>
      <c r="CA487" s="172"/>
      <c r="CD487" s="194"/>
      <c r="CE487" s="194"/>
      <c r="CF487" s="194"/>
      <c r="CG487" s="194"/>
      <c r="CH487" s="195"/>
      <c r="CI487" s="194"/>
      <c r="CJ487" s="194"/>
      <c r="CK487" s="194"/>
      <c r="CL487" s="196"/>
      <c r="CM487" s="196"/>
      <c r="CN487" s="194"/>
      <c r="CO487" s="197"/>
      <c r="CP487" s="196"/>
      <c r="CQ487" s="196"/>
      <c r="CR487" s="196"/>
      <c r="CS487" s="196"/>
      <c r="CT487" s="196"/>
      <c r="CU487" s="196"/>
      <c r="CV487" s="194"/>
      <c r="CW487" s="194"/>
      <c r="CX487" s="194"/>
      <c r="CY487" s="194"/>
      <c r="CZ487" s="194"/>
      <c r="DA487" s="194"/>
      <c r="DB487" s="194"/>
      <c r="DC487" s="194"/>
      <c r="DD487" s="194"/>
      <c r="DE487" s="194"/>
      <c r="DF487" s="196"/>
      <c r="DG487" s="198"/>
      <c r="DH487" s="194"/>
      <c r="DI487" s="194"/>
    </row>
    <row r="488" spans="1:113" s="24" customFormat="1" hidden="1" x14ac:dyDescent="0.3">
      <c r="A488" s="172"/>
      <c r="B488" s="172"/>
      <c r="C488" s="172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  <c r="BT488" s="172"/>
      <c r="BU488" s="172"/>
      <c r="BV488" s="172"/>
      <c r="BW488" s="172"/>
      <c r="BX488" s="172"/>
      <c r="BY488" s="174"/>
      <c r="BZ488" s="172"/>
      <c r="CA488" s="172"/>
      <c r="CD488" s="194"/>
      <c r="CE488" s="194"/>
      <c r="CF488" s="194"/>
      <c r="CG488" s="194"/>
      <c r="CH488" s="195"/>
      <c r="CI488" s="194"/>
      <c r="CJ488" s="194"/>
      <c r="CK488" s="194"/>
      <c r="CL488" s="196"/>
      <c r="CM488" s="196"/>
      <c r="CN488" s="194"/>
      <c r="CO488" s="197"/>
      <c r="CP488" s="196"/>
      <c r="CQ488" s="196"/>
      <c r="CR488" s="196"/>
      <c r="CS488" s="196"/>
      <c r="CT488" s="196"/>
      <c r="CU488" s="196"/>
      <c r="CV488" s="194"/>
      <c r="CW488" s="194"/>
      <c r="CX488" s="194"/>
      <c r="CY488" s="194"/>
      <c r="CZ488" s="194"/>
      <c r="DA488" s="194"/>
      <c r="DB488" s="194"/>
      <c r="DC488" s="194"/>
      <c r="DD488" s="194"/>
      <c r="DE488" s="194"/>
      <c r="DF488" s="196"/>
      <c r="DG488" s="198"/>
      <c r="DH488" s="194"/>
      <c r="DI488" s="194"/>
    </row>
    <row r="489" spans="1:113" s="24" customFormat="1" hidden="1" x14ac:dyDescent="0.3">
      <c r="A489" s="172"/>
      <c r="B489" s="172"/>
      <c r="C489" s="172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  <c r="BT489" s="172"/>
      <c r="BU489" s="172"/>
      <c r="BV489" s="172"/>
      <c r="BW489" s="172"/>
      <c r="BX489" s="172"/>
      <c r="BY489" s="174"/>
      <c r="BZ489" s="172"/>
      <c r="CA489" s="172"/>
      <c r="CD489" s="194"/>
      <c r="CE489" s="194"/>
      <c r="CF489" s="194"/>
      <c r="CG489" s="194"/>
      <c r="CH489" s="195"/>
      <c r="CI489" s="194"/>
      <c r="CJ489" s="194"/>
      <c r="CK489" s="194"/>
      <c r="CL489" s="196"/>
      <c r="CM489" s="196"/>
      <c r="CN489" s="194"/>
      <c r="CO489" s="197"/>
      <c r="CP489" s="196"/>
      <c r="CQ489" s="196"/>
      <c r="CR489" s="196"/>
      <c r="CS489" s="196"/>
      <c r="CT489" s="196"/>
      <c r="CU489" s="196"/>
      <c r="CV489" s="194"/>
      <c r="CW489" s="194"/>
      <c r="CX489" s="194"/>
      <c r="CY489" s="194"/>
      <c r="CZ489" s="194"/>
      <c r="DA489" s="194"/>
      <c r="DB489" s="194"/>
      <c r="DC489" s="194"/>
      <c r="DD489" s="194"/>
      <c r="DE489" s="194"/>
      <c r="DF489" s="196"/>
      <c r="DG489" s="198"/>
      <c r="DH489" s="194"/>
      <c r="DI489" s="194"/>
    </row>
    <row r="490" spans="1:113" s="24" customFormat="1" hidden="1" x14ac:dyDescent="0.3">
      <c r="A490" s="172"/>
      <c r="B490" s="172"/>
      <c r="C490" s="172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  <c r="BT490" s="172"/>
      <c r="BU490" s="172"/>
      <c r="BV490" s="172"/>
      <c r="BW490" s="172"/>
      <c r="BX490" s="172"/>
      <c r="BY490" s="174"/>
      <c r="BZ490" s="172"/>
      <c r="CA490" s="172"/>
      <c r="CD490" s="194"/>
      <c r="CE490" s="194"/>
      <c r="CF490" s="194"/>
      <c r="CG490" s="194"/>
      <c r="CH490" s="195"/>
      <c r="CI490" s="194"/>
      <c r="CJ490" s="194"/>
      <c r="CK490" s="194"/>
      <c r="CL490" s="196"/>
      <c r="CM490" s="196"/>
      <c r="CN490" s="194"/>
      <c r="CO490" s="197"/>
      <c r="CP490" s="196"/>
      <c r="CQ490" s="196"/>
      <c r="CR490" s="196"/>
      <c r="CS490" s="196"/>
      <c r="CT490" s="196"/>
      <c r="CU490" s="196"/>
      <c r="CV490" s="194"/>
      <c r="CW490" s="194"/>
      <c r="CX490" s="194"/>
      <c r="CY490" s="194"/>
      <c r="CZ490" s="194"/>
      <c r="DA490" s="194"/>
      <c r="DB490" s="194"/>
      <c r="DC490" s="194"/>
      <c r="DD490" s="194"/>
      <c r="DE490" s="194"/>
      <c r="DF490" s="196"/>
      <c r="DG490" s="198"/>
      <c r="DH490" s="194"/>
      <c r="DI490" s="194"/>
    </row>
    <row r="491" spans="1:113" s="24" customFormat="1" hidden="1" x14ac:dyDescent="0.3">
      <c r="A491" s="172"/>
      <c r="B491" s="172"/>
      <c r="C491" s="172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  <c r="BT491" s="172"/>
      <c r="BU491" s="172"/>
      <c r="BV491" s="172"/>
      <c r="BW491" s="172"/>
      <c r="BX491" s="172"/>
      <c r="BY491" s="174"/>
      <c r="BZ491" s="172"/>
      <c r="CA491" s="172"/>
      <c r="CD491" s="194"/>
      <c r="CE491" s="194"/>
      <c r="CF491" s="194"/>
      <c r="CG491" s="194"/>
      <c r="CH491" s="195"/>
      <c r="CI491" s="194"/>
      <c r="CJ491" s="194"/>
      <c r="CK491" s="194"/>
      <c r="CL491" s="196"/>
      <c r="CM491" s="196"/>
      <c r="CN491" s="194"/>
      <c r="CO491" s="197"/>
      <c r="CP491" s="196"/>
      <c r="CQ491" s="196"/>
      <c r="CR491" s="196"/>
      <c r="CS491" s="196"/>
      <c r="CT491" s="196"/>
      <c r="CU491" s="196"/>
      <c r="CV491" s="194"/>
      <c r="CW491" s="194"/>
      <c r="CX491" s="194"/>
      <c r="CY491" s="194"/>
      <c r="CZ491" s="194"/>
      <c r="DA491" s="194"/>
      <c r="DB491" s="194"/>
      <c r="DC491" s="194"/>
      <c r="DD491" s="194"/>
      <c r="DE491" s="194"/>
      <c r="DF491" s="196"/>
      <c r="DG491" s="198"/>
      <c r="DH491" s="194"/>
      <c r="DI491" s="194"/>
    </row>
    <row r="492" spans="1:113" s="24" customFormat="1" hidden="1" x14ac:dyDescent="0.3">
      <c r="A492" s="172"/>
      <c r="B492" s="172"/>
      <c r="C492" s="172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  <c r="BT492" s="172"/>
      <c r="BU492" s="172"/>
      <c r="BV492" s="172"/>
      <c r="BW492" s="172"/>
      <c r="BX492" s="172"/>
      <c r="BY492" s="174"/>
      <c r="BZ492" s="172"/>
      <c r="CA492" s="172"/>
      <c r="CD492" s="194"/>
      <c r="CE492" s="194"/>
      <c r="CF492" s="194"/>
      <c r="CG492" s="194"/>
      <c r="CH492" s="195"/>
      <c r="CI492" s="194"/>
      <c r="CJ492" s="194"/>
      <c r="CK492" s="194"/>
      <c r="CL492" s="196"/>
      <c r="CM492" s="196"/>
      <c r="CN492" s="194"/>
      <c r="CO492" s="197"/>
      <c r="CP492" s="196"/>
      <c r="CQ492" s="196"/>
      <c r="CR492" s="196"/>
      <c r="CS492" s="196"/>
      <c r="CT492" s="196"/>
      <c r="CU492" s="196"/>
      <c r="CV492" s="194"/>
      <c r="CW492" s="194"/>
      <c r="CX492" s="194"/>
      <c r="CY492" s="194"/>
      <c r="CZ492" s="194"/>
      <c r="DA492" s="194"/>
      <c r="DB492" s="194"/>
      <c r="DC492" s="194"/>
      <c r="DD492" s="194"/>
      <c r="DE492" s="194"/>
      <c r="DF492" s="196"/>
      <c r="DG492" s="198"/>
      <c r="DH492" s="194"/>
      <c r="DI492" s="194"/>
    </row>
    <row r="493" spans="1:113" s="24" customFormat="1" hidden="1" x14ac:dyDescent="0.3">
      <c r="A493" s="172"/>
      <c r="B493" s="172"/>
      <c r="C493" s="172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  <c r="BT493" s="172"/>
      <c r="BU493" s="172"/>
      <c r="BV493" s="172"/>
      <c r="BW493" s="172"/>
      <c r="BX493" s="172"/>
      <c r="BY493" s="174"/>
      <c r="BZ493" s="172"/>
      <c r="CA493" s="172"/>
      <c r="CD493" s="194"/>
      <c r="CE493" s="194"/>
      <c r="CF493" s="194"/>
      <c r="CG493" s="194"/>
      <c r="CH493" s="195"/>
      <c r="CI493" s="194"/>
      <c r="CJ493" s="194"/>
      <c r="CK493" s="194"/>
      <c r="CL493" s="196"/>
      <c r="CM493" s="196"/>
      <c r="CN493" s="194"/>
      <c r="CO493" s="197"/>
      <c r="CP493" s="196"/>
      <c r="CQ493" s="196"/>
      <c r="CR493" s="196"/>
      <c r="CS493" s="196"/>
      <c r="CT493" s="196"/>
      <c r="CU493" s="196"/>
      <c r="CV493" s="194"/>
      <c r="CW493" s="194"/>
      <c r="CX493" s="194"/>
      <c r="CY493" s="194"/>
      <c r="CZ493" s="194"/>
      <c r="DA493" s="194"/>
      <c r="DB493" s="194"/>
      <c r="DC493" s="194"/>
      <c r="DD493" s="194"/>
      <c r="DE493" s="194"/>
      <c r="DF493" s="196"/>
      <c r="DG493" s="198"/>
      <c r="DH493" s="194"/>
      <c r="DI493" s="194"/>
    </row>
    <row r="494" spans="1:113" s="24" customFormat="1" hidden="1" x14ac:dyDescent="0.3">
      <c r="A494" s="172"/>
      <c r="B494" s="172"/>
      <c r="C494" s="172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4"/>
      <c r="BZ494" s="172"/>
      <c r="CA494" s="172"/>
      <c r="CD494" s="194"/>
      <c r="CE494" s="194"/>
      <c r="CF494" s="194"/>
      <c r="CG494" s="194"/>
      <c r="CH494" s="195"/>
      <c r="CI494" s="194"/>
      <c r="CJ494" s="194"/>
      <c r="CK494" s="194"/>
      <c r="CL494" s="196"/>
      <c r="CM494" s="196"/>
      <c r="CN494" s="194"/>
      <c r="CO494" s="197"/>
      <c r="CP494" s="196"/>
      <c r="CQ494" s="196"/>
      <c r="CR494" s="196"/>
      <c r="CS494" s="196"/>
      <c r="CT494" s="196"/>
      <c r="CU494" s="196"/>
      <c r="CV494" s="194"/>
      <c r="CW494" s="194"/>
      <c r="CX494" s="194"/>
      <c r="CY494" s="194"/>
      <c r="CZ494" s="194"/>
      <c r="DA494" s="194"/>
      <c r="DB494" s="194"/>
      <c r="DC494" s="194"/>
      <c r="DD494" s="194"/>
      <c r="DE494" s="194"/>
      <c r="DF494" s="196"/>
      <c r="DG494" s="198"/>
      <c r="DH494" s="194"/>
      <c r="DI494" s="194"/>
    </row>
    <row r="495" spans="1:113" s="24" customFormat="1" hidden="1" x14ac:dyDescent="0.3">
      <c r="A495" s="172"/>
      <c r="B495" s="172"/>
      <c r="C495" s="172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  <c r="BT495" s="172"/>
      <c r="BU495" s="172"/>
      <c r="BV495" s="172"/>
      <c r="BW495" s="172"/>
      <c r="BX495" s="172"/>
      <c r="BY495" s="174"/>
      <c r="BZ495" s="172"/>
      <c r="CA495" s="172"/>
      <c r="CD495" s="194"/>
      <c r="CE495" s="194"/>
      <c r="CF495" s="194"/>
      <c r="CG495" s="194"/>
      <c r="CH495" s="195"/>
      <c r="CI495" s="194"/>
      <c r="CJ495" s="194"/>
      <c r="CK495" s="194"/>
      <c r="CL495" s="196"/>
      <c r="CM495" s="196"/>
      <c r="CN495" s="194"/>
      <c r="CO495" s="197"/>
      <c r="CP495" s="196"/>
      <c r="CQ495" s="196"/>
      <c r="CR495" s="196"/>
      <c r="CS495" s="196"/>
      <c r="CT495" s="196"/>
      <c r="CU495" s="196"/>
      <c r="CV495" s="194"/>
      <c r="CW495" s="194"/>
      <c r="CX495" s="194"/>
      <c r="CY495" s="194"/>
      <c r="CZ495" s="194"/>
      <c r="DA495" s="194"/>
      <c r="DB495" s="194"/>
      <c r="DC495" s="194"/>
      <c r="DD495" s="194"/>
      <c r="DE495" s="194"/>
      <c r="DF495" s="196"/>
      <c r="DG495" s="198"/>
      <c r="DH495" s="194"/>
      <c r="DI495" s="194"/>
    </row>
    <row r="496" spans="1:113" s="24" customFormat="1" hidden="1" x14ac:dyDescent="0.3">
      <c r="A496" s="172"/>
      <c r="B496" s="172"/>
      <c r="C496" s="172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  <c r="BT496" s="172"/>
      <c r="BU496" s="172"/>
      <c r="BV496" s="172"/>
      <c r="BW496" s="172"/>
      <c r="BX496" s="172"/>
      <c r="BY496" s="174"/>
      <c r="BZ496" s="172"/>
      <c r="CA496" s="172"/>
      <c r="CD496" s="194"/>
      <c r="CE496" s="194"/>
      <c r="CF496" s="194"/>
      <c r="CG496" s="194"/>
      <c r="CH496" s="195"/>
      <c r="CI496" s="194"/>
      <c r="CJ496" s="194"/>
      <c r="CK496" s="194"/>
      <c r="CL496" s="196"/>
      <c r="CM496" s="196"/>
      <c r="CN496" s="194"/>
      <c r="CO496" s="197"/>
      <c r="CP496" s="196"/>
      <c r="CQ496" s="196"/>
      <c r="CR496" s="196"/>
      <c r="CS496" s="196"/>
      <c r="CT496" s="196"/>
      <c r="CU496" s="196"/>
      <c r="CV496" s="194"/>
      <c r="CW496" s="194"/>
      <c r="CX496" s="194"/>
      <c r="CY496" s="194"/>
      <c r="CZ496" s="194"/>
      <c r="DA496" s="194"/>
      <c r="DB496" s="194"/>
      <c r="DC496" s="194"/>
      <c r="DD496" s="194"/>
      <c r="DE496" s="194"/>
      <c r="DF496" s="196"/>
      <c r="DG496" s="198"/>
      <c r="DH496" s="194"/>
      <c r="DI496" s="194"/>
    </row>
    <row r="497" spans="1:113" s="24" customFormat="1" hidden="1" x14ac:dyDescent="0.3">
      <c r="A497" s="172"/>
      <c r="B497" s="172"/>
      <c r="C497" s="172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  <c r="BT497" s="172"/>
      <c r="BU497" s="172"/>
      <c r="BV497" s="172"/>
      <c r="BW497" s="172"/>
      <c r="BX497" s="172"/>
      <c r="BY497" s="174"/>
      <c r="BZ497" s="172"/>
      <c r="CA497" s="172"/>
      <c r="CD497" s="194"/>
      <c r="CE497" s="194"/>
      <c r="CF497" s="194"/>
      <c r="CG497" s="194"/>
      <c r="CH497" s="195"/>
      <c r="CI497" s="194"/>
      <c r="CJ497" s="194"/>
      <c r="CK497" s="194"/>
      <c r="CL497" s="196"/>
      <c r="CM497" s="196"/>
      <c r="CN497" s="194"/>
      <c r="CO497" s="197"/>
      <c r="CP497" s="196"/>
      <c r="CQ497" s="196"/>
      <c r="CR497" s="196"/>
      <c r="CS497" s="196"/>
      <c r="CT497" s="196"/>
      <c r="CU497" s="196"/>
      <c r="CV497" s="194"/>
      <c r="CW497" s="194"/>
      <c r="CX497" s="194"/>
      <c r="CY497" s="194"/>
      <c r="CZ497" s="194"/>
      <c r="DA497" s="194"/>
      <c r="DB497" s="194"/>
      <c r="DC497" s="194"/>
      <c r="DD497" s="194"/>
      <c r="DE497" s="194"/>
      <c r="DF497" s="196"/>
      <c r="DG497" s="198"/>
      <c r="DH497" s="194"/>
      <c r="DI497" s="194"/>
    </row>
    <row r="498" spans="1:113" s="24" customFormat="1" hidden="1" x14ac:dyDescent="0.3">
      <c r="A498" s="172"/>
      <c r="B498" s="172"/>
      <c r="C498" s="172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  <c r="BT498" s="172"/>
      <c r="BU498" s="172"/>
      <c r="BV498" s="172"/>
      <c r="BW498" s="172"/>
      <c r="BX498" s="172"/>
      <c r="BY498" s="174"/>
      <c r="BZ498" s="172"/>
      <c r="CA498" s="172"/>
      <c r="CD498" s="194"/>
      <c r="CE498" s="194"/>
      <c r="CF498" s="194"/>
      <c r="CG498" s="194"/>
      <c r="CH498" s="195"/>
      <c r="CI498" s="194"/>
      <c r="CJ498" s="194"/>
      <c r="CK498" s="194"/>
      <c r="CL498" s="196"/>
      <c r="CM498" s="196"/>
      <c r="CN498" s="194"/>
      <c r="CO498" s="197"/>
      <c r="CP498" s="196"/>
      <c r="CQ498" s="196"/>
      <c r="CR498" s="196"/>
      <c r="CS498" s="196"/>
      <c r="CT498" s="196"/>
      <c r="CU498" s="196"/>
      <c r="CV498" s="194"/>
      <c r="CW498" s="194"/>
      <c r="CX498" s="194"/>
      <c r="CY498" s="194"/>
      <c r="CZ498" s="194"/>
      <c r="DA498" s="194"/>
      <c r="DB498" s="194"/>
      <c r="DC498" s="194"/>
      <c r="DD498" s="194"/>
      <c r="DE498" s="194"/>
      <c r="DF498" s="196"/>
      <c r="DG498" s="198"/>
      <c r="DH498" s="194"/>
      <c r="DI498" s="194"/>
    </row>
    <row r="499" spans="1:113" s="24" customFormat="1" hidden="1" x14ac:dyDescent="0.3">
      <c r="A499" s="172"/>
      <c r="B499" s="172"/>
      <c r="C499" s="172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  <c r="BT499" s="172"/>
      <c r="BU499" s="172"/>
      <c r="BV499" s="172"/>
      <c r="BW499" s="172"/>
      <c r="BX499" s="172"/>
      <c r="BY499" s="174"/>
      <c r="BZ499" s="172"/>
      <c r="CA499" s="172"/>
      <c r="CD499" s="194"/>
      <c r="CE499" s="194"/>
      <c r="CF499" s="194"/>
      <c r="CG499" s="194"/>
      <c r="CH499" s="195"/>
      <c r="CI499" s="194"/>
      <c r="CJ499" s="194"/>
      <c r="CK499" s="194"/>
      <c r="CL499" s="196"/>
      <c r="CM499" s="196"/>
      <c r="CN499" s="194"/>
      <c r="CO499" s="197"/>
      <c r="CP499" s="196"/>
      <c r="CQ499" s="196"/>
      <c r="CR499" s="196"/>
      <c r="CS499" s="196"/>
      <c r="CT499" s="196"/>
      <c r="CU499" s="196"/>
      <c r="CV499" s="194"/>
      <c r="CW499" s="194"/>
      <c r="CX499" s="194"/>
      <c r="CY499" s="194"/>
      <c r="CZ499" s="194"/>
      <c r="DA499" s="194"/>
      <c r="DB499" s="194"/>
      <c r="DC499" s="194"/>
      <c r="DD499" s="194"/>
      <c r="DE499" s="194"/>
      <c r="DF499" s="196"/>
      <c r="DG499" s="198"/>
      <c r="DH499" s="194"/>
      <c r="DI499" s="194"/>
    </row>
    <row r="500" spans="1:113" s="24" customFormat="1" hidden="1" x14ac:dyDescent="0.3">
      <c r="A500" s="172"/>
      <c r="B500" s="172"/>
      <c r="C500" s="172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  <c r="BT500" s="172"/>
      <c r="BU500" s="172"/>
      <c r="BV500" s="172"/>
      <c r="BW500" s="172"/>
      <c r="BX500" s="172"/>
      <c r="BY500" s="174"/>
      <c r="BZ500" s="172"/>
      <c r="CA500" s="172"/>
      <c r="CD500" s="194"/>
      <c r="CE500" s="194"/>
      <c r="CF500" s="194"/>
      <c r="CG500" s="194"/>
      <c r="CH500" s="195"/>
      <c r="CI500" s="194"/>
      <c r="CJ500" s="194"/>
      <c r="CK500" s="194"/>
      <c r="CL500" s="196"/>
      <c r="CM500" s="196"/>
      <c r="CN500" s="194"/>
      <c r="CO500" s="197"/>
      <c r="CP500" s="196"/>
      <c r="CQ500" s="196"/>
      <c r="CR500" s="196"/>
      <c r="CS500" s="196"/>
      <c r="CT500" s="196"/>
      <c r="CU500" s="196"/>
      <c r="CV500" s="194"/>
      <c r="CW500" s="194"/>
      <c r="CX500" s="194"/>
      <c r="CY500" s="194"/>
      <c r="CZ500" s="194"/>
      <c r="DA500" s="194"/>
      <c r="DB500" s="194"/>
      <c r="DC500" s="194"/>
      <c r="DD500" s="194"/>
      <c r="DE500" s="194"/>
      <c r="DF500" s="196"/>
      <c r="DG500" s="198"/>
      <c r="DH500" s="194"/>
      <c r="DI500" s="194"/>
    </row>
    <row r="501" spans="1:113" s="24" customFormat="1" hidden="1" x14ac:dyDescent="0.3">
      <c r="A501" s="172"/>
      <c r="B501" s="172"/>
      <c r="C501" s="172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  <c r="BT501" s="172"/>
      <c r="BU501" s="172"/>
      <c r="BV501" s="172"/>
      <c r="BW501" s="172"/>
      <c r="BX501" s="172"/>
      <c r="BY501" s="174"/>
      <c r="BZ501" s="172"/>
      <c r="CA501" s="172"/>
      <c r="CD501" s="194"/>
      <c r="CE501" s="194"/>
      <c r="CF501" s="194"/>
      <c r="CG501" s="194"/>
      <c r="CH501" s="195"/>
      <c r="CI501" s="194"/>
      <c r="CJ501" s="194"/>
      <c r="CK501" s="194"/>
      <c r="CL501" s="196"/>
      <c r="CM501" s="196"/>
      <c r="CN501" s="194"/>
      <c r="CO501" s="197"/>
      <c r="CP501" s="196"/>
      <c r="CQ501" s="196"/>
      <c r="CR501" s="196"/>
      <c r="CS501" s="196"/>
      <c r="CT501" s="196"/>
      <c r="CU501" s="196"/>
      <c r="CV501" s="194"/>
      <c r="CW501" s="194"/>
      <c r="CX501" s="194"/>
      <c r="CY501" s="194"/>
      <c r="CZ501" s="194"/>
      <c r="DA501" s="194"/>
      <c r="DB501" s="194"/>
      <c r="DC501" s="194"/>
      <c r="DD501" s="194"/>
      <c r="DE501" s="194"/>
      <c r="DF501" s="196"/>
      <c r="DG501" s="198"/>
      <c r="DH501" s="194"/>
      <c r="DI501" s="194"/>
    </row>
    <row r="502" spans="1:113" s="24" customFormat="1" hidden="1" x14ac:dyDescent="0.3">
      <c r="A502" s="172"/>
      <c r="B502" s="172"/>
      <c r="C502" s="172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  <c r="BT502" s="172"/>
      <c r="BU502" s="172"/>
      <c r="BV502" s="172"/>
      <c r="BW502" s="172"/>
      <c r="BX502" s="172"/>
      <c r="BY502" s="174"/>
      <c r="BZ502" s="172"/>
      <c r="CA502" s="172"/>
      <c r="CD502" s="194"/>
      <c r="CE502" s="194"/>
      <c r="CF502" s="194"/>
      <c r="CG502" s="194"/>
      <c r="CH502" s="195"/>
      <c r="CI502" s="194"/>
      <c r="CJ502" s="194"/>
      <c r="CK502" s="194"/>
      <c r="CL502" s="196"/>
      <c r="CM502" s="196"/>
      <c r="CN502" s="194"/>
      <c r="CO502" s="197"/>
      <c r="CP502" s="196"/>
      <c r="CQ502" s="196"/>
      <c r="CR502" s="196"/>
      <c r="CS502" s="196"/>
      <c r="CT502" s="196"/>
      <c r="CU502" s="196"/>
      <c r="CV502" s="194"/>
      <c r="CW502" s="194"/>
      <c r="CX502" s="194"/>
      <c r="CY502" s="194"/>
      <c r="CZ502" s="194"/>
      <c r="DA502" s="194"/>
      <c r="DB502" s="194"/>
      <c r="DC502" s="194"/>
      <c r="DD502" s="194"/>
      <c r="DE502" s="194"/>
      <c r="DF502" s="196"/>
      <c r="DG502" s="198"/>
      <c r="DH502" s="194"/>
      <c r="DI502" s="194"/>
    </row>
    <row r="503" spans="1:113" s="24" customFormat="1" hidden="1" x14ac:dyDescent="0.3">
      <c r="A503" s="172"/>
      <c r="B503" s="172"/>
      <c r="C503" s="172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  <c r="BT503" s="172"/>
      <c r="BU503" s="172"/>
      <c r="BV503" s="172"/>
      <c r="BW503" s="172"/>
      <c r="BX503" s="172"/>
      <c r="BY503" s="174"/>
      <c r="BZ503" s="172"/>
      <c r="CA503" s="172"/>
      <c r="CD503" s="194"/>
      <c r="CE503" s="194"/>
      <c r="CF503" s="194"/>
      <c r="CG503" s="194"/>
      <c r="CH503" s="195"/>
      <c r="CI503" s="194"/>
      <c r="CJ503" s="194"/>
      <c r="CK503" s="194"/>
      <c r="CL503" s="196"/>
      <c r="CM503" s="196"/>
      <c r="CN503" s="194"/>
      <c r="CO503" s="197"/>
      <c r="CP503" s="196"/>
      <c r="CQ503" s="196"/>
      <c r="CR503" s="196"/>
      <c r="CS503" s="196"/>
      <c r="CT503" s="196"/>
      <c r="CU503" s="196"/>
      <c r="CV503" s="194"/>
      <c r="CW503" s="194"/>
      <c r="CX503" s="194"/>
      <c r="CY503" s="194"/>
      <c r="CZ503" s="194"/>
      <c r="DA503" s="194"/>
      <c r="DB503" s="194"/>
      <c r="DC503" s="194"/>
      <c r="DD503" s="194"/>
      <c r="DE503" s="194"/>
      <c r="DF503" s="196"/>
      <c r="DG503" s="198"/>
      <c r="DH503" s="194"/>
      <c r="DI503" s="194"/>
    </row>
    <row r="504" spans="1:113" s="24" customFormat="1" hidden="1" x14ac:dyDescent="0.3">
      <c r="A504" s="172"/>
      <c r="B504" s="172"/>
      <c r="C504" s="172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172"/>
      <c r="BV504" s="172"/>
      <c r="BW504" s="172"/>
      <c r="BX504" s="172"/>
      <c r="BY504" s="174"/>
      <c r="BZ504" s="172"/>
      <c r="CA504" s="172"/>
      <c r="CD504" s="194"/>
      <c r="CE504" s="194"/>
      <c r="CF504" s="194"/>
      <c r="CG504" s="194"/>
      <c r="CH504" s="195"/>
      <c r="CI504" s="194"/>
      <c r="CJ504" s="194"/>
      <c r="CK504" s="194"/>
      <c r="CL504" s="196"/>
      <c r="CM504" s="196"/>
      <c r="CN504" s="194"/>
      <c r="CO504" s="197"/>
      <c r="CP504" s="196"/>
      <c r="CQ504" s="196"/>
      <c r="CR504" s="196"/>
      <c r="CS504" s="196"/>
      <c r="CT504" s="196"/>
      <c r="CU504" s="196"/>
      <c r="CV504" s="194"/>
      <c r="CW504" s="194"/>
      <c r="CX504" s="194"/>
      <c r="CY504" s="194"/>
      <c r="CZ504" s="194"/>
      <c r="DA504" s="194"/>
      <c r="DB504" s="194"/>
      <c r="DC504" s="194"/>
      <c r="DD504" s="194"/>
      <c r="DE504" s="194"/>
      <c r="DF504" s="196"/>
      <c r="DG504" s="198"/>
      <c r="DH504" s="194"/>
      <c r="DI504" s="194"/>
    </row>
    <row r="505" spans="1:113" s="24" customFormat="1" hidden="1" x14ac:dyDescent="0.3">
      <c r="A505" s="172"/>
      <c r="B505" s="172"/>
      <c r="C505" s="172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  <c r="BT505" s="172"/>
      <c r="BU505" s="172"/>
      <c r="BV505" s="172"/>
      <c r="BW505" s="172"/>
      <c r="BX505" s="172"/>
      <c r="BY505" s="174"/>
      <c r="BZ505" s="172"/>
      <c r="CA505" s="172"/>
      <c r="CD505" s="194"/>
      <c r="CE505" s="194"/>
      <c r="CF505" s="194"/>
      <c r="CG505" s="194"/>
      <c r="CH505" s="195"/>
      <c r="CI505" s="194"/>
      <c r="CJ505" s="194"/>
      <c r="CK505" s="194"/>
      <c r="CL505" s="196"/>
      <c r="CM505" s="196"/>
      <c r="CN505" s="194"/>
      <c r="CO505" s="197"/>
      <c r="CP505" s="196"/>
      <c r="CQ505" s="196"/>
      <c r="CR505" s="196"/>
      <c r="CS505" s="196"/>
      <c r="CT505" s="196"/>
      <c r="CU505" s="196"/>
      <c r="CV505" s="194"/>
      <c r="CW505" s="194"/>
      <c r="CX505" s="194"/>
      <c r="CY505" s="194"/>
      <c r="CZ505" s="194"/>
      <c r="DA505" s="194"/>
      <c r="DB505" s="194"/>
      <c r="DC505" s="194"/>
      <c r="DD505" s="194"/>
      <c r="DE505" s="194"/>
      <c r="DF505" s="196"/>
      <c r="DG505" s="198"/>
      <c r="DH505" s="194"/>
      <c r="DI505" s="194"/>
    </row>
    <row r="506" spans="1:113" s="24" customFormat="1" hidden="1" x14ac:dyDescent="0.3">
      <c r="A506" s="172"/>
      <c r="B506" s="172"/>
      <c r="C506" s="172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  <c r="BT506" s="172"/>
      <c r="BU506" s="172"/>
      <c r="BV506" s="172"/>
      <c r="BW506" s="172"/>
      <c r="BX506" s="172"/>
      <c r="BY506" s="174"/>
      <c r="BZ506" s="172"/>
      <c r="CA506" s="172"/>
      <c r="CD506" s="194"/>
      <c r="CE506" s="194"/>
      <c r="CF506" s="194"/>
      <c r="CG506" s="194"/>
      <c r="CH506" s="195"/>
      <c r="CI506" s="194"/>
      <c r="CJ506" s="194"/>
      <c r="CK506" s="194"/>
      <c r="CL506" s="196"/>
      <c r="CM506" s="196"/>
      <c r="CN506" s="194"/>
      <c r="CO506" s="197"/>
      <c r="CP506" s="196"/>
      <c r="CQ506" s="196"/>
      <c r="CR506" s="196"/>
      <c r="CS506" s="196"/>
      <c r="CT506" s="196"/>
      <c r="CU506" s="196"/>
      <c r="CV506" s="194"/>
      <c r="CW506" s="194"/>
      <c r="CX506" s="194"/>
      <c r="CY506" s="194"/>
      <c r="CZ506" s="194"/>
      <c r="DA506" s="194"/>
      <c r="DB506" s="194"/>
      <c r="DC506" s="194"/>
      <c r="DD506" s="194"/>
      <c r="DE506" s="194"/>
      <c r="DF506" s="196"/>
      <c r="DG506" s="198"/>
      <c r="DH506" s="194"/>
      <c r="DI506" s="194"/>
    </row>
    <row r="507" spans="1:113" s="24" customFormat="1" hidden="1" x14ac:dyDescent="0.3">
      <c r="A507" s="172"/>
      <c r="B507" s="172"/>
      <c r="C507" s="172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4"/>
      <c r="BZ507" s="172"/>
      <c r="CA507" s="172"/>
      <c r="CD507" s="194"/>
      <c r="CE507" s="194"/>
      <c r="CF507" s="194"/>
      <c r="CG507" s="194"/>
      <c r="CH507" s="195"/>
      <c r="CI507" s="194"/>
      <c r="CJ507" s="194"/>
      <c r="CK507" s="194"/>
      <c r="CL507" s="196"/>
      <c r="CM507" s="196"/>
      <c r="CN507" s="194"/>
      <c r="CO507" s="197"/>
      <c r="CP507" s="196"/>
      <c r="CQ507" s="196"/>
      <c r="CR507" s="196"/>
      <c r="CS507" s="196"/>
      <c r="CT507" s="196"/>
      <c r="CU507" s="196"/>
      <c r="CV507" s="194"/>
      <c r="CW507" s="194"/>
      <c r="CX507" s="194"/>
      <c r="CY507" s="194"/>
      <c r="CZ507" s="194"/>
      <c r="DA507" s="194"/>
      <c r="DB507" s="194"/>
      <c r="DC507" s="194"/>
      <c r="DD507" s="194"/>
      <c r="DE507" s="194"/>
      <c r="DF507" s="196"/>
      <c r="DG507" s="198"/>
      <c r="DH507" s="194"/>
      <c r="DI507" s="194"/>
    </row>
    <row r="508" spans="1:113" s="24" customFormat="1" hidden="1" x14ac:dyDescent="0.3">
      <c r="A508" s="172"/>
      <c r="B508" s="172"/>
      <c r="C508" s="172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  <c r="BT508" s="172"/>
      <c r="BU508" s="172"/>
      <c r="BV508" s="172"/>
      <c r="BW508" s="172"/>
      <c r="BX508" s="172"/>
      <c r="BY508" s="174"/>
      <c r="BZ508" s="172"/>
      <c r="CA508" s="172"/>
      <c r="CD508" s="194"/>
      <c r="CE508" s="194"/>
      <c r="CF508" s="194"/>
      <c r="CG508" s="194"/>
      <c r="CH508" s="195"/>
      <c r="CI508" s="194"/>
      <c r="CJ508" s="194"/>
      <c r="CK508" s="194"/>
      <c r="CL508" s="196"/>
      <c r="CM508" s="196"/>
      <c r="CN508" s="194"/>
      <c r="CO508" s="197"/>
      <c r="CP508" s="196"/>
      <c r="CQ508" s="196"/>
      <c r="CR508" s="196"/>
      <c r="CS508" s="196"/>
      <c r="CT508" s="196"/>
      <c r="CU508" s="196"/>
      <c r="CV508" s="194"/>
      <c r="CW508" s="194"/>
      <c r="CX508" s="194"/>
      <c r="CY508" s="194"/>
      <c r="CZ508" s="194"/>
      <c r="DA508" s="194"/>
      <c r="DB508" s="194"/>
      <c r="DC508" s="194"/>
      <c r="DD508" s="194"/>
      <c r="DE508" s="194"/>
      <c r="DF508" s="196"/>
      <c r="DG508" s="198"/>
      <c r="DH508" s="194"/>
      <c r="DI508" s="194"/>
    </row>
    <row r="509" spans="1:113" s="24" customFormat="1" hidden="1" x14ac:dyDescent="0.3">
      <c r="A509" s="172"/>
      <c r="B509" s="172"/>
      <c r="C509" s="172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  <c r="BT509" s="172"/>
      <c r="BU509" s="172"/>
      <c r="BV509" s="172"/>
      <c r="BW509" s="172"/>
      <c r="BX509" s="172"/>
      <c r="BY509" s="174"/>
      <c r="BZ509" s="172"/>
      <c r="CA509" s="172"/>
      <c r="CD509" s="194"/>
      <c r="CE509" s="194"/>
      <c r="CF509" s="194"/>
      <c r="CG509" s="194"/>
      <c r="CH509" s="195"/>
      <c r="CI509" s="194"/>
      <c r="CJ509" s="194"/>
      <c r="CK509" s="194"/>
      <c r="CL509" s="196"/>
      <c r="CM509" s="196"/>
      <c r="CN509" s="194"/>
      <c r="CO509" s="197"/>
      <c r="CP509" s="196"/>
      <c r="CQ509" s="196"/>
      <c r="CR509" s="196"/>
      <c r="CS509" s="196"/>
      <c r="CT509" s="196"/>
      <c r="CU509" s="196"/>
      <c r="CV509" s="194"/>
      <c r="CW509" s="194"/>
      <c r="CX509" s="194"/>
      <c r="CY509" s="194"/>
      <c r="CZ509" s="194"/>
      <c r="DA509" s="194"/>
      <c r="DB509" s="194"/>
      <c r="DC509" s="194"/>
      <c r="DD509" s="194"/>
      <c r="DE509" s="194"/>
      <c r="DF509" s="196"/>
      <c r="DG509" s="198"/>
      <c r="DH509" s="194"/>
      <c r="DI509" s="194"/>
    </row>
    <row r="510" spans="1:113" s="24" customFormat="1" hidden="1" x14ac:dyDescent="0.3">
      <c r="A510" s="172"/>
      <c r="B510" s="172"/>
      <c r="C510" s="172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172"/>
      <c r="BV510" s="172"/>
      <c r="BW510" s="172"/>
      <c r="BX510" s="172"/>
      <c r="BY510" s="174"/>
      <c r="BZ510" s="172"/>
      <c r="CA510" s="172"/>
      <c r="CD510" s="194"/>
      <c r="CE510" s="194"/>
      <c r="CF510" s="194"/>
      <c r="CG510" s="194"/>
      <c r="CH510" s="195"/>
      <c r="CI510" s="194"/>
      <c r="CJ510" s="194"/>
      <c r="CK510" s="194"/>
      <c r="CL510" s="196"/>
      <c r="CM510" s="196"/>
      <c r="CN510" s="194"/>
      <c r="CO510" s="197"/>
      <c r="CP510" s="196"/>
      <c r="CQ510" s="196"/>
      <c r="CR510" s="196"/>
      <c r="CS510" s="196"/>
      <c r="CT510" s="196"/>
      <c r="CU510" s="196"/>
      <c r="CV510" s="194"/>
      <c r="CW510" s="194"/>
      <c r="CX510" s="194"/>
      <c r="CY510" s="194"/>
      <c r="CZ510" s="194"/>
      <c r="DA510" s="194"/>
      <c r="DB510" s="194"/>
      <c r="DC510" s="194"/>
      <c r="DD510" s="194"/>
      <c r="DE510" s="194"/>
      <c r="DF510" s="196"/>
      <c r="DG510" s="198"/>
      <c r="DH510" s="194"/>
      <c r="DI510" s="194"/>
    </row>
    <row r="511" spans="1:113" s="24" customFormat="1" hidden="1" x14ac:dyDescent="0.3">
      <c r="A511" s="172"/>
      <c r="B511" s="172"/>
      <c r="C511" s="172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4"/>
      <c r="BZ511" s="172"/>
      <c r="CA511" s="172"/>
      <c r="CD511" s="194"/>
      <c r="CE511" s="194"/>
      <c r="CF511" s="194"/>
      <c r="CG511" s="194"/>
      <c r="CH511" s="195"/>
      <c r="CI511" s="194"/>
      <c r="CJ511" s="194"/>
      <c r="CK511" s="194"/>
      <c r="CL511" s="196"/>
      <c r="CM511" s="196"/>
      <c r="CN511" s="194"/>
      <c r="CO511" s="197"/>
      <c r="CP511" s="196"/>
      <c r="CQ511" s="196"/>
      <c r="CR511" s="196"/>
      <c r="CS511" s="196"/>
      <c r="CT511" s="196"/>
      <c r="CU511" s="196"/>
      <c r="CV511" s="194"/>
      <c r="CW511" s="194"/>
      <c r="CX511" s="194"/>
      <c r="CY511" s="194"/>
      <c r="CZ511" s="194"/>
      <c r="DA511" s="194"/>
      <c r="DB511" s="194"/>
      <c r="DC511" s="194"/>
      <c r="DD511" s="194"/>
      <c r="DE511" s="194"/>
      <c r="DF511" s="196"/>
      <c r="DG511" s="198"/>
      <c r="DH511" s="194"/>
      <c r="DI511" s="194"/>
    </row>
    <row r="512" spans="1:113" s="24" customFormat="1" hidden="1" x14ac:dyDescent="0.3">
      <c r="A512" s="172"/>
      <c r="B512" s="172"/>
      <c r="C512" s="172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2"/>
      <c r="AT512" s="172"/>
      <c r="AU512" s="172"/>
      <c r="AV512" s="172"/>
      <c r="AW512" s="172"/>
      <c r="AX512" s="17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  <c r="BT512" s="172"/>
      <c r="BU512" s="172"/>
      <c r="BV512" s="172"/>
      <c r="BW512" s="172"/>
      <c r="BX512" s="172"/>
      <c r="BY512" s="174"/>
      <c r="BZ512" s="172"/>
      <c r="CA512" s="172"/>
      <c r="CD512" s="194"/>
      <c r="CE512" s="194"/>
      <c r="CF512" s="194"/>
      <c r="CG512" s="194"/>
      <c r="CH512" s="195"/>
      <c r="CI512" s="194"/>
      <c r="CJ512" s="194"/>
      <c r="CK512" s="194"/>
      <c r="CL512" s="196"/>
      <c r="CM512" s="196"/>
      <c r="CN512" s="194"/>
      <c r="CO512" s="197"/>
      <c r="CP512" s="196"/>
      <c r="CQ512" s="196"/>
      <c r="CR512" s="196"/>
      <c r="CS512" s="196"/>
      <c r="CT512" s="196"/>
      <c r="CU512" s="196"/>
      <c r="CV512" s="194"/>
      <c r="CW512" s="194"/>
      <c r="CX512" s="194"/>
      <c r="CY512" s="194"/>
      <c r="CZ512" s="194"/>
      <c r="DA512" s="194"/>
      <c r="DB512" s="194"/>
      <c r="DC512" s="194"/>
      <c r="DD512" s="194"/>
      <c r="DE512" s="194"/>
      <c r="DF512" s="196"/>
      <c r="DG512" s="198"/>
      <c r="DH512" s="194"/>
      <c r="DI512" s="194"/>
    </row>
    <row r="513" spans="1:113" s="24" customFormat="1" hidden="1" x14ac:dyDescent="0.3">
      <c r="A513" s="172"/>
      <c r="B513" s="172"/>
      <c r="C513" s="172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2"/>
      <c r="AT513" s="172"/>
      <c r="AU513" s="172"/>
      <c r="AV513" s="172"/>
      <c r="AW513" s="172"/>
      <c r="AX513" s="17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  <c r="BT513" s="172"/>
      <c r="BU513" s="172"/>
      <c r="BV513" s="172"/>
      <c r="BW513" s="172"/>
      <c r="BX513" s="172"/>
      <c r="BY513" s="174"/>
      <c r="BZ513" s="172"/>
      <c r="CA513" s="172"/>
      <c r="CD513" s="194"/>
      <c r="CE513" s="194"/>
      <c r="CF513" s="194"/>
      <c r="CG513" s="194"/>
      <c r="CH513" s="195"/>
      <c r="CI513" s="194"/>
      <c r="CJ513" s="194"/>
      <c r="CK513" s="194"/>
      <c r="CL513" s="196"/>
      <c r="CM513" s="196"/>
      <c r="CN513" s="194"/>
      <c r="CO513" s="197"/>
      <c r="CP513" s="196"/>
      <c r="CQ513" s="196"/>
      <c r="CR513" s="196"/>
      <c r="CS513" s="196"/>
      <c r="CT513" s="196"/>
      <c r="CU513" s="196"/>
      <c r="CV513" s="194"/>
      <c r="CW513" s="194"/>
      <c r="CX513" s="194"/>
      <c r="CY513" s="194"/>
      <c r="CZ513" s="194"/>
      <c r="DA513" s="194"/>
      <c r="DB513" s="194"/>
      <c r="DC513" s="194"/>
      <c r="DD513" s="194"/>
      <c r="DE513" s="194"/>
      <c r="DF513" s="196"/>
      <c r="DG513" s="198"/>
      <c r="DH513" s="194"/>
      <c r="DI513" s="194"/>
    </row>
    <row r="514" spans="1:113" s="24" customFormat="1" hidden="1" x14ac:dyDescent="0.3">
      <c r="A514" s="172"/>
      <c r="B514" s="172"/>
      <c r="C514" s="172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2"/>
      <c r="AT514" s="172"/>
      <c r="AU514" s="172"/>
      <c r="AV514" s="172"/>
      <c r="AW514" s="172"/>
      <c r="AX514" s="17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  <c r="BT514" s="172"/>
      <c r="BU514" s="172"/>
      <c r="BV514" s="172"/>
      <c r="BW514" s="172"/>
      <c r="BX514" s="172"/>
      <c r="BY514" s="174"/>
      <c r="BZ514" s="172"/>
      <c r="CA514" s="172"/>
      <c r="CD514" s="194"/>
      <c r="CE514" s="194"/>
      <c r="CF514" s="194"/>
      <c r="CG514" s="194"/>
      <c r="CH514" s="195"/>
      <c r="CI514" s="194"/>
      <c r="CJ514" s="194"/>
      <c r="CK514" s="194"/>
      <c r="CL514" s="196"/>
      <c r="CM514" s="196"/>
      <c r="CN514" s="194"/>
      <c r="CO514" s="197"/>
      <c r="CP514" s="196"/>
      <c r="CQ514" s="196"/>
      <c r="CR514" s="196"/>
      <c r="CS514" s="196"/>
      <c r="CT514" s="196"/>
      <c r="CU514" s="196"/>
      <c r="CV514" s="194"/>
      <c r="CW514" s="194"/>
      <c r="CX514" s="194"/>
      <c r="CY514" s="194"/>
      <c r="CZ514" s="194"/>
      <c r="DA514" s="194"/>
      <c r="DB514" s="194"/>
      <c r="DC514" s="194"/>
      <c r="DD514" s="194"/>
      <c r="DE514" s="194"/>
      <c r="DF514" s="196"/>
      <c r="DG514" s="198"/>
      <c r="DH514" s="194"/>
      <c r="DI514" s="194"/>
    </row>
    <row r="515" spans="1:113" s="24" customFormat="1" hidden="1" x14ac:dyDescent="0.3">
      <c r="A515" s="172"/>
      <c r="B515" s="172"/>
      <c r="C515" s="172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2"/>
      <c r="AT515" s="172"/>
      <c r="AU515" s="172"/>
      <c r="AV515" s="172"/>
      <c r="AW515" s="172"/>
      <c r="AX515" s="17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  <c r="BT515" s="172"/>
      <c r="BU515" s="172"/>
      <c r="BV515" s="172"/>
      <c r="BW515" s="172"/>
      <c r="BX515" s="172"/>
      <c r="BY515" s="174"/>
      <c r="BZ515" s="172"/>
      <c r="CA515" s="172"/>
      <c r="CD515" s="194"/>
      <c r="CE515" s="194"/>
      <c r="CF515" s="194"/>
      <c r="CG515" s="194"/>
      <c r="CH515" s="195"/>
      <c r="CI515" s="194"/>
      <c r="CJ515" s="194"/>
      <c r="CK515" s="194"/>
      <c r="CL515" s="196"/>
      <c r="CM515" s="196"/>
      <c r="CN515" s="194"/>
      <c r="CO515" s="197"/>
      <c r="CP515" s="196"/>
      <c r="CQ515" s="196"/>
      <c r="CR515" s="196"/>
      <c r="CS515" s="196"/>
      <c r="CT515" s="196"/>
      <c r="CU515" s="196"/>
      <c r="CV515" s="194"/>
      <c r="CW515" s="194"/>
      <c r="CX515" s="194"/>
      <c r="CY515" s="194"/>
      <c r="CZ515" s="194"/>
      <c r="DA515" s="194"/>
      <c r="DB515" s="194"/>
      <c r="DC515" s="194"/>
      <c r="DD515" s="194"/>
      <c r="DE515" s="194"/>
      <c r="DF515" s="196"/>
      <c r="DG515" s="198"/>
      <c r="DH515" s="194"/>
      <c r="DI515" s="194"/>
    </row>
    <row r="516" spans="1:113" s="24" customFormat="1" hidden="1" x14ac:dyDescent="0.3">
      <c r="A516" s="172"/>
      <c r="B516" s="172"/>
      <c r="C516" s="172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  <c r="BT516" s="172"/>
      <c r="BU516" s="172"/>
      <c r="BV516" s="172"/>
      <c r="BW516" s="172"/>
      <c r="BX516" s="172"/>
      <c r="BY516" s="174"/>
      <c r="BZ516" s="172"/>
      <c r="CA516" s="172"/>
      <c r="CD516" s="194"/>
      <c r="CE516" s="194"/>
      <c r="CF516" s="194"/>
      <c r="CG516" s="194"/>
      <c r="CH516" s="195"/>
      <c r="CI516" s="194"/>
      <c r="CJ516" s="194"/>
      <c r="CK516" s="194"/>
      <c r="CL516" s="196"/>
      <c r="CM516" s="196"/>
      <c r="CN516" s="194"/>
      <c r="CO516" s="197"/>
      <c r="CP516" s="196"/>
      <c r="CQ516" s="196"/>
      <c r="CR516" s="196"/>
      <c r="CS516" s="196"/>
      <c r="CT516" s="196"/>
      <c r="CU516" s="196"/>
      <c r="CV516" s="194"/>
      <c r="CW516" s="194"/>
      <c r="CX516" s="194"/>
      <c r="CY516" s="194"/>
      <c r="CZ516" s="194"/>
      <c r="DA516" s="194"/>
      <c r="DB516" s="194"/>
      <c r="DC516" s="194"/>
      <c r="DD516" s="194"/>
      <c r="DE516" s="194"/>
      <c r="DF516" s="196"/>
      <c r="DG516" s="198"/>
      <c r="DH516" s="194"/>
      <c r="DI516" s="194"/>
    </row>
    <row r="517" spans="1:113" s="24" customFormat="1" hidden="1" x14ac:dyDescent="0.3">
      <c r="A517" s="172"/>
      <c r="B517" s="172"/>
      <c r="C517" s="172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  <c r="BT517" s="172"/>
      <c r="BU517" s="172"/>
      <c r="BV517" s="172"/>
      <c r="BW517" s="172"/>
      <c r="BX517" s="172"/>
      <c r="BY517" s="174"/>
      <c r="BZ517" s="172"/>
      <c r="CA517" s="172"/>
      <c r="CD517" s="194"/>
      <c r="CE517" s="194"/>
      <c r="CF517" s="194"/>
      <c r="CG517" s="194"/>
      <c r="CH517" s="195"/>
      <c r="CI517" s="194"/>
      <c r="CJ517" s="194"/>
      <c r="CK517" s="194"/>
      <c r="CL517" s="196"/>
      <c r="CM517" s="196"/>
      <c r="CN517" s="194"/>
      <c r="CO517" s="197"/>
      <c r="CP517" s="196"/>
      <c r="CQ517" s="196"/>
      <c r="CR517" s="196"/>
      <c r="CS517" s="196"/>
      <c r="CT517" s="196"/>
      <c r="CU517" s="196"/>
      <c r="CV517" s="194"/>
      <c r="CW517" s="194"/>
      <c r="CX517" s="194"/>
      <c r="CY517" s="194"/>
      <c r="CZ517" s="194"/>
      <c r="DA517" s="194"/>
      <c r="DB517" s="194"/>
      <c r="DC517" s="194"/>
      <c r="DD517" s="194"/>
      <c r="DE517" s="194"/>
      <c r="DF517" s="196"/>
      <c r="DG517" s="198"/>
      <c r="DH517" s="194"/>
      <c r="DI517" s="194"/>
    </row>
    <row r="518" spans="1:113" s="24" customFormat="1" hidden="1" x14ac:dyDescent="0.3">
      <c r="A518" s="172"/>
      <c r="B518" s="172"/>
      <c r="C518" s="172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  <c r="BT518" s="172"/>
      <c r="BU518" s="172"/>
      <c r="BV518" s="172"/>
      <c r="BW518" s="172"/>
      <c r="BX518" s="172"/>
      <c r="BY518" s="174"/>
      <c r="BZ518" s="172"/>
      <c r="CA518" s="172"/>
      <c r="CD518" s="194"/>
      <c r="CE518" s="194"/>
      <c r="CF518" s="194"/>
      <c r="CG518" s="194"/>
      <c r="CH518" s="195"/>
      <c r="CI518" s="194"/>
      <c r="CJ518" s="194"/>
      <c r="CK518" s="194"/>
      <c r="CL518" s="196"/>
      <c r="CM518" s="196"/>
      <c r="CN518" s="194"/>
      <c r="CO518" s="197"/>
      <c r="CP518" s="196"/>
      <c r="CQ518" s="196"/>
      <c r="CR518" s="196"/>
      <c r="CS518" s="196"/>
      <c r="CT518" s="196"/>
      <c r="CU518" s="196"/>
      <c r="CV518" s="194"/>
      <c r="CW518" s="194"/>
      <c r="CX518" s="194"/>
      <c r="CY518" s="194"/>
      <c r="CZ518" s="194"/>
      <c r="DA518" s="194"/>
      <c r="DB518" s="194"/>
      <c r="DC518" s="194"/>
      <c r="DD518" s="194"/>
      <c r="DE518" s="194"/>
      <c r="DF518" s="196"/>
      <c r="DG518" s="198"/>
      <c r="DH518" s="194"/>
      <c r="DI518" s="194"/>
    </row>
    <row r="519" spans="1:113" s="24" customFormat="1" hidden="1" x14ac:dyDescent="0.3">
      <c r="A519" s="172"/>
      <c r="B519" s="172"/>
      <c r="C519" s="172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  <c r="BT519" s="172"/>
      <c r="BU519" s="172"/>
      <c r="BV519" s="172"/>
      <c r="BW519" s="172"/>
      <c r="BX519" s="172"/>
      <c r="BY519" s="174"/>
      <c r="BZ519" s="172"/>
      <c r="CA519" s="172"/>
      <c r="CD519" s="194"/>
      <c r="CE519" s="194"/>
      <c r="CF519" s="194"/>
      <c r="CG519" s="194"/>
      <c r="CH519" s="195"/>
      <c r="CI519" s="194"/>
      <c r="CJ519" s="194"/>
      <c r="CK519" s="194"/>
      <c r="CL519" s="196"/>
      <c r="CM519" s="196"/>
      <c r="CN519" s="194"/>
      <c r="CO519" s="197"/>
      <c r="CP519" s="196"/>
      <c r="CQ519" s="196"/>
      <c r="CR519" s="196"/>
      <c r="CS519" s="196"/>
      <c r="CT519" s="196"/>
      <c r="CU519" s="196"/>
      <c r="CV519" s="194"/>
      <c r="CW519" s="194"/>
      <c r="CX519" s="194"/>
      <c r="CY519" s="194"/>
      <c r="CZ519" s="194"/>
      <c r="DA519" s="194"/>
      <c r="DB519" s="194"/>
      <c r="DC519" s="194"/>
      <c r="DD519" s="194"/>
      <c r="DE519" s="194"/>
      <c r="DF519" s="196"/>
      <c r="DG519" s="198"/>
      <c r="DH519" s="194"/>
      <c r="DI519" s="194"/>
    </row>
    <row r="520" spans="1:113" s="24" customFormat="1" hidden="1" x14ac:dyDescent="0.3">
      <c r="A520" s="172"/>
      <c r="B520" s="172"/>
      <c r="C520" s="172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  <c r="BT520" s="172"/>
      <c r="BU520" s="172"/>
      <c r="BV520" s="172"/>
      <c r="BW520" s="172"/>
      <c r="BX520" s="172"/>
      <c r="BY520" s="174"/>
      <c r="BZ520" s="172"/>
      <c r="CA520" s="172"/>
      <c r="CD520" s="194"/>
      <c r="CE520" s="194"/>
      <c r="CF520" s="194"/>
      <c r="CG520" s="194"/>
      <c r="CH520" s="195"/>
      <c r="CI520" s="194"/>
      <c r="CJ520" s="194"/>
      <c r="CK520" s="194"/>
      <c r="CL520" s="196"/>
      <c r="CM520" s="196"/>
      <c r="CN520" s="194"/>
      <c r="CO520" s="197"/>
      <c r="CP520" s="196"/>
      <c r="CQ520" s="196"/>
      <c r="CR520" s="196"/>
      <c r="CS520" s="196"/>
      <c r="CT520" s="196"/>
      <c r="CU520" s="196"/>
      <c r="CV520" s="194"/>
      <c r="CW520" s="194"/>
      <c r="CX520" s="194"/>
      <c r="CY520" s="194"/>
      <c r="CZ520" s="194"/>
      <c r="DA520" s="194"/>
      <c r="DB520" s="194"/>
      <c r="DC520" s="194"/>
      <c r="DD520" s="194"/>
      <c r="DE520" s="194"/>
      <c r="DF520" s="196"/>
      <c r="DG520" s="198"/>
      <c r="DH520" s="194"/>
      <c r="DI520" s="194"/>
    </row>
    <row r="521" spans="1:113" s="24" customFormat="1" hidden="1" x14ac:dyDescent="0.3">
      <c r="A521" s="172"/>
      <c r="B521" s="172"/>
      <c r="C521" s="172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  <c r="BT521" s="172"/>
      <c r="BU521" s="172"/>
      <c r="BV521" s="172"/>
      <c r="BW521" s="172"/>
      <c r="BX521" s="172"/>
      <c r="BY521" s="174"/>
      <c r="BZ521" s="172"/>
      <c r="CA521" s="172"/>
      <c r="CD521" s="194"/>
      <c r="CE521" s="194"/>
      <c r="CF521" s="194"/>
      <c r="CG521" s="194"/>
      <c r="CH521" s="195"/>
      <c r="CI521" s="194"/>
      <c r="CJ521" s="194"/>
      <c r="CK521" s="194"/>
      <c r="CL521" s="196"/>
      <c r="CM521" s="196"/>
      <c r="CN521" s="194"/>
      <c r="CO521" s="197"/>
      <c r="CP521" s="196"/>
      <c r="CQ521" s="196"/>
      <c r="CR521" s="196"/>
      <c r="CS521" s="196"/>
      <c r="CT521" s="196"/>
      <c r="CU521" s="196"/>
      <c r="CV521" s="194"/>
      <c r="CW521" s="194"/>
      <c r="CX521" s="194"/>
      <c r="CY521" s="194"/>
      <c r="CZ521" s="194"/>
      <c r="DA521" s="194"/>
      <c r="DB521" s="194"/>
      <c r="DC521" s="194"/>
      <c r="DD521" s="194"/>
      <c r="DE521" s="194"/>
      <c r="DF521" s="196"/>
      <c r="DG521" s="198"/>
      <c r="DH521" s="194"/>
      <c r="DI521" s="194"/>
    </row>
    <row r="522" spans="1:113" s="24" customFormat="1" hidden="1" x14ac:dyDescent="0.3">
      <c r="A522" s="172"/>
      <c r="B522" s="172"/>
      <c r="C522" s="172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  <c r="BT522" s="172"/>
      <c r="BU522" s="172"/>
      <c r="BV522" s="172"/>
      <c r="BW522" s="172"/>
      <c r="BX522" s="172"/>
      <c r="BY522" s="174"/>
      <c r="BZ522" s="172"/>
      <c r="CA522" s="172"/>
      <c r="CD522" s="194"/>
      <c r="CE522" s="194"/>
      <c r="CF522" s="194"/>
      <c r="CG522" s="194"/>
      <c r="CH522" s="195"/>
      <c r="CI522" s="194"/>
      <c r="CJ522" s="194"/>
      <c r="CK522" s="194"/>
      <c r="CL522" s="196"/>
      <c r="CM522" s="196"/>
      <c r="CN522" s="194"/>
      <c r="CO522" s="197"/>
      <c r="CP522" s="196"/>
      <c r="CQ522" s="196"/>
      <c r="CR522" s="196"/>
      <c r="CS522" s="196"/>
      <c r="CT522" s="196"/>
      <c r="CU522" s="196"/>
      <c r="CV522" s="194"/>
      <c r="CW522" s="194"/>
      <c r="CX522" s="194"/>
      <c r="CY522" s="194"/>
      <c r="CZ522" s="194"/>
      <c r="DA522" s="194"/>
      <c r="DB522" s="194"/>
      <c r="DC522" s="194"/>
      <c r="DD522" s="194"/>
      <c r="DE522" s="194"/>
      <c r="DF522" s="196"/>
      <c r="DG522" s="198"/>
      <c r="DH522" s="194"/>
      <c r="DI522" s="194"/>
    </row>
    <row r="523" spans="1:113" s="24" customFormat="1" hidden="1" x14ac:dyDescent="0.3">
      <c r="A523" s="172"/>
      <c r="B523" s="172"/>
      <c r="C523" s="172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  <c r="BT523" s="172"/>
      <c r="BU523" s="172"/>
      <c r="BV523" s="172"/>
      <c r="BW523" s="172"/>
      <c r="BX523" s="172"/>
      <c r="BY523" s="174"/>
      <c r="BZ523" s="172"/>
      <c r="CA523" s="172"/>
      <c r="CD523" s="194"/>
      <c r="CE523" s="194"/>
      <c r="CF523" s="194"/>
      <c r="CG523" s="194"/>
      <c r="CH523" s="195"/>
      <c r="CI523" s="194"/>
      <c r="CJ523" s="194"/>
      <c r="CK523" s="194"/>
      <c r="CL523" s="196"/>
      <c r="CM523" s="196"/>
      <c r="CN523" s="194"/>
      <c r="CO523" s="197"/>
      <c r="CP523" s="196"/>
      <c r="CQ523" s="196"/>
      <c r="CR523" s="196"/>
      <c r="CS523" s="196"/>
      <c r="CT523" s="196"/>
      <c r="CU523" s="196"/>
      <c r="CV523" s="194"/>
      <c r="CW523" s="194"/>
      <c r="CX523" s="194"/>
      <c r="CY523" s="194"/>
      <c r="CZ523" s="194"/>
      <c r="DA523" s="194"/>
      <c r="DB523" s="194"/>
      <c r="DC523" s="194"/>
      <c r="DD523" s="194"/>
      <c r="DE523" s="194"/>
      <c r="DF523" s="196"/>
      <c r="DG523" s="198"/>
      <c r="DH523" s="194"/>
      <c r="DI523" s="194"/>
    </row>
    <row r="524" spans="1:113" s="24" customFormat="1" hidden="1" x14ac:dyDescent="0.3">
      <c r="A524" s="172"/>
      <c r="B524" s="172"/>
      <c r="C524" s="172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  <c r="BT524" s="172"/>
      <c r="BU524" s="172"/>
      <c r="BV524" s="172"/>
      <c r="BW524" s="172"/>
      <c r="BX524" s="172"/>
      <c r="BY524" s="174"/>
      <c r="BZ524" s="172"/>
      <c r="CA524" s="172"/>
      <c r="CD524" s="194"/>
      <c r="CE524" s="194"/>
      <c r="CF524" s="194"/>
      <c r="CG524" s="194"/>
      <c r="CH524" s="195"/>
      <c r="CI524" s="194"/>
      <c r="CJ524" s="194"/>
      <c r="CK524" s="194"/>
      <c r="CL524" s="196"/>
      <c r="CM524" s="196"/>
      <c r="CN524" s="194"/>
      <c r="CO524" s="197"/>
      <c r="CP524" s="196"/>
      <c r="CQ524" s="196"/>
      <c r="CR524" s="196"/>
      <c r="CS524" s="196"/>
      <c r="CT524" s="196"/>
      <c r="CU524" s="196"/>
      <c r="CV524" s="194"/>
      <c r="CW524" s="194"/>
      <c r="CX524" s="194"/>
      <c r="CY524" s="194"/>
      <c r="CZ524" s="194"/>
      <c r="DA524" s="194"/>
      <c r="DB524" s="194"/>
      <c r="DC524" s="194"/>
      <c r="DD524" s="194"/>
      <c r="DE524" s="194"/>
      <c r="DF524" s="196"/>
      <c r="DG524" s="198"/>
      <c r="DH524" s="194"/>
      <c r="DI524" s="194"/>
    </row>
    <row r="525" spans="1:113" s="24" customFormat="1" hidden="1" x14ac:dyDescent="0.3">
      <c r="A525" s="172"/>
      <c r="B525" s="172"/>
      <c r="C525" s="172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  <c r="BT525" s="172"/>
      <c r="BU525" s="172"/>
      <c r="BV525" s="172"/>
      <c r="BW525" s="172"/>
      <c r="BX525" s="172"/>
      <c r="BY525" s="174"/>
      <c r="BZ525" s="172"/>
      <c r="CA525" s="172"/>
      <c r="CD525" s="194"/>
      <c r="CE525" s="194"/>
      <c r="CF525" s="194"/>
      <c r="CG525" s="194"/>
      <c r="CH525" s="195"/>
      <c r="CI525" s="194"/>
      <c r="CJ525" s="194"/>
      <c r="CK525" s="194"/>
      <c r="CL525" s="196"/>
      <c r="CM525" s="196"/>
      <c r="CN525" s="194"/>
      <c r="CO525" s="197"/>
      <c r="CP525" s="196"/>
      <c r="CQ525" s="196"/>
      <c r="CR525" s="196"/>
      <c r="CS525" s="196"/>
      <c r="CT525" s="196"/>
      <c r="CU525" s="196"/>
      <c r="CV525" s="194"/>
      <c r="CW525" s="194"/>
      <c r="CX525" s="194"/>
      <c r="CY525" s="194"/>
      <c r="CZ525" s="194"/>
      <c r="DA525" s="194"/>
      <c r="DB525" s="194"/>
      <c r="DC525" s="194"/>
      <c r="DD525" s="194"/>
      <c r="DE525" s="194"/>
      <c r="DF525" s="196"/>
      <c r="DG525" s="198"/>
      <c r="DH525" s="194"/>
      <c r="DI525" s="194"/>
    </row>
    <row r="526" spans="1:113" s="24" customFormat="1" hidden="1" x14ac:dyDescent="0.3">
      <c r="A526" s="172"/>
      <c r="B526" s="172"/>
      <c r="C526" s="172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  <c r="BT526" s="172"/>
      <c r="BU526" s="172"/>
      <c r="BV526" s="172"/>
      <c r="BW526" s="172"/>
      <c r="BX526" s="172"/>
      <c r="BY526" s="174"/>
      <c r="BZ526" s="172"/>
      <c r="CA526" s="172"/>
      <c r="CD526" s="194"/>
      <c r="CE526" s="194"/>
      <c r="CF526" s="194"/>
      <c r="CG526" s="194"/>
      <c r="CH526" s="195"/>
      <c r="CI526" s="194"/>
      <c r="CJ526" s="194"/>
      <c r="CK526" s="194"/>
      <c r="CL526" s="196"/>
      <c r="CM526" s="196"/>
      <c r="CN526" s="194"/>
      <c r="CO526" s="197"/>
      <c r="CP526" s="196"/>
      <c r="CQ526" s="196"/>
      <c r="CR526" s="196"/>
      <c r="CS526" s="196"/>
      <c r="CT526" s="196"/>
      <c r="CU526" s="196"/>
      <c r="CV526" s="194"/>
      <c r="CW526" s="194"/>
      <c r="CX526" s="194"/>
      <c r="CY526" s="194"/>
      <c r="CZ526" s="194"/>
      <c r="DA526" s="194"/>
      <c r="DB526" s="194"/>
      <c r="DC526" s="194"/>
      <c r="DD526" s="194"/>
      <c r="DE526" s="194"/>
      <c r="DF526" s="196"/>
      <c r="DG526" s="198"/>
      <c r="DH526" s="194"/>
      <c r="DI526" s="194"/>
    </row>
    <row r="527" spans="1:113" s="24" customFormat="1" hidden="1" x14ac:dyDescent="0.3">
      <c r="A527" s="172"/>
      <c r="B527" s="172"/>
      <c r="C527" s="172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  <c r="BT527" s="172"/>
      <c r="BU527" s="172"/>
      <c r="BV527" s="172"/>
      <c r="BW527" s="172"/>
      <c r="BX527" s="172"/>
      <c r="BY527" s="174"/>
      <c r="BZ527" s="172"/>
      <c r="CA527" s="172"/>
      <c r="CD527" s="194"/>
      <c r="CE527" s="194"/>
      <c r="CF527" s="194"/>
      <c r="CG527" s="194"/>
      <c r="CH527" s="195"/>
      <c r="CI527" s="194"/>
      <c r="CJ527" s="194"/>
      <c r="CK527" s="194"/>
      <c r="CL527" s="196"/>
      <c r="CM527" s="196"/>
      <c r="CN527" s="194"/>
      <c r="CO527" s="197"/>
      <c r="CP527" s="196"/>
      <c r="CQ527" s="196"/>
      <c r="CR527" s="196"/>
      <c r="CS527" s="196"/>
      <c r="CT527" s="196"/>
      <c r="CU527" s="196"/>
      <c r="CV527" s="194"/>
      <c r="CW527" s="194"/>
      <c r="CX527" s="194"/>
      <c r="CY527" s="194"/>
      <c r="CZ527" s="194"/>
      <c r="DA527" s="194"/>
      <c r="DB527" s="194"/>
      <c r="DC527" s="194"/>
      <c r="DD527" s="194"/>
      <c r="DE527" s="194"/>
      <c r="DF527" s="196"/>
      <c r="DG527" s="198"/>
      <c r="DH527" s="194"/>
      <c r="DI527" s="194"/>
    </row>
    <row r="528" spans="1:113" s="24" customFormat="1" hidden="1" x14ac:dyDescent="0.3">
      <c r="A528" s="172"/>
      <c r="B528" s="172"/>
      <c r="C528" s="172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  <c r="BT528" s="172"/>
      <c r="BU528" s="172"/>
      <c r="BV528" s="172"/>
      <c r="BW528" s="172"/>
      <c r="BX528" s="172"/>
      <c r="BY528" s="174"/>
      <c r="BZ528" s="172"/>
      <c r="CA528" s="172"/>
      <c r="CD528" s="194"/>
      <c r="CE528" s="194"/>
      <c r="CF528" s="194"/>
      <c r="CG528" s="194"/>
      <c r="CH528" s="195"/>
      <c r="CI528" s="194"/>
      <c r="CJ528" s="194"/>
      <c r="CK528" s="194"/>
      <c r="CL528" s="196"/>
      <c r="CM528" s="196"/>
      <c r="CN528" s="194"/>
      <c r="CO528" s="197"/>
      <c r="CP528" s="196"/>
      <c r="CQ528" s="196"/>
      <c r="CR528" s="196"/>
      <c r="CS528" s="196"/>
      <c r="CT528" s="196"/>
      <c r="CU528" s="196"/>
      <c r="CV528" s="194"/>
      <c r="CW528" s="194"/>
      <c r="CX528" s="194"/>
      <c r="CY528" s="194"/>
      <c r="CZ528" s="194"/>
      <c r="DA528" s="194"/>
      <c r="DB528" s="194"/>
      <c r="DC528" s="194"/>
      <c r="DD528" s="194"/>
      <c r="DE528" s="194"/>
      <c r="DF528" s="196"/>
      <c r="DG528" s="198"/>
      <c r="DH528" s="194"/>
      <c r="DI528" s="194"/>
    </row>
    <row r="529" spans="1:113" s="24" customFormat="1" hidden="1" x14ac:dyDescent="0.3">
      <c r="A529" s="172"/>
      <c r="B529" s="172"/>
      <c r="C529" s="172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  <c r="BT529" s="172"/>
      <c r="BU529" s="172"/>
      <c r="BV529" s="172"/>
      <c r="BW529" s="172"/>
      <c r="BX529" s="172"/>
      <c r="BY529" s="174"/>
      <c r="BZ529" s="172"/>
      <c r="CA529" s="172"/>
      <c r="CD529" s="194"/>
      <c r="CE529" s="194"/>
      <c r="CF529" s="194"/>
      <c r="CG529" s="194"/>
      <c r="CH529" s="195"/>
      <c r="CI529" s="194"/>
      <c r="CJ529" s="194"/>
      <c r="CK529" s="194"/>
      <c r="CL529" s="196"/>
      <c r="CM529" s="196"/>
      <c r="CN529" s="194"/>
      <c r="CO529" s="197"/>
      <c r="CP529" s="196"/>
      <c r="CQ529" s="196"/>
      <c r="CR529" s="196"/>
      <c r="CS529" s="196"/>
      <c r="CT529" s="196"/>
      <c r="CU529" s="196"/>
      <c r="CV529" s="194"/>
      <c r="CW529" s="194"/>
      <c r="CX529" s="194"/>
      <c r="CY529" s="194"/>
      <c r="CZ529" s="194"/>
      <c r="DA529" s="194"/>
      <c r="DB529" s="194"/>
      <c r="DC529" s="194"/>
      <c r="DD529" s="194"/>
      <c r="DE529" s="194"/>
      <c r="DF529" s="196"/>
      <c r="DG529" s="198"/>
      <c r="DH529" s="194"/>
      <c r="DI529" s="194"/>
    </row>
    <row r="530" spans="1:113" s="24" customFormat="1" hidden="1" x14ac:dyDescent="0.3">
      <c r="A530" s="172"/>
      <c r="B530" s="172"/>
      <c r="C530" s="172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  <c r="BT530" s="172"/>
      <c r="BU530" s="172"/>
      <c r="BV530" s="172"/>
      <c r="BW530" s="172"/>
      <c r="BX530" s="172"/>
      <c r="BY530" s="174"/>
      <c r="BZ530" s="172"/>
      <c r="CA530" s="172"/>
      <c r="CD530" s="194"/>
      <c r="CE530" s="194"/>
      <c r="CF530" s="194"/>
      <c r="CG530" s="194"/>
      <c r="CH530" s="195"/>
      <c r="CI530" s="194"/>
      <c r="CJ530" s="194"/>
      <c r="CK530" s="194"/>
      <c r="CL530" s="196"/>
      <c r="CM530" s="196"/>
      <c r="CN530" s="194"/>
      <c r="CO530" s="197"/>
      <c r="CP530" s="196"/>
      <c r="CQ530" s="196"/>
      <c r="CR530" s="196"/>
      <c r="CS530" s="196"/>
      <c r="CT530" s="196"/>
      <c r="CU530" s="196"/>
      <c r="CV530" s="194"/>
      <c r="CW530" s="194"/>
      <c r="CX530" s="194"/>
      <c r="CY530" s="194"/>
      <c r="CZ530" s="194"/>
      <c r="DA530" s="194"/>
      <c r="DB530" s="194"/>
      <c r="DC530" s="194"/>
      <c r="DD530" s="194"/>
      <c r="DE530" s="194"/>
      <c r="DF530" s="196"/>
      <c r="DG530" s="198"/>
      <c r="DH530" s="194"/>
      <c r="DI530" s="194"/>
    </row>
    <row r="531" spans="1:113" s="24" customFormat="1" hidden="1" x14ac:dyDescent="0.3">
      <c r="A531" s="172"/>
      <c r="B531" s="172"/>
      <c r="C531" s="172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  <c r="BT531" s="172"/>
      <c r="BU531" s="172"/>
      <c r="BV531" s="172"/>
      <c r="BW531" s="172"/>
      <c r="BX531" s="172"/>
      <c r="BY531" s="174"/>
      <c r="BZ531" s="172"/>
      <c r="CA531" s="172"/>
      <c r="CD531" s="194"/>
      <c r="CE531" s="194"/>
      <c r="CF531" s="194"/>
      <c r="CG531" s="194"/>
      <c r="CH531" s="195"/>
      <c r="CI531" s="194"/>
      <c r="CJ531" s="194"/>
      <c r="CK531" s="194"/>
      <c r="CL531" s="196"/>
      <c r="CM531" s="196"/>
      <c r="CN531" s="194"/>
      <c r="CO531" s="197"/>
      <c r="CP531" s="196"/>
      <c r="CQ531" s="196"/>
      <c r="CR531" s="196"/>
      <c r="CS531" s="196"/>
      <c r="CT531" s="196"/>
      <c r="CU531" s="196"/>
      <c r="CV531" s="194"/>
      <c r="CW531" s="194"/>
      <c r="CX531" s="194"/>
      <c r="CY531" s="194"/>
      <c r="CZ531" s="194"/>
      <c r="DA531" s="194"/>
      <c r="DB531" s="194"/>
      <c r="DC531" s="194"/>
      <c r="DD531" s="194"/>
      <c r="DE531" s="194"/>
      <c r="DF531" s="196"/>
      <c r="DG531" s="198"/>
      <c r="DH531" s="194"/>
      <c r="DI531" s="194"/>
    </row>
    <row r="532" spans="1:113" s="24" customFormat="1" hidden="1" x14ac:dyDescent="0.3">
      <c r="A532" s="172"/>
      <c r="B532" s="172"/>
      <c r="C532" s="172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  <c r="BT532" s="172"/>
      <c r="BU532" s="172"/>
      <c r="BV532" s="172"/>
      <c r="BW532" s="172"/>
      <c r="BX532" s="172"/>
      <c r="BY532" s="174"/>
      <c r="BZ532" s="172"/>
      <c r="CA532" s="172"/>
      <c r="CD532" s="194"/>
      <c r="CE532" s="194"/>
      <c r="CF532" s="194"/>
      <c r="CG532" s="194"/>
      <c r="CH532" s="195"/>
      <c r="CI532" s="194"/>
      <c r="CJ532" s="194"/>
      <c r="CK532" s="194"/>
      <c r="CL532" s="196"/>
      <c r="CM532" s="196"/>
      <c r="CN532" s="194"/>
      <c r="CO532" s="197"/>
      <c r="CP532" s="196"/>
      <c r="CQ532" s="196"/>
      <c r="CR532" s="196"/>
      <c r="CS532" s="196"/>
      <c r="CT532" s="196"/>
      <c r="CU532" s="196"/>
      <c r="CV532" s="194"/>
      <c r="CW532" s="194"/>
      <c r="CX532" s="194"/>
      <c r="CY532" s="194"/>
      <c r="CZ532" s="194"/>
      <c r="DA532" s="194"/>
      <c r="DB532" s="194"/>
      <c r="DC532" s="194"/>
      <c r="DD532" s="194"/>
      <c r="DE532" s="194"/>
      <c r="DF532" s="196"/>
      <c r="DG532" s="198"/>
      <c r="DH532" s="194"/>
      <c r="DI532" s="194"/>
    </row>
    <row r="533" spans="1:113" s="24" customFormat="1" hidden="1" x14ac:dyDescent="0.3">
      <c r="A533" s="172"/>
      <c r="B533" s="172"/>
      <c r="C533" s="172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  <c r="BT533" s="172"/>
      <c r="BU533" s="172"/>
      <c r="BV533" s="172"/>
      <c r="BW533" s="172"/>
      <c r="BX533" s="172"/>
      <c r="BY533" s="174"/>
      <c r="BZ533" s="172"/>
      <c r="CA533" s="172"/>
      <c r="CD533" s="194"/>
      <c r="CE533" s="194"/>
      <c r="CF533" s="194"/>
      <c r="CG533" s="194"/>
      <c r="CH533" s="195"/>
      <c r="CI533" s="194"/>
      <c r="CJ533" s="194"/>
      <c r="CK533" s="194"/>
      <c r="CL533" s="196"/>
      <c r="CM533" s="196"/>
      <c r="CN533" s="194"/>
      <c r="CO533" s="197"/>
      <c r="CP533" s="196"/>
      <c r="CQ533" s="196"/>
      <c r="CR533" s="196"/>
      <c r="CS533" s="196"/>
      <c r="CT533" s="196"/>
      <c r="CU533" s="196"/>
      <c r="CV533" s="194"/>
      <c r="CW533" s="194"/>
      <c r="CX533" s="194"/>
      <c r="CY533" s="194"/>
      <c r="CZ533" s="194"/>
      <c r="DA533" s="194"/>
      <c r="DB533" s="194"/>
      <c r="DC533" s="194"/>
      <c r="DD533" s="194"/>
      <c r="DE533" s="194"/>
      <c r="DF533" s="196"/>
      <c r="DG533" s="198"/>
      <c r="DH533" s="194"/>
      <c r="DI533" s="194"/>
    </row>
    <row r="534" spans="1:113" s="24" customFormat="1" hidden="1" x14ac:dyDescent="0.3">
      <c r="A534" s="172"/>
      <c r="B534" s="172"/>
      <c r="C534" s="172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  <c r="BT534" s="172"/>
      <c r="BU534" s="172"/>
      <c r="BV534" s="172"/>
      <c r="BW534" s="172"/>
      <c r="BX534" s="172"/>
      <c r="BY534" s="174"/>
      <c r="BZ534" s="172"/>
      <c r="CA534" s="172"/>
      <c r="CD534" s="194"/>
      <c r="CE534" s="194"/>
      <c r="CF534" s="194"/>
      <c r="CG534" s="194"/>
      <c r="CH534" s="195"/>
      <c r="CI534" s="194"/>
      <c r="CJ534" s="194"/>
      <c r="CK534" s="194"/>
      <c r="CL534" s="196"/>
      <c r="CM534" s="196"/>
      <c r="CN534" s="194"/>
      <c r="CO534" s="197"/>
      <c r="CP534" s="196"/>
      <c r="CQ534" s="196"/>
      <c r="CR534" s="196"/>
      <c r="CS534" s="196"/>
      <c r="CT534" s="196"/>
      <c r="CU534" s="196"/>
      <c r="CV534" s="194"/>
      <c r="CW534" s="194"/>
      <c r="CX534" s="194"/>
      <c r="CY534" s="194"/>
      <c r="CZ534" s="194"/>
      <c r="DA534" s="194"/>
      <c r="DB534" s="194"/>
      <c r="DC534" s="194"/>
      <c r="DD534" s="194"/>
      <c r="DE534" s="194"/>
      <c r="DF534" s="196"/>
      <c r="DG534" s="198"/>
      <c r="DH534" s="194"/>
      <c r="DI534" s="194"/>
    </row>
    <row r="535" spans="1:113" s="24" customFormat="1" hidden="1" x14ac:dyDescent="0.3">
      <c r="A535" s="172"/>
      <c r="B535" s="172"/>
      <c r="C535" s="172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  <c r="BT535" s="172"/>
      <c r="BU535" s="172"/>
      <c r="BV535" s="172"/>
      <c r="BW535" s="172"/>
      <c r="BX535" s="172"/>
      <c r="BY535" s="174"/>
      <c r="BZ535" s="172"/>
      <c r="CA535" s="172"/>
      <c r="CD535" s="194"/>
      <c r="CE535" s="194"/>
      <c r="CF535" s="194"/>
      <c r="CG535" s="194"/>
      <c r="CH535" s="195"/>
      <c r="CI535" s="194"/>
      <c r="CJ535" s="194"/>
      <c r="CK535" s="194"/>
      <c r="CL535" s="196"/>
      <c r="CM535" s="196"/>
      <c r="CN535" s="194"/>
      <c r="CO535" s="197"/>
      <c r="CP535" s="196"/>
      <c r="CQ535" s="196"/>
      <c r="CR535" s="196"/>
      <c r="CS535" s="196"/>
      <c r="CT535" s="196"/>
      <c r="CU535" s="196"/>
      <c r="CV535" s="194"/>
      <c r="CW535" s="194"/>
      <c r="CX535" s="194"/>
      <c r="CY535" s="194"/>
      <c r="CZ535" s="194"/>
      <c r="DA535" s="194"/>
      <c r="DB535" s="194"/>
      <c r="DC535" s="194"/>
      <c r="DD535" s="194"/>
      <c r="DE535" s="194"/>
      <c r="DF535" s="196"/>
      <c r="DG535" s="198"/>
      <c r="DH535" s="194"/>
      <c r="DI535" s="194"/>
    </row>
    <row r="536" spans="1:113" s="24" customFormat="1" hidden="1" x14ac:dyDescent="0.3">
      <c r="A536" s="172"/>
      <c r="B536" s="172"/>
      <c r="C536" s="172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  <c r="BT536" s="172"/>
      <c r="BU536" s="172"/>
      <c r="BV536" s="172"/>
      <c r="BW536" s="172"/>
      <c r="BX536" s="172"/>
      <c r="BY536" s="174"/>
      <c r="BZ536" s="172"/>
      <c r="CA536" s="172"/>
      <c r="CD536" s="194"/>
      <c r="CE536" s="194"/>
      <c r="CF536" s="194"/>
      <c r="CG536" s="194"/>
      <c r="CH536" s="195"/>
      <c r="CI536" s="194"/>
      <c r="CJ536" s="194"/>
      <c r="CK536" s="194"/>
      <c r="CL536" s="196"/>
      <c r="CM536" s="196"/>
      <c r="CN536" s="194"/>
      <c r="CO536" s="197"/>
      <c r="CP536" s="196"/>
      <c r="CQ536" s="196"/>
      <c r="CR536" s="196"/>
      <c r="CS536" s="196"/>
      <c r="CT536" s="196"/>
      <c r="CU536" s="196"/>
      <c r="CV536" s="194"/>
      <c r="CW536" s="194"/>
      <c r="CX536" s="194"/>
      <c r="CY536" s="194"/>
      <c r="CZ536" s="194"/>
      <c r="DA536" s="194"/>
      <c r="DB536" s="194"/>
      <c r="DC536" s="194"/>
      <c r="DD536" s="194"/>
      <c r="DE536" s="194"/>
      <c r="DF536" s="196"/>
      <c r="DG536" s="198"/>
      <c r="DH536" s="194"/>
      <c r="DI536" s="194"/>
    </row>
    <row r="537" spans="1:113" s="24" customFormat="1" hidden="1" x14ac:dyDescent="0.3">
      <c r="A537" s="172"/>
      <c r="B537" s="172"/>
      <c r="C537" s="172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  <c r="BT537" s="172"/>
      <c r="BU537" s="172"/>
      <c r="BV537" s="172"/>
      <c r="BW537" s="172"/>
      <c r="BX537" s="172"/>
      <c r="BY537" s="174"/>
      <c r="BZ537" s="172"/>
      <c r="CA537" s="172"/>
      <c r="CD537" s="194"/>
      <c r="CE537" s="194"/>
      <c r="CF537" s="194"/>
      <c r="CG537" s="194"/>
      <c r="CH537" s="195"/>
      <c r="CI537" s="194"/>
      <c r="CJ537" s="194"/>
      <c r="CK537" s="194"/>
      <c r="CL537" s="196"/>
      <c r="CM537" s="196"/>
      <c r="CN537" s="194"/>
      <c r="CO537" s="197"/>
      <c r="CP537" s="196"/>
      <c r="CQ537" s="196"/>
      <c r="CR537" s="196"/>
      <c r="CS537" s="196"/>
      <c r="CT537" s="196"/>
      <c r="CU537" s="196"/>
      <c r="CV537" s="194"/>
      <c r="CW537" s="194"/>
      <c r="CX537" s="194"/>
      <c r="CY537" s="194"/>
      <c r="CZ537" s="194"/>
      <c r="DA537" s="194"/>
      <c r="DB537" s="194"/>
      <c r="DC537" s="194"/>
      <c r="DD537" s="194"/>
      <c r="DE537" s="194"/>
      <c r="DF537" s="196"/>
      <c r="DG537" s="198"/>
      <c r="DH537" s="194"/>
      <c r="DI537" s="194"/>
    </row>
    <row r="538" spans="1:113" s="24" customFormat="1" hidden="1" x14ac:dyDescent="0.3">
      <c r="A538" s="172"/>
      <c r="B538" s="172"/>
      <c r="C538" s="172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  <c r="BT538" s="172"/>
      <c r="BU538" s="172"/>
      <c r="BV538" s="172"/>
      <c r="BW538" s="172"/>
      <c r="BX538" s="172"/>
      <c r="BY538" s="174"/>
      <c r="BZ538" s="172"/>
      <c r="CA538" s="172"/>
      <c r="CD538" s="194"/>
      <c r="CE538" s="194"/>
      <c r="CF538" s="194"/>
      <c r="CG538" s="194"/>
      <c r="CH538" s="195"/>
      <c r="CI538" s="194"/>
      <c r="CJ538" s="194"/>
      <c r="CK538" s="194"/>
      <c r="CL538" s="196"/>
      <c r="CM538" s="196"/>
      <c r="CN538" s="194"/>
      <c r="CO538" s="197"/>
      <c r="CP538" s="196"/>
      <c r="CQ538" s="196"/>
      <c r="CR538" s="196"/>
      <c r="CS538" s="196"/>
      <c r="CT538" s="196"/>
      <c r="CU538" s="196"/>
      <c r="CV538" s="194"/>
      <c r="CW538" s="194"/>
      <c r="CX538" s="194"/>
      <c r="CY538" s="194"/>
      <c r="CZ538" s="194"/>
      <c r="DA538" s="194"/>
      <c r="DB538" s="194"/>
      <c r="DC538" s="194"/>
      <c r="DD538" s="194"/>
      <c r="DE538" s="194"/>
      <c r="DF538" s="196"/>
      <c r="DG538" s="198"/>
      <c r="DH538" s="194"/>
      <c r="DI538" s="194"/>
    </row>
    <row r="539" spans="1:113" s="24" customFormat="1" hidden="1" x14ac:dyDescent="0.3">
      <c r="A539" s="172"/>
      <c r="B539" s="172"/>
      <c r="C539" s="172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  <c r="BT539" s="172"/>
      <c r="BU539" s="172"/>
      <c r="BV539" s="172"/>
      <c r="BW539" s="172"/>
      <c r="BX539" s="172"/>
      <c r="BY539" s="174"/>
      <c r="BZ539" s="172"/>
      <c r="CA539" s="172"/>
      <c r="CD539" s="194"/>
      <c r="CE539" s="194"/>
      <c r="CF539" s="194"/>
      <c r="CG539" s="194"/>
      <c r="CH539" s="195"/>
      <c r="CI539" s="194"/>
      <c r="CJ539" s="194"/>
      <c r="CK539" s="194"/>
      <c r="CL539" s="196"/>
      <c r="CM539" s="196"/>
      <c r="CN539" s="194"/>
      <c r="CO539" s="197"/>
      <c r="CP539" s="196"/>
      <c r="CQ539" s="196"/>
      <c r="CR539" s="196"/>
      <c r="CS539" s="196"/>
      <c r="CT539" s="196"/>
      <c r="CU539" s="196"/>
      <c r="CV539" s="194"/>
      <c r="CW539" s="194"/>
      <c r="CX539" s="194"/>
      <c r="CY539" s="194"/>
      <c r="CZ539" s="194"/>
      <c r="DA539" s="194"/>
      <c r="DB539" s="194"/>
      <c r="DC539" s="194"/>
      <c r="DD539" s="194"/>
      <c r="DE539" s="194"/>
      <c r="DF539" s="196"/>
      <c r="DG539" s="198"/>
      <c r="DH539" s="194"/>
      <c r="DI539" s="194"/>
    </row>
    <row r="540" spans="1:113" s="24" customFormat="1" hidden="1" x14ac:dyDescent="0.3">
      <c r="A540" s="172"/>
      <c r="B540" s="172"/>
      <c r="C540" s="172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  <c r="BT540" s="172"/>
      <c r="BU540" s="172"/>
      <c r="BV540" s="172"/>
      <c r="BW540" s="172"/>
      <c r="BX540" s="172"/>
      <c r="BY540" s="174"/>
      <c r="BZ540" s="172"/>
      <c r="CA540" s="172"/>
      <c r="CD540" s="194"/>
      <c r="CE540" s="194"/>
      <c r="CF540" s="194"/>
      <c r="CG540" s="194"/>
      <c r="CH540" s="195"/>
      <c r="CI540" s="194"/>
      <c r="CJ540" s="194"/>
      <c r="CK540" s="194"/>
      <c r="CL540" s="196"/>
      <c r="CM540" s="196"/>
      <c r="CN540" s="194"/>
      <c r="CO540" s="197"/>
      <c r="CP540" s="196"/>
      <c r="CQ540" s="196"/>
      <c r="CR540" s="196"/>
      <c r="CS540" s="196"/>
      <c r="CT540" s="196"/>
      <c r="CU540" s="196"/>
      <c r="CV540" s="194"/>
      <c r="CW540" s="194"/>
      <c r="CX540" s="194"/>
      <c r="CY540" s="194"/>
      <c r="CZ540" s="194"/>
      <c r="DA540" s="194"/>
      <c r="DB540" s="194"/>
      <c r="DC540" s="194"/>
      <c r="DD540" s="194"/>
      <c r="DE540" s="194"/>
      <c r="DF540" s="196"/>
      <c r="DG540" s="198"/>
      <c r="DH540" s="194"/>
      <c r="DI540" s="194"/>
    </row>
    <row r="541" spans="1:113" s="24" customFormat="1" hidden="1" x14ac:dyDescent="0.3">
      <c r="A541" s="172"/>
      <c r="B541" s="172"/>
      <c r="C541" s="172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  <c r="BT541" s="172"/>
      <c r="BU541" s="172"/>
      <c r="BV541" s="172"/>
      <c r="BW541" s="172"/>
      <c r="BX541" s="172"/>
      <c r="BY541" s="174"/>
      <c r="BZ541" s="172"/>
      <c r="CA541" s="172"/>
      <c r="CD541" s="194"/>
      <c r="CE541" s="194"/>
      <c r="CF541" s="194"/>
      <c r="CG541" s="194"/>
      <c r="CH541" s="195"/>
      <c r="CI541" s="194"/>
      <c r="CJ541" s="194"/>
      <c r="CK541" s="194"/>
      <c r="CL541" s="196"/>
      <c r="CM541" s="196"/>
      <c r="CN541" s="194"/>
      <c r="CO541" s="197"/>
      <c r="CP541" s="196"/>
      <c r="CQ541" s="196"/>
      <c r="CR541" s="196"/>
      <c r="CS541" s="196"/>
      <c r="CT541" s="196"/>
      <c r="CU541" s="196"/>
      <c r="CV541" s="194"/>
      <c r="CW541" s="194"/>
      <c r="CX541" s="194"/>
      <c r="CY541" s="194"/>
      <c r="CZ541" s="194"/>
      <c r="DA541" s="194"/>
      <c r="DB541" s="194"/>
      <c r="DC541" s="194"/>
      <c r="DD541" s="194"/>
      <c r="DE541" s="194"/>
      <c r="DF541" s="196"/>
      <c r="DG541" s="198"/>
      <c r="DH541" s="194"/>
      <c r="DI541" s="194"/>
    </row>
    <row r="542" spans="1:113" s="24" customFormat="1" hidden="1" x14ac:dyDescent="0.3">
      <c r="A542" s="172"/>
      <c r="B542" s="172"/>
      <c r="C542" s="172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  <c r="BT542" s="172"/>
      <c r="BU542" s="172"/>
      <c r="BV542" s="172"/>
      <c r="BW542" s="172"/>
      <c r="BX542" s="172"/>
      <c r="BY542" s="174"/>
      <c r="BZ542" s="172"/>
      <c r="CA542" s="172"/>
      <c r="CD542" s="194"/>
      <c r="CE542" s="194"/>
      <c r="CF542" s="194"/>
      <c r="CG542" s="194"/>
      <c r="CH542" s="195"/>
      <c r="CI542" s="194"/>
      <c r="CJ542" s="194"/>
      <c r="CK542" s="194"/>
      <c r="CL542" s="196"/>
      <c r="CM542" s="196"/>
      <c r="CN542" s="194"/>
      <c r="CO542" s="197"/>
      <c r="CP542" s="196"/>
      <c r="CQ542" s="196"/>
      <c r="CR542" s="196"/>
      <c r="CS542" s="196"/>
      <c r="CT542" s="196"/>
      <c r="CU542" s="196"/>
      <c r="CV542" s="194"/>
      <c r="CW542" s="194"/>
      <c r="CX542" s="194"/>
      <c r="CY542" s="194"/>
      <c r="CZ542" s="194"/>
      <c r="DA542" s="194"/>
      <c r="DB542" s="194"/>
      <c r="DC542" s="194"/>
      <c r="DD542" s="194"/>
      <c r="DE542" s="194"/>
      <c r="DF542" s="196"/>
      <c r="DG542" s="198"/>
      <c r="DH542" s="194"/>
      <c r="DI542" s="194"/>
    </row>
    <row r="543" spans="1:113" s="24" customFormat="1" hidden="1" x14ac:dyDescent="0.3">
      <c r="A543" s="172"/>
      <c r="B543" s="172"/>
      <c r="C543" s="172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  <c r="BT543" s="172"/>
      <c r="BU543" s="172"/>
      <c r="BV543" s="172"/>
      <c r="BW543" s="172"/>
      <c r="BX543" s="172"/>
      <c r="BY543" s="174"/>
      <c r="BZ543" s="172"/>
      <c r="CA543" s="172"/>
      <c r="CD543" s="194"/>
      <c r="CE543" s="194"/>
      <c r="CF543" s="194"/>
      <c r="CG543" s="194"/>
      <c r="CH543" s="195"/>
      <c r="CI543" s="194"/>
      <c r="CJ543" s="194"/>
      <c r="CK543" s="194"/>
      <c r="CL543" s="196"/>
      <c r="CM543" s="196"/>
      <c r="CN543" s="194"/>
      <c r="CO543" s="197"/>
      <c r="CP543" s="196"/>
      <c r="CQ543" s="196"/>
      <c r="CR543" s="196"/>
      <c r="CS543" s="196"/>
      <c r="CT543" s="196"/>
      <c r="CU543" s="196"/>
      <c r="CV543" s="194"/>
      <c r="CW543" s="194"/>
      <c r="CX543" s="194"/>
      <c r="CY543" s="194"/>
      <c r="CZ543" s="194"/>
      <c r="DA543" s="194"/>
      <c r="DB543" s="194"/>
      <c r="DC543" s="194"/>
      <c r="DD543" s="194"/>
      <c r="DE543" s="194"/>
      <c r="DF543" s="196"/>
      <c r="DG543" s="198"/>
      <c r="DH543" s="194"/>
      <c r="DI543" s="194"/>
    </row>
    <row r="544" spans="1:113" s="24" customFormat="1" hidden="1" x14ac:dyDescent="0.3">
      <c r="A544" s="172"/>
      <c r="B544" s="172"/>
      <c r="C544" s="172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  <c r="BT544" s="172"/>
      <c r="BU544" s="172"/>
      <c r="BV544" s="172"/>
      <c r="BW544" s="172"/>
      <c r="BX544" s="172"/>
      <c r="BY544" s="174"/>
      <c r="BZ544" s="172"/>
      <c r="CA544" s="172"/>
      <c r="CD544" s="194"/>
      <c r="CE544" s="194"/>
      <c r="CF544" s="194"/>
      <c r="CG544" s="194"/>
      <c r="CH544" s="195"/>
      <c r="CI544" s="194"/>
      <c r="CJ544" s="194"/>
      <c r="CK544" s="194"/>
      <c r="CL544" s="196"/>
      <c r="CM544" s="196"/>
      <c r="CN544" s="194"/>
      <c r="CO544" s="197"/>
      <c r="CP544" s="196"/>
      <c r="CQ544" s="196"/>
      <c r="CR544" s="196"/>
      <c r="CS544" s="196"/>
      <c r="CT544" s="196"/>
      <c r="CU544" s="196"/>
      <c r="CV544" s="194"/>
      <c r="CW544" s="194"/>
      <c r="CX544" s="194"/>
      <c r="CY544" s="194"/>
      <c r="CZ544" s="194"/>
      <c r="DA544" s="194"/>
      <c r="DB544" s="194"/>
      <c r="DC544" s="194"/>
      <c r="DD544" s="194"/>
      <c r="DE544" s="194"/>
      <c r="DF544" s="196"/>
      <c r="DG544" s="198"/>
      <c r="DH544" s="194"/>
      <c r="DI544" s="194"/>
    </row>
    <row r="545" spans="1:113" s="24" customFormat="1" hidden="1" x14ac:dyDescent="0.3">
      <c r="A545" s="172"/>
      <c r="B545" s="172"/>
      <c r="C545" s="172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172"/>
      <c r="BV545" s="172"/>
      <c r="BW545" s="172"/>
      <c r="BX545" s="172"/>
      <c r="BY545" s="174"/>
      <c r="BZ545" s="172"/>
      <c r="CA545" s="172"/>
      <c r="CD545" s="194"/>
      <c r="CE545" s="194"/>
      <c r="CF545" s="194"/>
      <c r="CG545" s="194"/>
      <c r="CH545" s="195"/>
      <c r="CI545" s="194"/>
      <c r="CJ545" s="194"/>
      <c r="CK545" s="194"/>
      <c r="CL545" s="196"/>
      <c r="CM545" s="196"/>
      <c r="CN545" s="194"/>
      <c r="CO545" s="197"/>
      <c r="CP545" s="196"/>
      <c r="CQ545" s="196"/>
      <c r="CR545" s="196"/>
      <c r="CS545" s="196"/>
      <c r="CT545" s="196"/>
      <c r="CU545" s="196"/>
      <c r="CV545" s="194"/>
      <c r="CW545" s="194"/>
      <c r="CX545" s="194"/>
      <c r="CY545" s="194"/>
      <c r="CZ545" s="194"/>
      <c r="DA545" s="194"/>
      <c r="DB545" s="194"/>
      <c r="DC545" s="194"/>
      <c r="DD545" s="194"/>
      <c r="DE545" s="194"/>
      <c r="DF545" s="196"/>
      <c r="DG545" s="198"/>
      <c r="DH545" s="194"/>
      <c r="DI545" s="194"/>
    </row>
    <row r="546" spans="1:113" s="24" customFormat="1" hidden="1" x14ac:dyDescent="0.3">
      <c r="A546" s="172"/>
      <c r="B546" s="172"/>
      <c r="C546" s="172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  <c r="BT546" s="172"/>
      <c r="BU546" s="172"/>
      <c r="BV546" s="172"/>
      <c r="BW546" s="172"/>
      <c r="BX546" s="172"/>
      <c r="BY546" s="174"/>
      <c r="BZ546" s="172"/>
      <c r="CA546" s="172"/>
      <c r="CD546" s="194"/>
      <c r="CE546" s="194"/>
      <c r="CF546" s="194"/>
      <c r="CG546" s="194"/>
      <c r="CH546" s="195"/>
      <c r="CI546" s="194"/>
      <c r="CJ546" s="194"/>
      <c r="CK546" s="194"/>
      <c r="CL546" s="196"/>
      <c r="CM546" s="196"/>
      <c r="CN546" s="194"/>
      <c r="CO546" s="197"/>
      <c r="CP546" s="196"/>
      <c r="CQ546" s="196"/>
      <c r="CR546" s="196"/>
      <c r="CS546" s="196"/>
      <c r="CT546" s="196"/>
      <c r="CU546" s="196"/>
      <c r="CV546" s="194"/>
      <c r="CW546" s="194"/>
      <c r="CX546" s="194"/>
      <c r="CY546" s="194"/>
      <c r="CZ546" s="194"/>
      <c r="DA546" s="194"/>
      <c r="DB546" s="194"/>
      <c r="DC546" s="194"/>
      <c r="DD546" s="194"/>
      <c r="DE546" s="194"/>
      <c r="DF546" s="196"/>
      <c r="DG546" s="198"/>
      <c r="DH546" s="194"/>
      <c r="DI546" s="194"/>
    </row>
    <row r="547" spans="1:113" s="24" customFormat="1" hidden="1" x14ac:dyDescent="0.3">
      <c r="A547" s="172"/>
      <c r="B547" s="172"/>
      <c r="C547" s="172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  <c r="BT547" s="172"/>
      <c r="BU547" s="172"/>
      <c r="BV547" s="172"/>
      <c r="BW547" s="172"/>
      <c r="BX547" s="172"/>
      <c r="BY547" s="174"/>
      <c r="BZ547" s="172"/>
      <c r="CA547" s="172"/>
      <c r="CD547" s="194"/>
      <c r="CE547" s="194"/>
      <c r="CF547" s="194"/>
      <c r="CG547" s="194"/>
      <c r="CH547" s="195"/>
      <c r="CI547" s="194"/>
      <c r="CJ547" s="194"/>
      <c r="CK547" s="194"/>
      <c r="CL547" s="196"/>
      <c r="CM547" s="196"/>
      <c r="CN547" s="194"/>
      <c r="CO547" s="197"/>
      <c r="CP547" s="196"/>
      <c r="CQ547" s="196"/>
      <c r="CR547" s="196"/>
      <c r="CS547" s="196"/>
      <c r="CT547" s="196"/>
      <c r="CU547" s="196"/>
      <c r="CV547" s="194"/>
      <c r="CW547" s="194"/>
      <c r="CX547" s="194"/>
      <c r="CY547" s="194"/>
      <c r="CZ547" s="194"/>
      <c r="DA547" s="194"/>
      <c r="DB547" s="194"/>
      <c r="DC547" s="194"/>
      <c r="DD547" s="194"/>
      <c r="DE547" s="194"/>
      <c r="DF547" s="196"/>
      <c r="DG547" s="198"/>
      <c r="DH547" s="194"/>
      <c r="DI547" s="194"/>
    </row>
    <row r="548" spans="1:113" s="24" customFormat="1" hidden="1" x14ac:dyDescent="0.3">
      <c r="A548" s="172"/>
      <c r="B548" s="172"/>
      <c r="C548" s="172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  <c r="BT548" s="172"/>
      <c r="BU548" s="172"/>
      <c r="BV548" s="172"/>
      <c r="BW548" s="172"/>
      <c r="BX548" s="172"/>
      <c r="BY548" s="174"/>
      <c r="BZ548" s="172"/>
      <c r="CA548" s="172"/>
      <c r="CD548" s="194"/>
      <c r="CE548" s="194"/>
      <c r="CF548" s="194"/>
      <c r="CG548" s="194"/>
      <c r="CH548" s="195"/>
      <c r="CI548" s="194"/>
      <c r="CJ548" s="194"/>
      <c r="CK548" s="194"/>
      <c r="CL548" s="196"/>
      <c r="CM548" s="196"/>
      <c r="CN548" s="194"/>
      <c r="CO548" s="197"/>
      <c r="CP548" s="196"/>
      <c r="CQ548" s="196"/>
      <c r="CR548" s="196"/>
      <c r="CS548" s="196"/>
      <c r="CT548" s="196"/>
      <c r="CU548" s="196"/>
      <c r="CV548" s="194"/>
      <c r="CW548" s="194"/>
      <c r="CX548" s="194"/>
      <c r="CY548" s="194"/>
      <c r="CZ548" s="194"/>
      <c r="DA548" s="194"/>
      <c r="DB548" s="194"/>
      <c r="DC548" s="194"/>
      <c r="DD548" s="194"/>
      <c r="DE548" s="194"/>
      <c r="DF548" s="196"/>
      <c r="DG548" s="198"/>
      <c r="DH548" s="194"/>
      <c r="DI548" s="194"/>
    </row>
    <row r="549" spans="1:113" s="24" customFormat="1" hidden="1" x14ac:dyDescent="0.3">
      <c r="A549" s="172"/>
      <c r="B549" s="172"/>
      <c r="C549" s="172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  <c r="BT549" s="172"/>
      <c r="BU549" s="172"/>
      <c r="BV549" s="172"/>
      <c r="BW549" s="172"/>
      <c r="BX549" s="172"/>
      <c r="BY549" s="174"/>
      <c r="BZ549" s="172"/>
      <c r="CA549" s="172"/>
      <c r="CD549" s="194"/>
      <c r="CE549" s="194"/>
      <c r="CF549" s="194"/>
      <c r="CG549" s="194"/>
      <c r="CH549" s="195"/>
      <c r="CI549" s="194"/>
      <c r="CJ549" s="194"/>
      <c r="CK549" s="194"/>
      <c r="CL549" s="196"/>
      <c r="CM549" s="196"/>
      <c r="CN549" s="194"/>
      <c r="CO549" s="197"/>
      <c r="CP549" s="196"/>
      <c r="CQ549" s="196"/>
      <c r="CR549" s="196"/>
      <c r="CS549" s="196"/>
      <c r="CT549" s="196"/>
      <c r="CU549" s="196"/>
      <c r="CV549" s="194"/>
      <c r="CW549" s="194"/>
      <c r="CX549" s="194"/>
      <c r="CY549" s="194"/>
      <c r="CZ549" s="194"/>
      <c r="DA549" s="194"/>
      <c r="DB549" s="194"/>
      <c r="DC549" s="194"/>
      <c r="DD549" s="194"/>
      <c r="DE549" s="194"/>
      <c r="DF549" s="196"/>
      <c r="DG549" s="198"/>
      <c r="DH549" s="194"/>
      <c r="DI549" s="194"/>
    </row>
    <row r="550" spans="1:113" s="24" customFormat="1" hidden="1" x14ac:dyDescent="0.3">
      <c r="A550" s="172"/>
      <c r="B550" s="172"/>
      <c r="C550" s="172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2"/>
      <c r="BU550" s="172"/>
      <c r="BV550" s="172"/>
      <c r="BW550" s="172"/>
      <c r="BX550" s="172"/>
      <c r="BY550" s="174"/>
      <c r="BZ550" s="172"/>
      <c r="CA550" s="172"/>
      <c r="CD550" s="194"/>
      <c r="CE550" s="194"/>
      <c r="CF550" s="194"/>
      <c r="CG550" s="194"/>
      <c r="CH550" s="195"/>
      <c r="CI550" s="194"/>
      <c r="CJ550" s="194"/>
      <c r="CK550" s="194"/>
      <c r="CL550" s="196"/>
      <c r="CM550" s="196"/>
      <c r="CN550" s="194"/>
      <c r="CO550" s="197"/>
      <c r="CP550" s="196"/>
      <c r="CQ550" s="196"/>
      <c r="CR550" s="196"/>
      <c r="CS550" s="196"/>
      <c r="CT550" s="196"/>
      <c r="CU550" s="196"/>
      <c r="CV550" s="194"/>
      <c r="CW550" s="194"/>
      <c r="CX550" s="194"/>
      <c r="CY550" s="194"/>
      <c r="CZ550" s="194"/>
      <c r="DA550" s="194"/>
      <c r="DB550" s="194"/>
      <c r="DC550" s="194"/>
      <c r="DD550" s="194"/>
      <c r="DE550" s="194"/>
      <c r="DF550" s="196"/>
      <c r="DG550" s="198"/>
      <c r="DH550" s="194"/>
      <c r="DI550" s="194"/>
    </row>
    <row r="551" spans="1:113" s="24" customFormat="1" hidden="1" x14ac:dyDescent="0.3">
      <c r="A551" s="172"/>
      <c r="B551" s="172"/>
      <c r="C551" s="172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  <c r="BT551" s="172"/>
      <c r="BU551" s="172"/>
      <c r="BV551" s="172"/>
      <c r="BW551" s="172"/>
      <c r="BX551" s="172"/>
      <c r="BY551" s="174"/>
      <c r="BZ551" s="172"/>
      <c r="CA551" s="172"/>
      <c r="CD551" s="194"/>
      <c r="CE551" s="194"/>
      <c r="CF551" s="194"/>
      <c r="CG551" s="194"/>
      <c r="CH551" s="195"/>
      <c r="CI551" s="194"/>
      <c r="CJ551" s="194"/>
      <c r="CK551" s="194"/>
      <c r="CL551" s="196"/>
      <c r="CM551" s="196"/>
      <c r="CN551" s="194"/>
      <c r="CO551" s="197"/>
      <c r="CP551" s="196"/>
      <c r="CQ551" s="196"/>
      <c r="CR551" s="196"/>
      <c r="CS551" s="196"/>
      <c r="CT551" s="196"/>
      <c r="CU551" s="196"/>
      <c r="CV551" s="194"/>
      <c r="CW551" s="194"/>
      <c r="CX551" s="194"/>
      <c r="CY551" s="194"/>
      <c r="CZ551" s="194"/>
      <c r="DA551" s="194"/>
      <c r="DB551" s="194"/>
      <c r="DC551" s="194"/>
      <c r="DD551" s="194"/>
      <c r="DE551" s="194"/>
      <c r="DF551" s="196"/>
      <c r="DG551" s="198"/>
      <c r="DH551" s="194"/>
      <c r="DI551" s="194"/>
    </row>
    <row r="552" spans="1:113" s="24" customFormat="1" hidden="1" x14ac:dyDescent="0.3">
      <c r="A552" s="172"/>
      <c r="B552" s="172"/>
      <c r="C552" s="172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  <c r="BT552" s="172"/>
      <c r="BU552" s="172"/>
      <c r="BV552" s="172"/>
      <c r="BW552" s="172"/>
      <c r="BX552" s="172"/>
      <c r="BY552" s="174"/>
      <c r="BZ552" s="172"/>
      <c r="CA552" s="172"/>
      <c r="CD552" s="194"/>
      <c r="CE552" s="194"/>
      <c r="CF552" s="194"/>
      <c r="CG552" s="194"/>
      <c r="CH552" s="195"/>
      <c r="CI552" s="194"/>
      <c r="CJ552" s="194"/>
      <c r="CK552" s="194"/>
      <c r="CL552" s="196"/>
      <c r="CM552" s="196"/>
      <c r="CN552" s="194"/>
      <c r="CO552" s="197"/>
      <c r="CP552" s="196"/>
      <c r="CQ552" s="196"/>
      <c r="CR552" s="196"/>
      <c r="CS552" s="196"/>
      <c r="CT552" s="196"/>
      <c r="CU552" s="196"/>
      <c r="CV552" s="194"/>
      <c r="CW552" s="194"/>
      <c r="CX552" s="194"/>
      <c r="CY552" s="194"/>
      <c r="CZ552" s="194"/>
      <c r="DA552" s="194"/>
      <c r="DB552" s="194"/>
      <c r="DC552" s="194"/>
      <c r="DD552" s="194"/>
      <c r="DE552" s="194"/>
      <c r="DF552" s="196"/>
      <c r="DG552" s="198"/>
      <c r="DH552" s="194"/>
      <c r="DI552" s="194"/>
    </row>
    <row r="553" spans="1:113" s="24" customFormat="1" hidden="1" x14ac:dyDescent="0.3">
      <c r="A553" s="172"/>
      <c r="B553" s="172"/>
      <c r="C553" s="172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  <c r="BT553" s="172"/>
      <c r="BU553" s="172"/>
      <c r="BV553" s="172"/>
      <c r="BW553" s="172"/>
      <c r="BX553" s="172"/>
      <c r="BY553" s="174"/>
      <c r="BZ553" s="172"/>
      <c r="CA553" s="172"/>
      <c r="CD553" s="194"/>
      <c r="CE553" s="194"/>
      <c r="CF553" s="194"/>
      <c r="CG553" s="194"/>
      <c r="CH553" s="195"/>
      <c r="CI553" s="194"/>
      <c r="CJ553" s="194"/>
      <c r="CK553" s="194"/>
      <c r="CL553" s="196"/>
      <c r="CM553" s="196"/>
      <c r="CN553" s="194"/>
      <c r="CO553" s="197"/>
      <c r="CP553" s="196"/>
      <c r="CQ553" s="196"/>
      <c r="CR553" s="196"/>
      <c r="CS553" s="196"/>
      <c r="CT553" s="196"/>
      <c r="CU553" s="196"/>
      <c r="CV553" s="194"/>
      <c r="CW553" s="194"/>
      <c r="CX553" s="194"/>
      <c r="CY553" s="194"/>
      <c r="CZ553" s="194"/>
      <c r="DA553" s="194"/>
      <c r="DB553" s="194"/>
      <c r="DC553" s="194"/>
      <c r="DD553" s="194"/>
      <c r="DE553" s="194"/>
      <c r="DF553" s="196"/>
      <c r="DG553" s="198"/>
      <c r="DH553" s="194"/>
      <c r="DI553" s="194"/>
    </row>
    <row r="554" spans="1:113" s="24" customFormat="1" hidden="1" x14ac:dyDescent="0.3">
      <c r="A554" s="172"/>
      <c r="B554" s="172"/>
      <c r="C554" s="172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  <c r="BT554" s="172"/>
      <c r="BU554" s="172"/>
      <c r="BV554" s="172"/>
      <c r="BW554" s="172"/>
      <c r="BX554" s="172"/>
      <c r="BY554" s="174"/>
      <c r="BZ554" s="172"/>
      <c r="CA554" s="172"/>
      <c r="CD554" s="194"/>
      <c r="CE554" s="194"/>
      <c r="CF554" s="194"/>
      <c r="CG554" s="194"/>
      <c r="CH554" s="195"/>
      <c r="CI554" s="194"/>
      <c r="CJ554" s="194"/>
      <c r="CK554" s="194"/>
      <c r="CL554" s="196"/>
      <c r="CM554" s="196"/>
      <c r="CN554" s="194"/>
      <c r="CO554" s="197"/>
      <c r="CP554" s="196"/>
      <c r="CQ554" s="196"/>
      <c r="CR554" s="196"/>
      <c r="CS554" s="196"/>
      <c r="CT554" s="196"/>
      <c r="CU554" s="196"/>
      <c r="CV554" s="194"/>
      <c r="CW554" s="194"/>
      <c r="CX554" s="194"/>
      <c r="CY554" s="194"/>
      <c r="CZ554" s="194"/>
      <c r="DA554" s="194"/>
      <c r="DB554" s="194"/>
      <c r="DC554" s="194"/>
      <c r="DD554" s="194"/>
      <c r="DE554" s="194"/>
      <c r="DF554" s="196"/>
      <c r="DG554" s="198"/>
      <c r="DH554" s="194"/>
      <c r="DI554" s="194"/>
    </row>
    <row r="555" spans="1:113" s="24" customFormat="1" hidden="1" x14ac:dyDescent="0.3">
      <c r="A555" s="172"/>
      <c r="B555" s="172"/>
      <c r="C555" s="172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172"/>
      <c r="BV555" s="172"/>
      <c r="BW555" s="172"/>
      <c r="BX555" s="172"/>
      <c r="BY555" s="174"/>
      <c r="BZ555" s="172"/>
      <c r="CA555" s="172"/>
      <c r="CD555" s="194"/>
      <c r="CE555" s="194"/>
      <c r="CF555" s="194"/>
      <c r="CG555" s="194"/>
      <c r="CH555" s="195"/>
      <c r="CI555" s="194"/>
      <c r="CJ555" s="194"/>
      <c r="CK555" s="194"/>
      <c r="CL555" s="196"/>
      <c r="CM555" s="196"/>
      <c r="CN555" s="194"/>
      <c r="CO555" s="197"/>
      <c r="CP555" s="196"/>
      <c r="CQ555" s="196"/>
      <c r="CR555" s="196"/>
      <c r="CS555" s="196"/>
      <c r="CT555" s="196"/>
      <c r="CU555" s="196"/>
      <c r="CV555" s="194"/>
      <c r="CW555" s="194"/>
      <c r="CX555" s="194"/>
      <c r="CY555" s="194"/>
      <c r="CZ555" s="194"/>
      <c r="DA555" s="194"/>
      <c r="DB555" s="194"/>
      <c r="DC555" s="194"/>
      <c r="DD555" s="194"/>
      <c r="DE555" s="194"/>
      <c r="DF555" s="196"/>
      <c r="DG555" s="198"/>
      <c r="DH555" s="194"/>
      <c r="DI555" s="194"/>
    </row>
    <row r="556" spans="1:113" s="24" customFormat="1" hidden="1" x14ac:dyDescent="0.3">
      <c r="A556" s="172"/>
      <c r="B556" s="172"/>
      <c r="C556" s="172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  <c r="BT556" s="172"/>
      <c r="BU556" s="172"/>
      <c r="BV556" s="172"/>
      <c r="BW556" s="172"/>
      <c r="BX556" s="172"/>
      <c r="BY556" s="174"/>
      <c r="BZ556" s="172"/>
      <c r="CA556" s="172"/>
      <c r="CD556" s="194"/>
      <c r="CE556" s="194"/>
      <c r="CF556" s="194"/>
      <c r="CG556" s="194"/>
      <c r="CH556" s="195"/>
      <c r="CI556" s="194"/>
      <c r="CJ556" s="194"/>
      <c r="CK556" s="194"/>
      <c r="CL556" s="196"/>
      <c r="CM556" s="196"/>
      <c r="CN556" s="194"/>
      <c r="CO556" s="197"/>
      <c r="CP556" s="196"/>
      <c r="CQ556" s="196"/>
      <c r="CR556" s="196"/>
      <c r="CS556" s="196"/>
      <c r="CT556" s="196"/>
      <c r="CU556" s="196"/>
      <c r="CV556" s="194"/>
      <c r="CW556" s="194"/>
      <c r="CX556" s="194"/>
      <c r="CY556" s="194"/>
      <c r="CZ556" s="194"/>
      <c r="DA556" s="194"/>
      <c r="DB556" s="194"/>
      <c r="DC556" s="194"/>
      <c r="DD556" s="194"/>
      <c r="DE556" s="194"/>
      <c r="DF556" s="196"/>
      <c r="DG556" s="198"/>
      <c r="DH556" s="194"/>
      <c r="DI556" s="194"/>
    </row>
    <row r="557" spans="1:113" s="24" customFormat="1" hidden="1" x14ac:dyDescent="0.3">
      <c r="A557" s="172"/>
      <c r="B557" s="172"/>
      <c r="C557" s="172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  <c r="BT557" s="172"/>
      <c r="BU557" s="172"/>
      <c r="BV557" s="172"/>
      <c r="BW557" s="172"/>
      <c r="BX557" s="172"/>
      <c r="BY557" s="174"/>
      <c r="BZ557" s="172"/>
      <c r="CA557" s="172"/>
      <c r="CD557" s="194"/>
      <c r="CE557" s="194"/>
      <c r="CF557" s="194"/>
      <c r="CG557" s="194"/>
      <c r="CH557" s="195"/>
      <c r="CI557" s="194"/>
      <c r="CJ557" s="194"/>
      <c r="CK557" s="194"/>
      <c r="CL557" s="196"/>
      <c r="CM557" s="196"/>
      <c r="CN557" s="194"/>
      <c r="CO557" s="197"/>
      <c r="CP557" s="196"/>
      <c r="CQ557" s="196"/>
      <c r="CR557" s="196"/>
      <c r="CS557" s="196"/>
      <c r="CT557" s="196"/>
      <c r="CU557" s="196"/>
      <c r="CV557" s="194"/>
      <c r="CW557" s="194"/>
      <c r="CX557" s="194"/>
      <c r="CY557" s="194"/>
      <c r="CZ557" s="194"/>
      <c r="DA557" s="194"/>
      <c r="DB557" s="194"/>
      <c r="DC557" s="194"/>
      <c r="DD557" s="194"/>
      <c r="DE557" s="194"/>
      <c r="DF557" s="196"/>
      <c r="DG557" s="198"/>
      <c r="DH557" s="194"/>
      <c r="DI557" s="194"/>
    </row>
    <row r="558" spans="1:113" s="24" customFormat="1" hidden="1" x14ac:dyDescent="0.3">
      <c r="A558" s="172"/>
      <c r="B558" s="172"/>
      <c r="C558" s="172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  <c r="BT558" s="172"/>
      <c r="BU558" s="172"/>
      <c r="BV558" s="172"/>
      <c r="BW558" s="172"/>
      <c r="BX558" s="172"/>
      <c r="BY558" s="174"/>
      <c r="BZ558" s="172"/>
      <c r="CA558" s="172"/>
      <c r="CD558" s="194"/>
      <c r="CE558" s="194"/>
      <c r="CF558" s="194"/>
      <c r="CG558" s="194"/>
      <c r="CH558" s="195"/>
      <c r="CI558" s="194"/>
      <c r="CJ558" s="194"/>
      <c r="CK558" s="194"/>
      <c r="CL558" s="196"/>
      <c r="CM558" s="196"/>
      <c r="CN558" s="194"/>
      <c r="CO558" s="197"/>
      <c r="CP558" s="196"/>
      <c r="CQ558" s="196"/>
      <c r="CR558" s="196"/>
      <c r="CS558" s="196"/>
      <c r="CT558" s="196"/>
      <c r="CU558" s="196"/>
      <c r="CV558" s="194"/>
      <c r="CW558" s="194"/>
      <c r="CX558" s="194"/>
      <c r="CY558" s="194"/>
      <c r="CZ558" s="194"/>
      <c r="DA558" s="194"/>
      <c r="DB558" s="194"/>
      <c r="DC558" s="194"/>
      <c r="DD558" s="194"/>
      <c r="DE558" s="194"/>
      <c r="DF558" s="196"/>
      <c r="DG558" s="198"/>
      <c r="DH558" s="194"/>
      <c r="DI558" s="194"/>
    </row>
    <row r="559" spans="1:113" s="24" customFormat="1" hidden="1" x14ac:dyDescent="0.3">
      <c r="A559" s="172"/>
      <c r="B559" s="172"/>
      <c r="C559" s="172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  <c r="BT559" s="172"/>
      <c r="BU559" s="172"/>
      <c r="BV559" s="172"/>
      <c r="BW559" s="172"/>
      <c r="BX559" s="172"/>
      <c r="BY559" s="174"/>
      <c r="BZ559" s="172"/>
      <c r="CA559" s="172"/>
      <c r="CD559" s="194"/>
      <c r="CE559" s="194"/>
      <c r="CF559" s="194"/>
      <c r="CG559" s="194"/>
      <c r="CH559" s="195"/>
      <c r="CI559" s="194"/>
      <c r="CJ559" s="194"/>
      <c r="CK559" s="194"/>
      <c r="CL559" s="196"/>
      <c r="CM559" s="196"/>
      <c r="CN559" s="194"/>
      <c r="CO559" s="197"/>
      <c r="CP559" s="196"/>
      <c r="CQ559" s="196"/>
      <c r="CR559" s="196"/>
      <c r="CS559" s="196"/>
      <c r="CT559" s="196"/>
      <c r="CU559" s="196"/>
      <c r="CV559" s="194"/>
      <c r="CW559" s="194"/>
      <c r="CX559" s="194"/>
      <c r="CY559" s="194"/>
      <c r="CZ559" s="194"/>
      <c r="DA559" s="194"/>
      <c r="DB559" s="194"/>
      <c r="DC559" s="194"/>
      <c r="DD559" s="194"/>
      <c r="DE559" s="194"/>
      <c r="DF559" s="196"/>
      <c r="DG559" s="198"/>
      <c r="DH559" s="194"/>
      <c r="DI559" s="194"/>
    </row>
    <row r="560" spans="1:113" s="24" customFormat="1" hidden="1" x14ac:dyDescent="0.3">
      <c r="A560" s="172"/>
      <c r="B560" s="172"/>
      <c r="C560" s="172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  <c r="BT560" s="172"/>
      <c r="BU560" s="172"/>
      <c r="BV560" s="172"/>
      <c r="BW560" s="172"/>
      <c r="BX560" s="172"/>
      <c r="BY560" s="174"/>
      <c r="BZ560" s="172"/>
      <c r="CA560" s="172"/>
      <c r="CD560" s="194"/>
      <c r="CE560" s="194"/>
      <c r="CF560" s="194"/>
      <c r="CG560" s="194"/>
      <c r="CH560" s="195"/>
      <c r="CI560" s="194"/>
      <c r="CJ560" s="194"/>
      <c r="CK560" s="194"/>
      <c r="CL560" s="196"/>
      <c r="CM560" s="196"/>
      <c r="CN560" s="194"/>
      <c r="CO560" s="197"/>
      <c r="CP560" s="196"/>
      <c r="CQ560" s="196"/>
      <c r="CR560" s="196"/>
      <c r="CS560" s="196"/>
      <c r="CT560" s="196"/>
      <c r="CU560" s="196"/>
      <c r="CV560" s="194"/>
      <c r="CW560" s="194"/>
      <c r="CX560" s="194"/>
      <c r="CY560" s="194"/>
      <c r="CZ560" s="194"/>
      <c r="DA560" s="194"/>
      <c r="DB560" s="194"/>
      <c r="DC560" s="194"/>
      <c r="DD560" s="194"/>
      <c r="DE560" s="194"/>
      <c r="DF560" s="196"/>
      <c r="DG560" s="198"/>
      <c r="DH560" s="194"/>
      <c r="DI560" s="194"/>
    </row>
    <row r="561" spans="1:113" s="24" customFormat="1" hidden="1" x14ac:dyDescent="0.3">
      <c r="A561" s="172"/>
      <c r="B561" s="172"/>
      <c r="C561" s="172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  <c r="BT561" s="172"/>
      <c r="BU561" s="172"/>
      <c r="BV561" s="172"/>
      <c r="BW561" s="172"/>
      <c r="BX561" s="172"/>
      <c r="BY561" s="174"/>
      <c r="BZ561" s="172"/>
      <c r="CA561" s="172"/>
      <c r="CD561" s="194"/>
      <c r="CE561" s="194"/>
      <c r="CF561" s="194"/>
      <c r="CG561" s="194"/>
      <c r="CH561" s="195"/>
      <c r="CI561" s="194"/>
      <c r="CJ561" s="194"/>
      <c r="CK561" s="194"/>
      <c r="CL561" s="196"/>
      <c r="CM561" s="196"/>
      <c r="CN561" s="194"/>
      <c r="CO561" s="197"/>
      <c r="CP561" s="196"/>
      <c r="CQ561" s="196"/>
      <c r="CR561" s="196"/>
      <c r="CS561" s="196"/>
      <c r="CT561" s="196"/>
      <c r="CU561" s="196"/>
      <c r="CV561" s="194"/>
      <c r="CW561" s="194"/>
      <c r="CX561" s="194"/>
      <c r="CY561" s="194"/>
      <c r="CZ561" s="194"/>
      <c r="DA561" s="194"/>
      <c r="DB561" s="194"/>
      <c r="DC561" s="194"/>
      <c r="DD561" s="194"/>
      <c r="DE561" s="194"/>
      <c r="DF561" s="196"/>
      <c r="DG561" s="198"/>
      <c r="DH561" s="194"/>
      <c r="DI561" s="194"/>
    </row>
    <row r="562" spans="1:113" s="24" customFormat="1" hidden="1" x14ac:dyDescent="0.3">
      <c r="A562" s="172"/>
      <c r="B562" s="172"/>
      <c r="C562" s="172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  <c r="BT562" s="172"/>
      <c r="BU562" s="172"/>
      <c r="BV562" s="172"/>
      <c r="BW562" s="172"/>
      <c r="BX562" s="172"/>
      <c r="BY562" s="174"/>
      <c r="BZ562" s="172"/>
      <c r="CA562" s="172"/>
      <c r="CD562" s="194"/>
      <c r="CE562" s="194"/>
      <c r="CF562" s="194"/>
      <c r="CG562" s="194"/>
      <c r="CH562" s="195"/>
      <c r="CI562" s="194"/>
      <c r="CJ562" s="194"/>
      <c r="CK562" s="194"/>
      <c r="CL562" s="196"/>
      <c r="CM562" s="196"/>
      <c r="CN562" s="194"/>
      <c r="CO562" s="197"/>
      <c r="CP562" s="196"/>
      <c r="CQ562" s="196"/>
      <c r="CR562" s="196"/>
      <c r="CS562" s="196"/>
      <c r="CT562" s="196"/>
      <c r="CU562" s="196"/>
      <c r="CV562" s="194"/>
      <c r="CW562" s="194"/>
      <c r="CX562" s="194"/>
      <c r="CY562" s="194"/>
      <c r="CZ562" s="194"/>
      <c r="DA562" s="194"/>
      <c r="DB562" s="194"/>
      <c r="DC562" s="194"/>
      <c r="DD562" s="194"/>
      <c r="DE562" s="194"/>
      <c r="DF562" s="196"/>
      <c r="DG562" s="198"/>
      <c r="DH562" s="194"/>
      <c r="DI562" s="194"/>
    </row>
    <row r="563" spans="1:113" s="24" customFormat="1" hidden="1" x14ac:dyDescent="0.3">
      <c r="A563" s="172"/>
      <c r="B563" s="172"/>
      <c r="C563" s="172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  <c r="BT563" s="172"/>
      <c r="BU563" s="172"/>
      <c r="BV563" s="172"/>
      <c r="BW563" s="172"/>
      <c r="BX563" s="172"/>
      <c r="BY563" s="174"/>
      <c r="BZ563" s="172"/>
      <c r="CA563" s="172"/>
      <c r="CD563" s="194"/>
      <c r="CE563" s="194"/>
      <c r="CF563" s="194"/>
      <c r="CG563" s="194"/>
      <c r="CH563" s="195"/>
      <c r="CI563" s="194"/>
      <c r="CJ563" s="194"/>
      <c r="CK563" s="194"/>
      <c r="CL563" s="196"/>
      <c r="CM563" s="196"/>
      <c r="CN563" s="194"/>
      <c r="CO563" s="197"/>
      <c r="CP563" s="196"/>
      <c r="CQ563" s="196"/>
      <c r="CR563" s="196"/>
      <c r="CS563" s="196"/>
      <c r="CT563" s="196"/>
      <c r="CU563" s="196"/>
      <c r="CV563" s="194"/>
      <c r="CW563" s="194"/>
      <c r="CX563" s="194"/>
      <c r="CY563" s="194"/>
      <c r="CZ563" s="194"/>
      <c r="DA563" s="194"/>
      <c r="DB563" s="194"/>
      <c r="DC563" s="194"/>
      <c r="DD563" s="194"/>
      <c r="DE563" s="194"/>
      <c r="DF563" s="196"/>
      <c r="DG563" s="198"/>
      <c r="DH563" s="194"/>
      <c r="DI563" s="194"/>
    </row>
    <row r="564" spans="1:113" s="24" customFormat="1" hidden="1" x14ac:dyDescent="0.3">
      <c r="A564" s="172"/>
      <c r="B564" s="172"/>
      <c r="C564" s="172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  <c r="BT564" s="172"/>
      <c r="BU564" s="172"/>
      <c r="BV564" s="172"/>
      <c r="BW564" s="172"/>
      <c r="BX564" s="172"/>
      <c r="BY564" s="174"/>
      <c r="BZ564" s="172"/>
      <c r="CA564" s="172"/>
      <c r="CD564" s="194"/>
      <c r="CE564" s="194"/>
      <c r="CF564" s="194"/>
      <c r="CG564" s="194"/>
      <c r="CH564" s="195"/>
      <c r="CI564" s="194"/>
      <c r="CJ564" s="194"/>
      <c r="CK564" s="194"/>
      <c r="CL564" s="196"/>
      <c r="CM564" s="196"/>
      <c r="CN564" s="194"/>
      <c r="CO564" s="197"/>
      <c r="CP564" s="196"/>
      <c r="CQ564" s="196"/>
      <c r="CR564" s="196"/>
      <c r="CS564" s="196"/>
      <c r="CT564" s="196"/>
      <c r="CU564" s="196"/>
      <c r="CV564" s="194"/>
      <c r="CW564" s="194"/>
      <c r="CX564" s="194"/>
      <c r="CY564" s="194"/>
      <c r="CZ564" s="194"/>
      <c r="DA564" s="194"/>
      <c r="DB564" s="194"/>
      <c r="DC564" s="194"/>
      <c r="DD564" s="194"/>
      <c r="DE564" s="194"/>
      <c r="DF564" s="196"/>
      <c r="DG564" s="198"/>
      <c r="DH564" s="194"/>
      <c r="DI564" s="194"/>
    </row>
    <row r="565" spans="1:113" s="24" customFormat="1" hidden="1" x14ac:dyDescent="0.3">
      <c r="A565" s="172"/>
      <c r="B565" s="172"/>
      <c r="C565" s="172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  <c r="BT565" s="172"/>
      <c r="BU565" s="172"/>
      <c r="BV565" s="172"/>
      <c r="BW565" s="172"/>
      <c r="BX565" s="172"/>
      <c r="BY565" s="174"/>
      <c r="BZ565" s="172"/>
      <c r="CA565" s="172"/>
      <c r="CD565" s="194"/>
      <c r="CE565" s="194"/>
      <c r="CF565" s="194"/>
      <c r="CG565" s="194"/>
      <c r="CH565" s="195"/>
      <c r="CI565" s="194"/>
      <c r="CJ565" s="194"/>
      <c r="CK565" s="194"/>
      <c r="CL565" s="196"/>
      <c r="CM565" s="196"/>
      <c r="CN565" s="194"/>
      <c r="CO565" s="197"/>
      <c r="CP565" s="196"/>
      <c r="CQ565" s="196"/>
      <c r="CR565" s="196"/>
      <c r="CS565" s="196"/>
      <c r="CT565" s="196"/>
      <c r="CU565" s="196"/>
      <c r="CV565" s="194"/>
      <c r="CW565" s="194"/>
      <c r="CX565" s="194"/>
      <c r="CY565" s="194"/>
      <c r="CZ565" s="194"/>
      <c r="DA565" s="194"/>
      <c r="DB565" s="194"/>
      <c r="DC565" s="194"/>
      <c r="DD565" s="194"/>
      <c r="DE565" s="194"/>
      <c r="DF565" s="196"/>
      <c r="DG565" s="198"/>
      <c r="DH565" s="194"/>
      <c r="DI565" s="194"/>
    </row>
    <row r="566" spans="1:113" s="24" customFormat="1" hidden="1" x14ac:dyDescent="0.3">
      <c r="A566" s="172"/>
      <c r="B566" s="172"/>
      <c r="C566" s="172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  <c r="BT566" s="172"/>
      <c r="BU566" s="172"/>
      <c r="BV566" s="172"/>
      <c r="BW566" s="172"/>
      <c r="BX566" s="172"/>
      <c r="BY566" s="174"/>
      <c r="BZ566" s="172"/>
      <c r="CA566" s="172"/>
      <c r="CD566" s="194"/>
      <c r="CE566" s="194"/>
      <c r="CF566" s="194"/>
      <c r="CG566" s="194"/>
      <c r="CH566" s="195"/>
      <c r="CI566" s="194"/>
      <c r="CJ566" s="194"/>
      <c r="CK566" s="194"/>
      <c r="CL566" s="196"/>
      <c r="CM566" s="196"/>
      <c r="CN566" s="194"/>
      <c r="CO566" s="197"/>
      <c r="CP566" s="196"/>
      <c r="CQ566" s="196"/>
      <c r="CR566" s="196"/>
      <c r="CS566" s="196"/>
      <c r="CT566" s="196"/>
      <c r="CU566" s="196"/>
      <c r="CV566" s="194"/>
      <c r="CW566" s="194"/>
      <c r="CX566" s="194"/>
      <c r="CY566" s="194"/>
      <c r="CZ566" s="194"/>
      <c r="DA566" s="194"/>
      <c r="DB566" s="194"/>
      <c r="DC566" s="194"/>
      <c r="DD566" s="194"/>
      <c r="DE566" s="194"/>
      <c r="DF566" s="196"/>
      <c r="DG566" s="198"/>
      <c r="DH566" s="194"/>
      <c r="DI566" s="194"/>
    </row>
    <row r="567" spans="1:113" s="24" customFormat="1" hidden="1" x14ac:dyDescent="0.3">
      <c r="A567" s="172"/>
      <c r="B567" s="172"/>
      <c r="C567" s="172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  <c r="BT567" s="172"/>
      <c r="BU567" s="172"/>
      <c r="BV567" s="172"/>
      <c r="BW567" s="172"/>
      <c r="BX567" s="172"/>
      <c r="BY567" s="174"/>
      <c r="BZ567" s="172"/>
      <c r="CA567" s="172"/>
      <c r="CD567" s="194"/>
      <c r="CE567" s="194"/>
      <c r="CF567" s="194"/>
      <c r="CG567" s="194"/>
      <c r="CH567" s="195"/>
      <c r="CI567" s="194"/>
      <c r="CJ567" s="194"/>
      <c r="CK567" s="194"/>
      <c r="CL567" s="196"/>
      <c r="CM567" s="196"/>
      <c r="CN567" s="194"/>
      <c r="CO567" s="197"/>
      <c r="CP567" s="196"/>
      <c r="CQ567" s="196"/>
      <c r="CR567" s="196"/>
      <c r="CS567" s="196"/>
      <c r="CT567" s="196"/>
      <c r="CU567" s="196"/>
      <c r="CV567" s="194"/>
      <c r="CW567" s="194"/>
      <c r="CX567" s="194"/>
      <c r="CY567" s="194"/>
      <c r="CZ567" s="194"/>
      <c r="DA567" s="194"/>
      <c r="DB567" s="194"/>
      <c r="DC567" s="194"/>
      <c r="DD567" s="194"/>
      <c r="DE567" s="194"/>
      <c r="DF567" s="196"/>
      <c r="DG567" s="198"/>
      <c r="DH567" s="194"/>
      <c r="DI567" s="194"/>
    </row>
    <row r="568" spans="1:113" s="24" customFormat="1" hidden="1" x14ac:dyDescent="0.3">
      <c r="A568" s="172"/>
      <c r="B568" s="172"/>
      <c r="C568" s="172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  <c r="BT568" s="172"/>
      <c r="BU568" s="172"/>
      <c r="BV568" s="172"/>
      <c r="BW568" s="172"/>
      <c r="BX568" s="172"/>
      <c r="BY568" s="174"/>
      <c r="BZ568" s="172"/>
      <c r="CA568" s="172"/>
      <c r="CD568" s="194"/>
      <c r="CE568" s="194"/>
      <c r="CF568" s="194"/>
      <c r="CG568" s="194"/>
      <c r="CH568" s="195"/>
      <c r="CI568" s="194"/>
      <c r="CJ568" s="194"/>
      <c r="CK568" s="194"/>
      <c r="CL568" s="196"/>
      <c r="CM568" s="196"/>
      <c r="CN568" s="194"/>
      <c r="CO568" s="197"/>
      <c r="CP568" s="196"/>
      <c r="CQ568" s="196"/>
      <c r="CR568" s="196"/>
      <c r="CS568" s="196"/>
      <c r="CT568" s="196"/>
      <c r="CU568" s="196"/>
      <c r="CV568" s="194"/>
      <c r="CW568" s="194"/>
      <c r="CX568" s="194"/>
      <c r="CY568" s="194"/>
      <c r="CZ568" s="194"/>
      <c r="DA568" s="194"/>
      <c r="DB568" s="194"/>
      <c r="DC568" s="194"/>
      <c r="DD568" s="194"/>
      <c r="DE568" s="194"/>
      <c r="DF568" s="196"/>
      <c r="DG568" s="198"/>
      <c r="DH568" s="194"/>
      <c r="DI568" s="194"/>
    </row>
    <row r="569" spans="1:113" s="24" customFormat="1" hidden="1" x14ac:dyDescent="0.3">
      <c r="A569" s="172"/>
      <c r="B569" s="172"/>
      <c r="C569" s="172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  <c r="BT569" s="172"/>
      <c r="BU569" s="172"/>
      <c r="BV569" s="172"/>
      <c r="BW569" s="172"/>
      <c r="BX569" s="172"/>
      <c r="BY569" s="174"/>
      <c r="BZ569" s="172"/>
      <c r="CA569" s="172"/>
      <c r="CD569" s="194"/>
      <c r="CE569" s="194"/>
      <c r="CF569" s="194"/>
      <c r="CG569" s="194"/>
      <c r="CH569" s="195"/>
      <c r="CI569" s="194"/>
      <c r="CJ569" s="194"/>
      <c r="CK569" s="194"/>
      <c r="CL569" s="196"/>
      <c r="CM569" s="196"/>
      <c r="CN569" s="194"/>
      <c r="CO569" s="197"/>
      <c r="CP569" s="196"/>
      <c r="CQ569" s="196"/>
      <c r="CR569" s="196"/>
      <c r="CS569" s="196"/>
      <c r="CT569" s="196"/>
      <c r="CU569" s="196"/>
      <c r="CV569" s="194"/>
      <c r="CW569" s="194"/>
      <c r="CX569" s="194"/>
      <c r="CY569" s="194"/>
      <c r="CZ569" s="194"/>
      <c r="DA569" s="194"/>
      <c r="DB569" s="194"/>
      <c r="DC569" s="194"/>
      <c r="DD569" s="194"/>
      <c r="DE569" s="194"/>
      <c r="DF569" s="196"/>
      <c r="DG569" s="198"/>
      <c r="DH569" s="194"/>
      <c r="DI569" s="194"/>
    </row>
    <row r="570" spans="1:113" s="24" customFormat="1" hidden="1" x14ac:dyDescent="0.3">
      <c r="A570" s="172"/>
      <c r="B570" s="172"/>
      <c r="C570" s="172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  <c r="BT570" s="172"/>
      <c r="BU570" s="172"/>
      <c r="BV570" s="172"/>
      <c r="BW570" s="172"/>
      <c r="BX570" s="172"/>
      <c r="BY570" s="174"/>
      <c r="BZ570" s="172"/>
      <c r="CA570" s="172"/>
      <c r="CD570" s="194"/>
      <c r="CE570" s="194"/>
      <c r="CF570" s="194"/>
      <c r="CG570" s="194"/>
      <c r="CH570" s="195"/>
      <c r="CI570" s="194"/>
      <c r="CJ570" s="194"/>
      <c r="CK570" s="194"/>
      <c r="CL570" s="196"/>
      <c r="CM570" s="196"/>
      <c r="CN570" s="194"/>
      <c r="CO570" s="197"/>
      <c r="CP570" s="196"/>
      <c r="CQ570" s="196"/>
      <c r="CR570" s="196"/>
      <c r="CS570" s="196"/>
      <c r="CT570" s="196"/>
      <c r="CU570" s="196"/>
      <c r="CV570" s="194"/>
      <c r="CW570" s="194"/>
      <c r="CX570" s="194"/>
      <c r="CY570" s="194"/>
      <c r="CZ570" s="194"/>
      <c r="DA570" s="194"/>
      <c r="DB570" s="194"/>
      <c r="DC570" s="194"/>
      <c r="DD570" s="194"/>
      <c r="DE570" s="194"/>
      <c r="DF570" s="196"/>
      <c r="DG570" s="198"/>
      <c r="DH570" s="194"/>
      <c r="DI570" s="194"/>
    </row>
    <row r="571" spans="1:113" s="24" customFormat="1" hidden="1" x14ac:dyDescent="0.3">
      <c r="A571" s="172"/>
      <c r="B571" s="172"/>
      <c r="C571" s="172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  <c r="BT571" s="172"/>
      <c r="BU571" s="172"/>
      <c r="BV571" s="172"/>
      <c r="BW571" s="172"/>
      <c r="BX571" s="172"/>
      <c r="BY571" s="174"/>
      <c r="BZ571" s="172"/>
      <c r="CA571" s="172"/>
      <c r="CD571" s="194"/>
      <c r="CE571" s="194"/>
      <c r="CF571" s="194"/>
      <c r="CG571" s="194"/>
      <c r="CH571" s="195"/>
      <c r="CI571" s="194"/>
      <c r="CJ571" s="194"/>
      <c r="CK571" s="194"/>
      <c r="CL571" s="196"/>
      <c r="CM571" s="196"/>
      <c r="CN571" s="194"/>
      <c r="CO571" s="197"/>
      <c r="CP571" s="196"/>
      <c r="CQ571" s="196"/>
      <c r="CR571" s="196"/>
      <c r="CS571" s="196"/>
      <c r="CT571" s="196"/>
      <c r="CU571" s="196"/>
      <c r="CV571" s="194"/>
      <c r="CW571" s="194"/>
      <c r="CX571" s="194"/>
      <c r="CY571" s="194"/>
      <c r="CZ571" s="194"/>
      <c r="DA571" s="194"/>
      <c r="DB571" s="194"/>
      <c r="DC571" s="194"/>
      <c r="DD571" s="194"/>
      <c r="DE571" s="194"/>
      <c r="DF571" s="196"/>
      <c r="DG571" s="198"/>
      <c r="DH571" s="194"/>
      <c r="DI571" s="194"/>
    </row>
    <row r="572" spans="1:113" s="24" customFormat="1" hidden="1" x14ac:dyDescent="0.3">
      <c r="A572" s="172"/>
      <c r="B572" s="172"/>
      <c r="C572" s="172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  <c r="BT572" s="172"/>
      <c r="BU572" s="172"/>
      <c r="BV572" s="172"/>
      <c r="BW572" s="172"/>
      <c r="BX572" s="172"/>
      <c r="BY572" s="174"/>
      <c r="BZ572" s="172"/>
      <c r="CA572" s="172"/>
      <c r="CD572" s="194"/>
      <c r="CE572" s="194"/>
      <c r="CF572" s="194"/>
      <c r="CG572" s="194"/>
      <c r="CH572" s="195"/>
      <c r="CI572" s="194"/>
      <c r="CJ572" s="194"/>
      <c r="CK572" s="194"/>
      <c r="CL572" s="196"/>
      <c r="CM572" s="196"/>
      <c r="CN572" s="194"/>
      <c r="CO572" s="197"/>
      <c r="CP572" s="196"/>
      <c r="CQ572" s="196"/>
      <c r="CR572" s="196"/>
      <c r="CS572" s="196"/>
      <c r="CT572" s="196"/>
      <c r="CU572" s="196"/>
      <c r="CV572" s="194"/>
      <c r="CW572" s="194"/>
      <c r="CX572" s="194"/>
      <c r="CY572" s="194"/>
      <c r="CZ572" s="194"/>
      <c r="DA572" s="194"/>
      <c r="DB572" s="194"/>
      <c r="DC572" s="194"/>
      <c r="DD572" s="194"/>
      <c r="DE572" s="194"/>
      <c r="DF572" s="196"/>
      <c r="DG572" s="198"/>
      <c r="DH572" s="194"/>
      <c r="DI572" s="194"/>
    </row>
    <row r="573" spans="1:113" s="24" customFormat="1" hidden="1" x14ac:dyDescent="0.3">
      <c r="A573" s="172"/>
      <c r="B573" s="172"/>
      <c r="C573" s="172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  <c r="BT573" s="172"/>
      <c r="BU573" s="172"/>
      <c r="BV573" s="172"/>
      <c r="BW573" s="172"/>
      <c r="BX573" s="172"/>
      <c r="BY573" s="174"/>
      <c r="BZ573" s="172"/>
      <c r="CA573" s="172"/>
      <c r="CD573" s="194"/>
      <c r="CE573" s="194"/>
      <c r="CF573" s="194"/>
      <c r="CG573" s="194"/>
      <c r="CH573" s="195"/>
      <c r="CI573" s="194"/>
      <c r="CJ573" s="194"/>
      <c r="CK573" s="194"/>
      <c r="CL573" s="196"/>
      <c r="CM573" s="196"/>
      <c r="CN573" s="194"/>
      <c r="CO573" s="197"/>
      <c r="CP573" s="196"/>
      <c r="CQ573" s="196"/>
      <c r="CR573" s="196"/>
      <c r="CS573" s="196"/>
      <c r="CT573" s="196"/>
      <c r="CU573" s="196"/>
      <c r="CV573" s="194"/>
      <c r="CW573" s="194"/>
      <c r="CX573" s="194"/>
      <c r="CY573" s="194"/>
      <c r="CZ573" s="194"/>
      <c r="DA573" s="194"/>
      <c r="DB573" s="194"/>
      <c r="DC573" s="194"/>
      <c r="DD573" s="194"/>
      <c r="DE573" s="194"/>
      <c r="DF573" s="196"/>
      <c r="DG573" s="198"/>
      <c r="DH573" s="194"/>
      <c r="DI573" s="194"/>
    </row>
    <row r="574" spans="1:113" s="24" customFormat="1" hidden="1" x14ac:dyDescent="0.3">
      <c r="A574" s="172"/>
      <c r="B574" s="172"/>
      <c r="C574" s="172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172"/>
      <c r="BV574" s="172"/>
      <c r="BW574" s="172"/>
      <c r="BX574" s="172"/>
      <c r="BY574" s="174"/>
      <c r="BZ574" s="172"/>
      <c r="CA574" s="172"/>
      <c r="CD574" s="194"/>
      <c r="CE574" s="194"/>
      <c r="CF574" s="194"/>
      <c r="CG574" s="194"/>
      <c r="CH574" s="195"/>
      <c r="CI574" s="194"/>
      <c r="CJ574" s="194"/>
      <c r="CK574" s="194"/>
      <c r="CL574" s="196"/>
      <c r="CM574" s="196"/>
      <c r="CN574" s="194"/>
      <c r="CO574" s="197"/>
      <c r="CP574" s="196"/>
      <c r="CQ574" s="196"/>
      <c r="CR574" s="196"/>
      <c r="CS574" s="196"/>
      <c r="CT574" s="196"/>
      <c r="CU574" s="196"/>
      <c r="CV574" s="194"/>
      <c r="CW574" s="194"/>
      <c r="CX574" s="194"/>
      <c r="CY574" s="194"/>
      <c r="CZ574" s="194"/>
      <c r="DA574" s="194"/>
      <c r="DB574" s="194"/>
      <c r="DC574" s="194"/>
      <c r="DD574" s="194"/>
      <c r="DE574" s="194"/>
      <c r="DF574" s="196"/>
      <c r="DG574" s="198"/>
      <c r="DH574" s="194"/>
      <c r="DI574" s="194"/>
    </row>
    <row r="575" spans="1:113" s="24" customFormat="1" hidden="1" x14ac:dyDescent="0.3">
      <c r="A575" s="172"/>
      <c r="B575" s="172"/>
      <c r="C575" s="172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  <c r="BT575" s="172"/>
      <c r="BU575" s="172"/>
      <c r="BV575" s="172"/>
      <c r="BW575" s="172"/>
      <c r="BX575" s="172"/>
      <c r="BY575" s="174"/>
      <c r="BZ575" s="172"/>
      <c r="CA575" s="172"/>
      <c r="CD575" s="194"/>
      <c r="CE575" s="194"/>
      <c r="CF575" s="194"/>
      <c r="CG575" s="194"/>
      <c r="CH575" s="195"/>
      <c r="CI575" s="194"/>
      <c r="CJ575" s="194"/>
      <c r="CK575" s="194"/>
      <c r="CL575" s="196"/>
      <c r="CM575" s="196"/>
      <c r="CN575" s="194"/>
      <c r="CO575" s="197"/>
      <c r="CP575" s="196"/>
      <c r="CQ575" s="196"/>
      <c r="CR575" s="196"/>
      <c r="CS575" s="196"/>
      <c r="CT575" s="196"/>
      <c r="CU575" s="196"/>
      <c r="CV575" s="194"/>
      <c r="CW575" s="194"/>
      <c r="CX575" s="194"/>
      <c r="CY575" s="194"/>
      <c r="CZ575" s="194"/>
      <c r="DA575" s="194"/>
      <c r="DB575" s="194"/>
      <c r="DC575" s="194"/>
      <c r="DD575" s="194"/>
      <c r="DE575" s="194"/>
      <c r="DF575" s="196"/>
      <c r="DG575" s="198"/>
      <c r="DH575" s="194"/>
      <c r="DI575" s="194"/>
    </row>
    <row r="576" spans="1:113" s="24" customFormat="1" hidden="1" x14ac:dyDescent="0.3">
      <c r="A576" s="172"/>
      <c r="B576" s="172"/>
      <c r="C576" s="172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  <c r="BT576" s="172"/>
      <c r="BU576" s="172"/>
      <c r="BV576" s="172"/>
      <c r="BW576" s="172"/>
      <c r="BX576" s="172"/>
      <c r="BY576" s="174"/>
      <c r="BZ576" s="172"/>
      <c r="CA576" s="172"/>
      <c r="CD576" s="194"/>
      <c r="CE576" s="194"/>
      <c r="CF576" s="194"/>
      <c r="CG576" s="194"/>
      <c r="CH576" s="195"/>
      <c r="CI576" s="194"/>
      <c r="CJ576" s="194"/>
      <c r="CK576" s="194"/>
      <c r="CL576" s="196"/>
      <c r="CM576" s="196"/>
      <c r="CN576" s="194"/>
      <c r="CO576" s="197"/>
      <c r="CP576" s="196"/>
      <c r="CQ576" s="196"/>
      <c r="CR576" s="196"/>
      <c r="CS576" s="196"/>
      <c r="CT576" s="196"/>
      <c r="CU576" s="196"/>
      <c r="CV576" s="194"/>
      <c r="CW576" s="194"/>
      <c r="CX576" s="194"/>
      <c r="CY576" s="194"/>
      <c r="CZ576" s="194"/>
      <c r="DA576" s="194"/>
      <c r="DB576" s="194"/>
      <c r="DC576" s="194"/>
      <c r="DD576" s="194"/>
      <c r="DE576" s="194"/>
      <c r="DF576" s="196"/>
      <c r="DG576" s="198"/>
      <c r="DH576" s="194"/>
      <c r="DI576" s="194"/>
    </row>
    <row r="577" spans="1:113" s="24" customFormat="1" hidden="1" x14ac:dyDescent="0.3">
      <c r="A577" s="172"/>
      <c r="B577" s="172"/>
      <c r="C577" s="172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  <c r="BT577" s="172"/>
      <c r="BU577" s="172"/>
      <c r="BV577" s="172"/>
      <c r="BW577" s="172"/>
      <c r="BX577" s="172"/>
      <c r="BY577" s="174"/>
      <c r="BZ577" s="172"/>
      <c r="CA577" s="172"/>
      <c r="CD577" s="194"/>
      <c r="CE577" s="194"/>
      <c r="CF577" s="194"/>
      <c r="CG577" s="194"/>
      <c r="CH577" s="195"/>
      <c r="CI577" s="194"/>
      <c r="CJ577" s="194"/>
      <c r="CK577" s="194"/>
      <c r="CL577" s="196"/>
      <c r="CM577" s="196"/>
      <c r="CN577" s="194"/>
      <c r="CO577" s="197"/>
      <c r="CP577" s="196"/>
      <c r="CQ577" s="196"/>
      <c r="CR577" s="196"/>
      <c r="CS577" s="196"/>
      <c r="CT577" s="196"/>
      <c r="CU577" s="196"/>
      <c r="CV577" s="194"/>
      <c r="CW577" s="194"/>
      <c r="CX577" s="194"/>
      <c r="CY577" s="194"/>
      <c r="CZ577" s="194"/>
      <c r="DA577" s="194"/>
      <c r="DB577" s="194"/>
      <c r="DC577" s="194"/>
      <c r="DD577" s="194"/>
      <c r="DE577" s="194"/>
      <c r="DF577" s="196"/>
      <c r="DG577" s="198"/>
      <c r="DH577" s="194"/>
      <c r="DI577" s="194"/>
    </row>
    <row r="578" spans="1:113" s="24" customFormat="1" hidden="1" x14ac:dyDescent="0.3">
      <c r="A578" s="172"/>
      <c r="B578" s="172"/>
      <c r="C578" s="172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  <c r="BT578" s="172"/>
      <c r="BU578" s="172"/>
      <c r="BV578" s="172"/>
      <c r="BW578" s="172"/>
      <c r="BX578" s="172"/>
      <c r="BY578" s="174"/>
      <c r="BZ578" s="172"/>
      <c r="CA578" s="172"/>
      <c r="CD578" s="194"/>
      <c r="CE578" s="194"/>
      <c r="CF578" s="194"/>
      <c r="CG578" s="194"/>
      <c r="CH578" s="195"/>
      <c r="CI578" s="194"/>
      <c r="CJ578" s="194"/>
      <c r="CK578" s="194"/>
      <c r="CL578" s="196"/>
      <c r="CM578" s="196"/>
      <c r="CN578" s="194"/>
      <c r="CO578" s="197"/>
      <c r="CP578" s="196"/>
      <c r="CQ578" s="196"/>
      <c r="CR578" s="196"/>
      <c r="CS578" s="196"/>
      <c r="CT578" s="196"/>
      <c r="CU578" s="196"/>
      <c r="CV578" s="194"/>
      <c r="CW578" s="194"/>
      <c r="CX578" s="194"/>
      <c r="CY578" s="194"/>
      <c r="CZ578" s="194"/>
      <c r="DA578" s="194"/>
      <c r="DB578" s="194"/>
      <c r="DC578" s="194"/>
      <c r="DD578" s="194"/>
      <c r="DE578" s="194"/>
      <c r="DF578" s="196"/>
      <c r="DG578" s="198"/>
      <c r="DH578" s="194"/>
      <c r="DI578" s="194"/>
    </row>
    <row r="579" spans="1:113" s="24" customFormat="1" hidden="1" x14ac:dyDescent="0.3">
      <c r="A579" s="172"/>
      <c r="B579" s="172"/>
      <c r="C579" s="172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  <c r="BT579" s="172"/>
      <c r="BU579" s="172"/>
      <c r="BV579" s="172"/>
      <c r="BW579" s="172"/>
      <c r="BX579" s="172"/>
      <c r="BY579" s="174"/>
      <c r="BZ579" s="172"/>
      <c r="CA579" s="172"/>
      <c r="CD579" s="194"/>
      <c r="CE579" s="194"/>
      <c r="CF579" s="194"/>
      <c r="CG579" s="194"/>
      <c r="CH579" s="195"/>
      <c r="CI579" s="194"/>
      <c r="CJ579" s="194"/>
      <c r="CK579" s="194"/>
      <c r="CL579" s="196"/>
      <c r="CM579" s="196"/>
      <c r="CN579" s="194"/>
      <c r="CO579" s="197"/>
      <c r="CP579" s="196"/>
      <c r="CQ579" s="196"/>
      <c r="CR579" s="196"/>
      <c r="CS579" s="196"/>
      <c r="CT579" s="196"/>
      <c r="CU579" s="196"/>
      <c r="CV579" s="194"/>
      <c r="CW579" s="194"/>
      <c r="CX579" s="194"/>
      <c r="CY579" s="194"/>
      <c r="CZ579" s="194"/>
      <c r="DA579" s="194"/>
      <c r="DB579" s="194"/>
      <c r="DC579" s="194"/>
      <c r="DD579" s="194"/>
      <c r="DE579" s="194"/>
      <c r="DF579" s="196"/>
      <c r="DG579" s="198"/>
      <c r="DH579" s="194"/>
      <c r="DI579" s="194"/>
    </row>
    <row r="580" spans="1:113" s="24" customFormat="1" hidden="1" x14ac:dyDescent="0.3">
      <c r="A580" s="172"/>
      <c r="B580" s="172"/>
      <c r="C580" s="172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  <c r="BT580" s="172"/>
      <c r="BU580" s="172"/>
      <c r="BV580" s="172"/>
      <c r="BW580" s="172"/>
      <c r="BX580" s="172"/>
      <c r="BY580" s="174"/>
      <c r="BZ580" s="172"/>
      <c r="CA580" s="172"/>
      <c r="CD580" s="194"/>
      <c r="CE580" s="194"/>
      <c r="CF580" s="194"/>
      <c r="CG580" s="194"/>
      <c r="CH580" s="195"/>
      <c r="CI580" s="194"/>
      <c r="CJ580" s="194"/>
      <c r="CK580" s="194"/>
      <c r="CL580" s="196"/>
      <c r="CM580" s="196"/>
      <c r="CN580" s="194"/>
      <c r="CO580" s="197"/>
      <c r="CP580" s="196"/>
      <c r="CQ580" s="196"/>
      <c r="CR580" s="196"/>
      <c r="CS580" s="196"/>
      <c r="CT580" s="196"/>
      <c r="CU580" s="196"/>
      <c r="CV580" s="194"/>
      <c r="CW580" s="194"/>
      <c r="CX580" s="194"/>
      <c r="CY580" s="194"/>
      <c r="CZ580" s="194"/>
      <c r="DA580" s="194"/>
      <c r="DB580" s="194"/>
      <c r="DC580" s="194"/>
      <c r="DD580" s="194"/>
      <c r="DE580" s="194"/>
      <c r="DF580" s="196"/>
      <c r="DG580" s="198"/>
      <c r="DH580" s="194"/>
      <c r="DI580" s="194"/>
    </row>
    <row r="581" spans="1:113" s="24" customFormat="1" hidden="1" x14ac:dyDescent="0.3">
      <c r="A581" s="172"/>
      <c r="B581" s="172"/>
      <c r="C581" s="172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2"/>
      <c r="AT581" s="172"/>
      <c r="AU581" s="172"/>
      <c r="AV581" s="172"/>
      <c r="AW581" s="172"/>
      <c r="AX581" s="172"/>
      <c r="AY581" s="172"/>
      <c r="AZ581" s="172"/>
      <c r="BA581" s="172"/>
      <c r="BB581" s="172"/>
      <c r="BC581" s="172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  <c r="BT581" s="172"/>
      <c r="BU581" s="172"/>
      <c r="BV581" s="172"/>
      <c r="BW581" s="172"/>
      <c r="BX581" s="172"/>
      <c r="BY581" s="174"/>
      <c r="BZ581" s="172"/>
      <c r="CA581" s="172"/>
      <c r="CD581" s="194"/>
      <c r="CE581" s="194"/>
      <c r="CF581" s="194"/>
      <c r="CG581" s="194"/>
      <c r="CH581" s="195"/>
      <c r="CI581" s="194"/>
      <c r="CJ581" s="194"/>
      <c r="CK581" s="194"/>
      <c r="CL581" s="196"/>
      <c r="CM581" s="196"/>
      <c r="CN581" s="194"/>
      <c r="CO581" s="197"/>
      <c r="CP581" s="196"/>
      <c r="CQ581" s="196"/>
      <c r="CR581" s="196"/>
      <c r="CS581" s="196"/>
      <c r="CT581" s="196"/>
      <c r="CU581" s="196"/>
      <c r="CV581" s="194"/>
      <c r="CW581" s="194"/>
      <c r="CX581" s="194"/>
      <c r="CY581" s="194"/>
      <c r="CZ581" s="194"/>
      <c r="DA581" s="194"/>
      <c r="DB581" s="194"/>
      <c r="DC581" s="194"/>
      <c r="DD581" s="194"/>
      <c r="DE581" s="194"/>
      <c r="DF581" s="196"/>
      <c r="DG581" s="198"/>
      <c r="DH581" s="194"/>
      <c r="DI581" s="194"/>
    </row>
    <row r="582" spans="1:113" s="24" customFormat="1" hidden="1" x14ac:dyDescent="0.3">
      <c r="A582" s="172"/>
      <c r="B582" s="172"/>
      <c r="C582" s="172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  <c r="BT582" s="172"/>
      <c r="BU582" s="172"/>
      <c r="BV582" s="172"/>
      <c r="BW582" s="172"/>
      <c r="BX582" s="172"/>
      <c r="BY582" s="174"/>
      <c r="BZ582" s="172"/>
      <c r="CA582" s="172"/>
      <c r="CD582" s="194"/>
      <c r="CE582" s="194"/>
      <c r="CF582" s="194"/>
      <c r="CG582" s="194"/>
      <c r="CH582" s="195"/>
      <c r="CI582" s="194"/>
      <c r="CJ582" s="194"/>
      <c r="CK582" s="194"/>
      <c r="CL582" s="196"/>
      <c r="CM582" s="196"/>
      <c r="CN582" s="194"/>
      <c r="CO582" s="197"/>
      <c r="CP582" s="196"/>
      <c r="CQ582" s="196"/>
      <c r="CR582" s="196"/>
      <c r="CS582" s="196"/>
      <c r="CT582" s="196"/>
      <c r="CU582" s="196"/>
      <c r="CV582" s="194"/>
      <c r="CW582" s="194"/>
      <c r="CX582" s="194"/>
      <c r="CY582" s="194"/>
      <c r="CZ582" s="194"/>
      <c r="DA582" s="194"/>
      <c r="DB582" s="194"/>
      <c r="DC582" s="194"/>
      <c r="DD582" s="194"/>
      <c r="DE582" s="194"/>
      <c r="DF582" s="196"/>
      <c r="DG582" s="198"/>
      <c r="DH582" s="194"/>
      <c r="DI582" s="194"/>
    </row>
    <row r="583" spans="1:113" s="24" customFormat="1" hidden="1" x14ac:dyDescent="0.3">
      <c r="A583" s="172"/>
      <c r="B583" s="172"/>
      <c r="C583" s="172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  <c r="BT583" s="172"/>
      <c r="BU583" s="172"/>
      <c r="BV583" s="172"/>
      <c r="BW583" s="172"/>
      <c r="BX583" s="172"/>
      <c r="BY583" s="174"/>
      <c r="BZ583" s="172"/>
      <c r="CA583" s="172"/>
      <c r="CD583" s="194"/>
      <c r="CE583" s="194"/>
      <c r="CF583" s="194"/>
      <c r="CG583" s="194"/>
      <c r="CH583" s="195"/>
      <c r="CI583" s="194"/>
      <c r="CJ583" s="194"/>
      <c r="CK583" s="194"/>
      <c r="CL583" s="196"/>
      <c r="CM583" s="196"/>
      <c r="CN583" s="194"/>
      <c r="CO583" s="197"/>
      <c r="CP583" s="196"/>
      <c r="CQ583" s="196"/>
      <c r="CR583" s="196"/>
      <c r="CS583" s="196"/>
      <c r="CT583" s="196"/>
      <c r="CU583" s="196"/>
      <c r="CV583" s="194"/>
      <c r="CW583" s="194"/>
      <c r="CX583" s="194"/>
      <c r="CY583" s="194"/>
      <c r="CZ583" s="194"/>
      <c r="DA583" s="194"/>
      <c r="DB583" s="194"/>
      <c r="DC583" s="194"/>
      <c r="DD583" s="194"/>
      <c r="DE583" s="194"/>
      <c r="DF583" s="196"/>
      <c r="DG583" s="198"/>
      <c r="DH583" s="194"/>
      <c r="DI583" s="194"/>
    </row>
    <row r="584" spans="1:113" s="24" customFormat="1" hidden="1" x14ac:dyDescent="0.3">
      <c r="A584" s="172"/>
      <c r="B584" s="172"/>
      <c r="C584" s="172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  <c r="BT584" s="172"/>
      <c r="BU584" s="172"/>
      <c r="BV584" s="172"/>
      <c r="BW584" s="172"/>
      <c r="BX584" s="172"/>
      <c r="BY584" s="174"/>
      <c r="BZ584" s="172"/>
      <c r="CA584" s="172"/>
      <c r="CD584" s="194"/>
      <c r="CE584" s="194"/>
      <c r="CF584" s="194"/>
      <c r="CG584" s="194"/>
      <c r="CH584" s="195"/>
      <c r="CI584" s="194"/>
      <c r="CJ584" s="194"/>
      <c r="CK584" s="194"/>
      <c r="CL584" s="196"/>
      <c r="CM584" s="196"/>
      <c r="CN584" s="194"/>
      <c r="CO584" s="197"/>
      <c r="CP584" s="196"/>
      <c r="CQ584" s="196"/>
      <c r="CR584" s="196"/>
      <c r="CS584" s="196"/>
      <c r="CT584" s="196"/>
      <c r="CU584" s="196"/>
      <c r="CV584" s="194"/>
      <c r="CW584" s="194"/>
      <c r="CX584" s="194"/>
      <c r="CY584" s="194"/>
      <c r="CZ584" s="194"/>
      <c r="DA584" s="194"/>
      <c r="DB584" s="194"/>
      <c r="DC584" s="194"/>
      <c r="DD584" s="194"/>
      <c r="DE584" s="194"/>
      <c r="DF584" s="196"/>
      <c r="DG584" s="198"/>
      <c r="DH584" s="194"/>
      <c r="DI584" s="194"/>
    </row>
    <row r="585" spans="1:113" s="24" customFormat="1" hidden="1" x14ac:dyDescent="0.3">
      <c r="A585" s="172"/>
      <c r="B585" s="172"/>
      <c r="C585" s="172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  <c r="BT585" s="172"/>
      <c r="BU585" s="172"/>
      <c r="BV585" s="172"/>
      <c r="BW585" s="172"/>
      <c r="BX585" s="172"/>
      <c r="BY585" s="174"/>
      <c r="BZ585" s="172"/>
      <c r="CA585" s="172"/>
      <c r="CD585" s="194"/>
      <c r="CE585" s="194"/>
      <c r="CF585" s="194"/>
      <c r="CG585" s="194"/>
      <c r="CH585" s="195"/>
      <c r="CI585" s="194"/>
      <c r="CJ585" s="194"/>
      <c r="CK585" s="194"/>
      <c r="CL585" s="196"/>
      <c r="CM585" s="196"/>
      <c r="CN585" s="194"/>
      <c r="CO585" s="197"/>
      <c r="CP585" s="196"/>
      <c r="CQ585" s="196"/>
      <c r="CR585" s="196"/>
      <c r="CS585" s="196"/>
      <c r="CT585" s="196"/>
      <c r="CU585" s="196"/>
      <c r="CV585" s="194"/>
      <c r="CW585" s="194"/>
      <c r="CX585" s="194"/>
      <c r="CY585" s="194"/>
      <c r="CZ585" s="194"/>
      <c r="DA585" s="194"/>
      <c r="DB585" s="194"/>
      <c r="DC585" s="194"/>
      <c r="DD585" s="194"/>
      <c r="DE585" s="194"/>
      <c r="DF585" s="196"/>
      <c r="DG585" s="198"/>
      <c r="DH585" s="194"/>
      <c r="DI585" s="194"/>
    </row>
    <row r="586" spans="1:113" s="24" customFormat="1" hidden="1" x14ac:dyDescent="0.3">
      <c r="A586" s="172"/>
      <c r="B586" s="172"/>
      <c r="C586" s="172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172"/>
      <c r="BV586" s="172"/>
      <c r="BW586" s="172"/>
      <c r="BX586" s="172"/>
      <c r="BY586" s="174"/>
      <c r="BZ586" s="172"/>
      <c r="CA586" s="172"/>
      <c r="CD586" s="194"/>
      <c r="CE586" s="194"/>
      <c r="CF586" s="194"/>
      <c r="CG586" s="194"/>
      <c r="CH586" s="195"/>
      <c r="CI586" s="194"/>
      <c r="CJ586" s="194"/>
      <c r="CK586" s="194"/>
      <c r="CL586" s="196"/>
      <c r="CM586" s="196"/>
      <c r="CN586" s="194"/>
      <c r="CO586" s="197"/>
      <c r="CP586" s="196"/>
      <c r="CQ586" s="196"/>
      <c r="CR586" s="196"/>
      <c r="CS586" s="196"/>
      <c r="CT586" s="196"/>
      <c r="CU586" s="196"/>
      <c r="CV586" s="194"/>
      <c r="CW586" s="194"/>
      <c r="CX586" s="194"/>
      <c r="CY586" s="194"/>
      <c r="CZ586" s="194"/>
      <c r="DA586" s="194"/>
      <c r="DB586" s="194"/>
      <c r="DC586" s="194"/>
      <c r="DD586" s="194"/>
      <c r="DE586" s="194"/>
      <c r="DF586" s="196"/>
      <c r="DG586" s="198"/>
      <c r="DH586" s="194"/>
      <c r="DI586" s="194"/>
    </row>
    <row r="587" spans="1:113" s="24" customFormat="1" hidden="1" x14ac:dyDescent="0.3">
      <c r="A587" s="172"/>
      <c r="B587" s="172"/>
      <c r="C587" s="172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  <c r="BT587" s="172"/>
      <c r="BU587" s="172"/>
      <c r="BV587" s="172"/>
      <c r="BW587" s="172"/>
      <c r="BX587" s="172"/>
      <c r="BY587" s="174"/>
      <c r="BZ587" s="172"/>
      <c r="CA587" s="172"/>
      <c r="CD587" s="194"/>
      <c r="CE587" s="194"/>
      <c r="CF587" s="194"/>
      <c r="CG587" s="194"/>
      <c r="CH587" s="195"/>
      <c r="CI587" s="194"/>
      <c r="CJ587" s="194"/>
      <c r="CK587" s="194"/>
      <c r="CL587" s="196"/>
      <c r="CM587" s="196"/>
      <c r="CN587" s="194"/>
      <c r="CO587" s="197"/>
      <c r="CP587" s="196"/>
      <c r="CQ587" s="196"/>
      <c r="CR587" s="196"/>
      <c r="CS587" s="196"/>
      <c r="CT587" s="196"/>
      <c r="CU587" s="196"/>
      <c r="CV587" s="194"/>
      <c r="CW587" s="194"/>
      <c r="CX587" s="194"/>
      <c r="CY587" s="194"/>
      <c r="CZ587" s="194"/>
      <c r="DA587" s="194"/>
      <c r="DB587" s="194"/>
      <c r="DC587" s="194"/>
      <c r="DD587" s="194"/>
      <c r="DE587" s="194"/>
      <c r="DF587" s="196"/>
      <c r="DG587" s="198"/>
      <c r="DH587" s="194"/>
      <c r="DI587" s="194"/>
    </row>
    <row r="588" spans="1:113" s="24" customFormat="1" hidden="1" x14ac:dyDescent="0.3">
      <c r="A588" s="172"/>
      <c r="B588" s="172"/>
      <c r="C588" s="172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  <c r="BT588" s="172"/>
      <c r="BU588" s="172"/>
      <c r="BV588" s="172"/>
      <c r="BW588" s="172"/>
      <c r="BX588" s="172"/>
      <c r="BY588" s="174"/>
      <c r="BZ588" s="172"/>
      <c r="CA588" s="172"/>
      <c r="CD588" s="194"/>
      <c r="CE588" s="194"/>
      <c r="CF588" s="194"/>
      <c r="CG588" s="194"/>
      <c r="CH588" s="195"/>
      <c r="CI588" s="194"/>
      <c r="CJ588" s="194"/>
      <c r="CK588" s="194"/>
      <c r="CL588" s="196"/>
      <c r="CM588" s="196"/>
      <c r="CN588" s="194"/>
      <c r="CO588" s="197"/>
      <c r="CP588" s="196"/>
      <c r="CQ588" s="196"/>
      <c r="CR588" s="196"/>
      <c r="CS588" s="196"/>
      <c r="CT588" s="196"/>
      <c r="CU588" s="196"/>
      <c r="CV588" s="194"/>
      <c r="CW588" s="194"/>
      <c r="CX588" s="194"/>
      <c r="CY588" s="194"/>
      <c r="CZ588" s="194"/>
      <c r="DA588" s="194"/>
      <c r="DB588" s="194"/>
      <c r="DC588" s="194"/>
      <c r="DD588" s="194"/>
      <c r="DE588" s="194"/>
      <c r="DF588" s="196"/>
      <c r="DG588" s="198"/>
      <c r="DH588" s="194"/>
      <c r="DI588" s="194"/>
    </row>
    <row r="589" spans="1:113" s="24" customFormat="1" hidden="1" x14ac:dyDescent="0.3">
      <c r="A589" s="172"/>
      <c r="B589" s="172"/>
      <c r="C589" s="172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  <c r="BT589" s="172"/>
      <c r="BU589" s="172"/>
      <c r="BV589" s="172"/>
      <c r="BW589" s="172"/>
      <c r="BX589" s="172"/>
      <c r="BY589" s="174"/>
      <c r="BZ589" s="172"/>
      <c r="CA589" s="172"/>
      <c r="CD589" s="194"/>
      <c r="CE589" s="194"/>
      <c r="CF589" s="194"/>
      <c r="CG589" s="194"/>
      <c r="CH589" s="195"/>
      <c r="CI589" s="194"/>
      <c r="CJ589" s="194"/>
      <c r="CK589" s="194"/>
      <c r="CL589" s="196"/>
      <c r="CM589" s="196"/>
      <c r="CN589" s="194"/>
      <c r="CO589" s="197"/>
      <c r="CP589" s="196"/>
      <c r="CQ589" s="196"/>
      <c r="CR589" s="196"/>
      <c r="CS589" s="196"/>
      <c r="CT589" s="196"/>
      <c r="CU589" s="196"/>
      <c r="CV589" s="194"/>
      <c r="CW589" s="194"/>
      <c r="CX589" s="194"/>
      <c r="CY589" s="194"/>
      <c r="CZ589" s="194"/>
      <c r="DA589" s="194"/>
      <c r="DB589" s="194"/>
      <c r="DC589" s="194"/>
      <c r="DD589" s="194"/>
      <c r="DE589" s="194"/>
      <c r="DF589" s="196"/>
      <c r="DG589" s="198"/>
      <c r="DH589" s="194"/>
      <c r="DI589" s="194"/>
    </row>
    <row r="590" spans="1:113" s="24" customFormat="1" hidden="1" x14ac:dyDescent="0.3">
      <c r="A590" s="172"/>
      <c r="B590" s="172"/>
      <c r="C590" s="172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  <c r="BT590" s="172"/>
      <c r="BU590" s="172"/>
      <c r="BV590" s="172"/>
      <c r="BW590" s="172"/>
      <c r="BX590" s="172"/>
      <c r="BY590" s="174"/>
      <c r="BZ590" s="172"/>
      <c r="CA590" s="172"/>
      <c r="CD590" s="194"/>
      <c r="CE590" s="194"/>
      <c r="CF590" s="194"/>
      <c r="CG590" s="194"/>
      <c r="CH590" s="195"/>
      <c r="CI590" s="194"/>
      <c r="CJ590" s="194"/>
      <c r="CK590" s="194"/>
      <c r="CL590" s="196"/>
      <c r="CM590" s="196"/>
      <c r="CN590" s="194"/>
      <c r="CO590" s="197"/>
      <c r="CP590" s="196"/>
      <c r="CQ590" s="196"/>
      <c r="CR590" s="196"/>
      <c r="CS590" s="196"/>
      <c r="CT590" s="196"/>
      <c r="CU590" s="196"/>
      <c r="CV590" s="194"/>
      <c r="CW590" s="194"/>
      <c r="CX590" s="194"/>
      <c r="CY590" s="194"/>
      <c r="CZ590" s="194"/>
      <c r="DA590" s="194"/>
      <c r="DB590" s="194"/>
      <c r="DC590" s="194"/>
      <c r="DD590" s="194"/>
      <c r="DE590" s="194"/>
      <c r="DF590" s="196"/>
      <c r="DG590" s="198"/>
      <c r="DH590" s="194"/>
      <c r="DI590" s="194"/>
    </row>
    <row r="591" spans="1:113" s="24" customFormat="1" hidden="1" x14ac:dyDescent="0.3">
      <c r="A591" s="172"/>
      <c r="B591" s="172"/>
      <c r="C591" s="172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  <c r="BT591" s="172"/>
      <c r="BU591" s="172"/>
      <c r="BV591" s="172"/>
      <c r="BW591" s="172"/>
      <c r="BX591" s="172"/>
      <c r="BY591" s="174"/>
      <c r="BZ591" s="172"/>
      <c r="CA591" s="172"/>
      <c r="CD591" s="194"/>
      <c r="CE591" s="194"/>
      <c r="CF591" s="194"/>
      <c r="CG591" s="194"/>
      <c r="CH591" s="195"/>
      <c r="CI591" s="194"/>
      <c r="CJ591" s="194"/>
      <c r="CK591" s="194"/>
      <c r="CL591" s="196"/>
      <c r="CM591" s="196"/>
      <c r="CN591" s="194"/>
      <c r="CO591" s="197"/>
      <c r="CP591" s="196"/>
      <c r="CQ591" s="196"/>
      <c r="CR591" s="196"/>
      <c r="CS591" s="196"/>
      <c r="CT591" s="196"/>
      <c r="CU591" s="196"/>
      <c r="CV591" s="194"/>
      <c r="CW591" s="194"/>
      <c r="CX591" s="194"/>
      <c r="CY591" s="194"/>
      <c r="CZ591" s="194"/>
      <c r="DA591" s="194"/>
      <c r="DB591" s="194"/>
      <c r="DC591" s="194"/>
      <c r="DD591" s="194"/>
      <c r="DE591" s="194"/>
      <c r="DF591" s="196"/>
      <c r="DG591" s="198"/>
      <c r="DH591" s="194"/>
      <c r="DI591" s="194"/>
    </row>
    <row r="592" spans="1:113" s="24" customFormat="1" hidden="1" x14ac:dyDescent="0.3">
      <c r="A592" s="172"/>
      <c r="B592" s="172"/>
      <c r="C592" s="172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  <c r="BT592" s="172"/>
      <c r="BU592" s="172"/>
      <c r="BV592" s="172"/>
      <c r="BW592" s="172"/>
      <c r="BX592" s="172"/>
      <c r="BY592" s="174"/>
      <c r="BZ592" s="172"/>
      <c r="CA592" s="172"/>
      <c r="CD592" s="194"/>
      <c r="CE592" s="194"/>
      <c r="CF592" s="194"/>
      <c r="CG592" s="194"/>
      <c r="CH592" s="195"/>
      <c r="CI592" s="194"/>
      <c r="CJ592" s="194"/>
      <c r="CK592" s="194"/>
      <c r="CL592" s="196"/>
      <c r="CM592" s="196"/>
      <c r="CN592" s="194"/>
      <c r="CO592" s="197"/>
      <c r="CP592" s="196"/>
      <c r="CQ592" s="196"/>
      <c r="CR592" s="196"/>
      <c r="CS592" s="196"/>
      <c r="CT592" s="196"/>
      <c r="CU592" s="196"/>
      <c r="CV592" s="194"/>
      <c r="CW592" s="194"/>
      <c r="CX592" s="194"/>
      <c r="CY592" s="194"/>
      <c r="CZ592" s="194"/>
      <c r="DA592" s="194"/>
      <c r="DB592" s="194"/>
      <c r="DC592" s="194"/>
      <c r="DD592" s="194"/>
      <c r="DE592" s="194"/>
      <c r="DF592" s="196"/>
      <c r="DG592" s="198"/>
      <c r="DH592" s="194"/>
      <c r="DI592" s="194"/>
    </row>
    <row r="593" spans="1:113" s="24" customFormat="1" hidden="1" x14ac:dyDescent="0.3">
      <c r="A593" s="172"/>
      <c r="B593" s="172"/>
      <c r="C593" s="172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  <c r="BT593" s="172"/>
      <c r="BU593" s="172"/>
      <c r="BV593" s="172"/>
      <c r="BW593" s="172"/>
      <c r="BX593" s="172"/>
      <c r="BY593" s="174"/>
      <c r="BZ593" s="172"/>
      <c r="CA593" s="172"/>
      <c r="CD593" s="194"/>
      <c r="CE593" s="194"/>
      <c r="CF593" s="194"/>
      <c r="CG593" s="194"/>
      <c r="CH593" s="195"/>
      <c r="CI593" s="194"/>
      <c r="CJ593" s="194"/>
      <c r="CK593" s="194"/>
      <c r="CL593" s="196"/>
      <c r="CM593" s="196"/>
      <c r="CN593" s="194"/>
      <c r="CO593" s="197"/>
      <c r="CP593" s="196"/>
      <c r="CQ593" s="196"/>
      <c r="CR593" s="196"/>
      <c r="CS593" s="196"/>
      <c r="CT593" s="196"/>
      <c r="CU593" s="196"/>
      <c r="CV593" s="194"/>
      <c r="CW593" s="194"/>
      <c r="CX593" s="194"/>
      <c r="CY593" s="194"/>
      <c r="CZ593" s="194"/>
      <c r="DA593" s="194"/>
      <c r="DB593" s="194"/>
      <c r="DC593" s="194"/>
      <c r="DD593" s="194"/>
      <c r="DE593" s="194"/>
      <c r="DF593" s="196"/>
      <c r="DG593" s="198"/>
      <c r="DH593" s="194"/>
      <c r="DI593" s="194"/>
    </row>
    <row r="594" spans="1:113" s="24" customFormat="1" hidden="1" x14ac:dyDescent="0.3">
      <c r="A594" s="172"/>
      <c r="B594" s="172"/>
      <c r="C594" s="172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  <c r="BT594" s="172"/>
      <c r="BU594" s="172"/>
      <c r="BV594" s="172"/>
      <c r="BW594" s="172"/>
      <c r="BX594" s="172"/>
      <c r="BY594" s="174"/>
      <c r="BZ594" s="172"/>
      <c r="CA594" s="172"/>
      <c r="CD594" s="194"/>
      <c r="CE594" s="194"/>
      <c r="CF594" s="194"/>
      <c r="CG594" s="194"/>
      <c r="CH594" s="195"/>
      <c r="CI594" s="194"/>
      <c r="CJ594" s="194"/>
      <c r="CK594" s="194"/>
      <c r="CL594" s="196"/>
      <c r="CM594" s="196"/>
      <c r="CN594" s="194"/>
      <c r="CO594" s="197"/>
      <c r="CP594" s="196"/>
      <c r="CQ594" s="196"/>
      <c r="CR594" s="196"/>
      <c r="CS594" s="196"/>
      <c r="CT594" s="196"/>
      <c r="CU594" s="196"/>
      <c r="CV594" s="194"/>
      <c r="CW594" s="194"/>
      <c r="CX594" s="194"/>
      <c r="CY594" s="194"/>
      <c r="CZ594" s="194"/>
      <c r="DA594" s="194"/>
      <c r="DB594" s="194"/>
      <c r="DC594" s="194"/>
      <c r="DD594" s="194"/>
      <c r="DE594" s="194"/>
      <c r="DF594" s="196"/>
      <c r="DG594" s="198"/>
      <c r="DH594" s="194"/>
      <c r="DI594" s="194"/>
    </row>
    <row r="595" spans="1:113" s="24" customFormat="1" hidden="1" x14ac:dyDescent="0.3">
      <c r="A595" s="172"/>
      <c r="B595" s="172"/>
      <c r="C595" s="172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  <c r="BT595" s="172"/>
      <c r="BU595" s="172"/>
      <c r="BV595" s="172"/>
      <c r="BW595" s="172"/>
      <c r="BX595" s="172"/>
      <c r="BY595" s="174"/>
      <c r="BZ595" s="172"/>
      <c r="CA595" s="172"/>
      <c r="CD595" s="194"/>
      <c r="CE595" s="194"/>
      <c r="CF595" s="194"/>
      <c r="CG595" s="194"/>
      <c r="CH595" s="195"/>
      <c r="CI595" s="194"/>
      <c r="CJ595" s="194"/>
      <c r="CK595" s="194"/>
      <c r="CL595" s="196"/>
      <c r="CM595" s="196"/>
      <c r="CN595" s="194"/>
      <c r="CO595" s="197"/>
      <c r="CP595" s="196"/>
      <c r="CQ595" s="196"/>
      <c r="CR595" s="196"/>
      <c r="CS595" s="196"/>
      <c r="CT595" s="196"/>
      <c r="CU595" s="196"/>
      <c r="CV595" s="194"/>
      <c r="CW595" s="194"/>
      <c r="CX595" s="194"/>
      <c r="CY595" s="194"/>
      <c r="CZ595" s="194"/>
      <c r="DA595" s="194"/>
      <c r="DB595" s="194"/>
      <c r="DC595" s="194"/>
      <c r="DD595" s="194"/>
      <c r="DE595" s="194"/>
      <c r="DF595" s="196"/>
      <c r="DG595" s="198"/>
      <c r="DH595" s="194"/>
      <c r="DI595" s="194"/>
    </row>
    <row r="596" spans="1:113" s="24" customFormat="1" hidden="1" x14ac:dyDescent="0.3">
      <c r="A596" s="172"/>
      <c r="B596" s="172"/>
      <c r="C596" s="172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  <c r="BT596" s="172"/>
      <c r="BU596" s="172"/>
      <c r="BV596" s="172"/>
      <c r="BW596" s="172"/>
      <c r="BX596" s="172"/>
      <c r="BY596" s="174"/>
      <c r="BZ596" s="172"/>
      <c r="CA596" s="172"/>
      <c r="CD596" s="194"/>
      <c r="CE596" s="194"/>
      <c r="CF596" s="194"/>
      <c r="CG596" s="194"/>
      <c r="CH596" s="195"/>
      <c r="CI596" s="194"/>
      <c r="CJ596" s="194"/>
      <c r="CK596" s="194"/>
      <c r="CL596" s="196"/>
      <c r="CM596" s="196"/>
      <c r="CN596" s="194"/>
      <c r="CO596" s="197"/>
      <c r="CP596" s="196"/>
      <c r="CQ596" s="196"/>
      <c r="CR596" s="196"/>
      <c r="CS596" s="196"/>
      <c r="CT596" s="196"/>
      <c r="CU596" s="196"/>
      <c r="CV596" s="194"/>
      <c r="CW596" s="194"/>
      <c r="CX596" s="194"/>
      <c r="CY596" s="194"/>
      <c r="CZ596" s="194"/>
      <c r="DA596" s="194"/>
      <c r="DB596" s="194"/>
      <c r="DC596" s="194"/>
      <c r="DD596" s="194"/>
      <c r="DE596" s="194"/>
      <c r="DF596" s="196"/>
      <c r="DG596" s="198"/>
      <c r="DH596" s="194"/>
      <c r="DI596" s="194"/>
    </row>
    <row r="597" spans="1:113" s="24" customFormat="1" hidden="1" x14ac:dyDescent="0.3">
      <c r="A597" s="172"/>
      <c r="B597" s="172"/>
      <c r="C597" s="172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  <c r="BT597" s="172"/>
      <c r="BU597" s="172"/>
      <c r="BV597" s="172"/>
      <c r="BW597" s="172"/>
      <c r="BX597" s="172"/>
      <c r="BY597" s="174"/>
      <c r="BZ597" s="172"/>
      <c r="CA597" s="172"/>
      <c r="CD597" s="194"/>
      <c r="CE597" s="194"/>
      <c r="CF597" s="194"/>
      <c r="CG597" s="194"/>
      <c r="CH597" s="195"/>
      <c r="CI597" s="194"/>
      <c r="CJ597" s="194"/>
      <c r="CK597" s="194"/>
      <c r="CL597" s="196"/>
      <c r="CM597" s="196"/>
      <c r="CN597" s="194"/>
      <c r="CO597" s="197"/>
      <c r="CP597" s="196"/>
      <c r="CQ597" s="196"/>
      <c r="CR597" s="196"/>
      <c r="CS597" s="196"/>
      <c r="CT597" s="196"/>
      <c r="CU597" s="196"/>
      <c r="CV597" s="194"/>
      <c r="CW597" s="194"/>
      <c r="CX597" s="194"/>
      <c r="CY597" s="194"/>
      <c r="CZ597" s="194"/>
      <c r="DA597" s="194"/>
      <c r="DB597" s="194"/>
      <c r="DC597" s="194"/>
      <c r="DD597" s="194"/>
      <c r="DE597" s="194"/>
      <c r="DF597" s="196"/>
      <c r="DG597" s="198"/>
      <c r="DH597" s="194"/>
      <c r="DI597" s="194"/>
    </row>
    <row r="598" spans="1:113" s="24" customFormat="1" hidden="1" x14ac:dyDescent="0.3">
      <c r="A598" s="172"/>
      <c r="B598" s="172"/>
      <c r="C598" s="172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  <c r="BT598" s="172"/>
      <c r="BU598" s="172"/>
      <c r="BV598" s="172"/>
      <c r="BW598" s="172"/>
      <c r="BX598" s="172"/>
      <c r="BY598" s="174"/>
      <c r="BZ598" s="172"/>
      <c r="CA598" s="172"/>
      <c r="CD598" s="194"/>
      <c r="CE598" s="194"/>
      <c r="CF598" s="194"/>
      <c r="CG598" s="194"/>
      <c r="CH598" s="195"/>
      <c r="CI598" s="194"/>
      <c r="CJ598" s="194"/>
      <c r="CK598" s="194"/>
      <c r="CL598" s="196"/>
      <c r="CM598" s="196"/>
      <c r="CN598" s="194"/>
      <c r="CO598" s="197"/>
      <c r="CP598" s="196"/>
      <c r="CQ598" s="196"/>
      <c r="CR598" s="196"/>
      <c r="CS598" s="196"/>
      <c r="CT598" s="196"/>
      <c r="CU598" s="196"/>
      <c r="CV598" s="194"/>
      <c r="CW598" s="194"/>
      <c r="CX598" s="194"/>
      <c r="CY598" s="194"/>
      <c r="CZ598" s="194"/>
      <c r="DA598" s="194"/>
      <c r="DB598" s="194"/>
      <c r="DC598" s="194"/>
      <c r="DD598" s="194"/>
      <c r="DE598" s="194"/>
      <c r="DF598" s="196"/>
      <c r="DG598" s="198"/>
      <c r="DH598" s="194"/>
      <c r="DI598" s="194"/>
    </row>
    <row r="599" spans="1:113" s="24" customFormat="1" hidden="1" x14ac:dyDescent="0.3">
      <c r="A599" s="172"/>
      <c r="B599" s="172"/>
      <c r="C599" s="172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  <c r="BT599" s="172"/>
      <c r="BU599" s="172"/>
      <c r="BV599" s="172"/>
      <c r="BW599" s="172"/>
      <c r="BX599" s="172"/>
      <c r="BY599" s="174"/>
      <c r="BZ599" s="172"/>
      <c r="CA599" s="172"/>
      <c r="CD599" s="194"/>
      <c r="CE599" s="194"/>
      <c r="CF599" s="194"/>
      <c r="CG599" s="194"/>
      <c r="CH599" s="195"/>
      <c r="CI599" s="194"/>
      <c r="CJ599" s="194"/>
      <c r="CK599" s="194"/>
      <c r="CL599" s="196"/>
      <c r="CM599" s="196"/>
      <c r="CN599" s="194"/>
      <c r="CO599" s="197"/>
      <c r="CP599" s="196"/>
      <c r="CQ599" s="196"/>
      <c r="CR599" s="196"/>
      <c r="CS599" s="196"/>
      <c r="CT599" s="196"/>
      <c r="CU599" s="196"/>
      <c r="CV599" s="194"/>
      <c r="CW599" s="194"/>
      <c r="CX599" s="194"/>
      <c r="CY599" s="194"/>
      <c r="CZ599" s="194"/>
      <c r="DA599" s="194"/>
      <c r="DB599" s="194"/>
      <c r="DC599" s="194"/>
      <c r="DD599" s="194"/>
      <c r="DE599" s="194"/>
      <c r="DF599" s="196"/>
      <c r="DG599" s="198"/>
      <c r="DH599" s="194"/>
      <c r="DI599" s="194"/>
    </row>
    <row r="600" spans="1:113" s="24" customFormat="1" hidden="1" x14ac:dyDescent="0.3">
      <c r="A600" s="172"/>
      <c r="B600" s="172"/>
      <c r="C600" s="172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  <c r="BT600" s="172"/>
      <c r="BU600" s="172"/>
      <c r="BV600" s="172"/>
      <c r="BW600" s="172"/>
      <c r="BX600" s="172"/>
      <c r="BY600" s="174"/>
      <c r="BZ600" s="172"/>
      <c r="CA600" s="172"/>
      <c r="CD600" s="194"/>
      <c r="CE600" s="194"/>
      <c r="CF600" s="194"/>
      <c r="CG600" s="194"/>
      <c r="CH600" s="195"/>
      <c r="CI600" s="194"/>
      <c r="CJ600" s="194"/>
      <c r="CK600" s="194"/>
      <c r="CL600" s="196"/>
      <c r="CM600" s="196"/>
      <c r="CN600" s="194"/>
      <c r="CO600" s="197"/>
      <c r="CP600" s="196"/>
      <c r="CQ600" s="196"/>
      <c r="CR600" s="196"/>
      <c r="CS600" s="196"/>
      <c r="CT600" s="196"/>
      <c r="CU600" s="196"/>
      <c r="CV600" s="194"/>
      <c r="CW600" s="194"/>
      <c r="CX600" s="194"/>
      <c r="CY600" s="194"/>
      <c r="CZ600" s="194"/>
      <c r="DA600" s="194"/>
      <c r="DB600" s="194"/>
      <c r="DC600" s="194"/>
      <c r="DD600" s="194"/>
      <c r="DE600" s="194"/>
      <c r="DF600" s="196"/>
      <c r="DG600" s="198"/>
      <c r="DH600" s="194"/>
      <c r="DI600" s="194"/>
    </row>
    <row r="601" spans="1:113" s="24" customFormat="1" hidden="1" x14ac:dyDescent="0.3">
      <c r="A601" s="172"/>
      <c r="B601" s="172"/>
      <c r="C601" s="172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  <c r="BT601" s="172"/>
      <c r="BU601" s="172"/>
      <c r="BV601" s="172"/>
      <c r="BW601" s="172"/>
      <c r="BX601" s="172"/>
      <c r="BY601" s="174"/>
      <c r="BZ601" s="172"/>
      <c r="CA601" s="172"/>
      <c r="CD601" s="194"/>
      <c r="CE601" s="194"/>
      <c r="CF601" s="194"/>
      <c r="CG601" s="194"/>
      <c r="CH601" s="195"/>
      <c r="CI601" s="194"/>
      <c r="CJ601" s="194"/>
      <c r="CK601" s="194"/>
      <c r="CL601" s="196"/>
      <c r="CM601" s="196"/>
      <c r="CN601" s="194"/>
      <c r="CO601" s="197"/>
      <c r="CP601" s="196"/>
      <c r="CQ601" s="196"/>
      <c r="CR601" s="196"/>
      <c r="CS601" s="196"/>
      <c r="CT601" s="196"/>
      <c r="CU601" s="196"/>
      <c r="CV601" s="194"/>
      <c r="CW601" s="194"/>
      <c r="CX601" s="194"/>
      <c r="CY601" s="194"/>
      <c r="CZ601" s="194"/>
      <c r="DA601" s="194"/>
      <c r="DB601" s="194"/>
      <c r="DC601" s="194"/>
      <c r="DD601" s="194"/>
      <c r="DE601" s="194"/>
      <c r="DF601" s="196"/>
      <c r="DG601" s="198"/>
      <c r="DH601" s="194"/>
      <c r="DI601" s="194"/>
    </row>
    <row r="602" spans="1:113" s="24" customFormat="1" hidden="1" x14ac:dyDescent="0.3">
      <c r="A602" s="172"/>
      <c r="B602" s="172"/>
      <c r="C602" s="172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  <c r="BT602" s="172"/>
      <c r="BU602" s="172"/>
      <c r="BV602" s="172"/>
      <c r="BW602" s="172"/>
      <c r="BX602" s="172"/>
      <c r="BY602" s="174"/>
      <c r="BZ602" s="172"/>
      <c r="CA602" s="172"/>
      <c r="CD602" s="194"/>
      <c r="CE602" s="194"/>
      <c r="CF602" s="194"/>
      <c r="CG602" s="194"/>
      <c r="CH602" s="195"/>
      <c r="CI602" s="194"/>
      <c r="CJ602" s="194"/>
      <c r="CK602" s="194"/>
      <c r="CL602" s="196"/>
      <c r="CM602" s="196"/>
      <c r="CN602" s="194"/>
      <c r="CO602" s="197"/>
      <c r="CP602" s="196"/>
      <c r="CQ602" s="196"/>
      <c r="CR602" s="196"/>
      <c r="CS602" s="196"/>
      <c r="CT602" s="196"/>
      <c r="CU602" s="196"/>
      <c r="CV602" s="194"/>
      <c r="CW602" s="194"/>
      <c r="CX602" s="194"/>
      <c r="CY602" s="194"/>
      <c r="CZ602" s="194"/>
      <c r="DA602" s="194"/>
      <c r="DB602" s="194"/>
      <c r="DC602" s="194"/>
      <c r="DD602" s="194"/>
      <c r="DE602" s="194"/>
      <c r="DF602" s="196"/>
      <c r="DG602" s="198"/>
      <c r="DH602" s="194"/>
      <c r="DI602" s="194"/>
    </row>
    <row r="603" spans="1:113" s="24" customFormat="1" hidden="1" x14ac:dyDescent="0.3">
      <c r="A603" s="172"/>
      <c r="B603" s="172"/>
      <c r="C603" s="172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  <c r="BT603" s="172"/>
      <c r="BU603" s="172"/>
      <c r="BV603" s="172"/>
      <c r="BW603" s="172"/>
      <c r="BX603" s="172"/>
      <c r="BY603" s="174"/>
      <c r="BZ603" s="172"/>
      <c r="CA603" s="172"/>
      <c r="CD603" s="194"/>
      <c r="CE603" s="194"/>
      <c r="CF603" s="194"/>
      <c r="CG603" s="194"/>
      <c r="CH603" s="195"/>
      <c r="CI603" s="194"/>
      <c r="CJ603" s="194"/>
      <c r="CK603" s="194"/>
      <c r="CL603" s="196"/>
      <c r="CM603" s="196"/>
      <c r="CN603" s="194"/>
      <c r="CO603" s="197"/>
      <c r="CP603" s="196"/>
      <c r="CQ603" s="196"/>
      <c r="CR603" s="196"/>
      <c r="CS603" s="196"/>
      <c r="CT603" s="196"/>
      <c r="CU603" s="196"/>
      <c r="CV603" s="194"/>
      <c r="CW603" s="194"/>
      <c r="CX603" s="194"/>
      <c r="CY603" s="194"/>
      <c r="CZ603" s="194"/>
      <c r="DA603" s="194"/>
      <c r="DB603" s="194"/>
      <c r="DC603" s="194"/>
      <c r="DD603" s="194"/>
      <c r="DE603" s="194"/>
      <c r="DF603" s="196"/>
      <c r="DG603" s="198"/>
      <c r="DH603" s="194"/>
      <c r="DI603" s="194"/>
    </row>
    <row r="604" spans="1:113" s="24" customFormat="1" hidden="1" x14ac:dyDescent="0.3">
      <c r="A604" s="172"/>
      <c r="B604" s="172"/>
      <c r="C604" s="172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  <c r="BT604" s="172"/>
      <c r="BU604" s="172"/>
      <c r="BV604" s="172"/>
      <c r="BW604" s="172"/>
      <c r="BX604" s="172"/>
      <c r="BY604" s="174"/>
      <c r="BZ604" s="172"/>
      <c r="CA604" s="172"/>
      <c r="CD604" s="194"/>
      <c r="CE604" s="194"/>
      <c r="CF604" s="194"/>
      <c r="CG604" s="194"/>
      <c r="CH604" s="195"/>
      <c r="CI604" s="194"/>
      <c r="CJ604" s="194"/>
      <c r="CK604" s="194"/>
      <c r="CL604" s="196"/>
      <c r="CM604" s="196"/>
      <c r="CN604" s="194"/>
      <c r="CO604" s="197"/>
      <c r="CP604" s="196"/>
      <c r="CQ604" s="196"/>
      <c r="CR604" s="196"/>
      <c r="CS604" s="196"/>
      <c r="CT604" s="196"/>
      <c r="CU604" s="196"/>
      <c r="CV604" s="194"/>
      <c r="CW604" s="194"/>
      <c r="CX604" s="194"/>
      <c r="CY604" s="194"/>
      <c r="CZ604" s="194"/>
      <c r="DA604" s="194"/>
      <c r="DB604" s="194"/>
      <c r="DC604" s="194"/>
      <c r="DD604" s="194"/>
      <c r="DE604" s="194"/>
      <c r="DF604" s="196"/>
      <c r="DG604" s="198"/>
      <c r="DH604" s="194"/>
      <c r="DI604" s="194"/>
    </row>
    <row r="605" spans="1:113" s="24" customFormat="1" hidden="1" x14ac:dyDescent="0.3">
      <c r="A605" s="172"/>
      <c r="B605" s="172"/>
      <c r="C605" s="172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  <c r="BT605" s="172"/>
      <c r="BU605" s="172"/>
      <c r="BV605" s="172"/>
      <c r="BW605" s="172"/>
      <c r="BX605" s="172"/>
      <c r="BY605" s="174"/>
      <c r="BZ605" s="172"/>
      <c r="CA605" s="172"/>
      <c r="CD605" s="194"/>
      <c r="CE605" s="194"/>
      <c r="CF605" s="194"/>
      <c r="CG605" s="194"/>
      <c r="CH605" s="195"/>
      <c r="CI605" s="194"/>
      <c r="CJ605" s="194"/>
      <c r="CK605" s="194"/>
      <c r="CL605" s="196"/>
      <c r="CM605" s="196"/>
      <c r="CN605" s="194"/>
      <c r="CO605" s="197"/>
      <c r="CP605" s="196"/>
      <c r="CQ605" s="196"/>
      <c r="CR605" s="196"/>
      <c r="CS605" s="196"/>
      <c r="CT605" s="196"/>
      <c r="CU605" s="196"/>
      <c r="CV605" s="194"/>
      <c r="CW605" s="194"/>
      <c r="CX605" s="194"/>
      <c r="CY605" s="194"/>
      <c r="CZ605" s="194"/>
      <c r="DA605" s="194"/>
      <c r="DB605" s="194"/>
      <c r="DC605" s="194"/>
      <c r="DD605" s="194"/>
      <c r="DE605" s="194"/>
      <c r="DF605" s="196"/>
      <c r="DG605" s="198"/>
      <c r="DH605" s="194"/>
      <c r="DI605" s="194"/>
    </row>
    <row r="606" spans="1:113" s="24" customFormat="1" hidden="1" x14ac:dyDescent="0.3">
      <c r="A606" s="172"/>
      <c r="B606" s="172"/>
      <c r="C606" s="172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  <c r="BT606" s="172"/>
      <c r="BU606" s="172"/>
      <c r="BV606" s="172"/>
      <c r="BW606" s="172"/>
      <c r="BX606" s="172"/>
      <c r="BY606" s="174"/>
      <c r="BZ606" s="172"/>
      <c r="CA606" s="172"/>
      <c r="CD606" s="194"/>
      <c r="CE606" s="194"/>
      <c r="CF606" s="194"/>
      <c r="CG606" s="194"/>
      <c r="CH606" s="195"/>
      <c r="CI606" s="194"/>
      <c r="CJ606" s="194"/>
      <c r="CK606" s="194"/>
      <c r="CL606" s="196"/>
      <c r="CM606" s="196"/>
      <c r="CN606" s="194"/>
      <c r="CO606" s="197"/>
      <c r="CP606" s="196"/>
      <c r="CQ606" s="196"/>
      <c r="CR606" s="196"/>
      <c r="CS606" s="196"/>
      <c r="CT606" s="196"/>
      <c r="CU606" s="196"/>
      <c r="CV606" s="194"/>
      <c r="CW606" s="194"/>
      <c r="CX606" s="194"/>
      <c r="CY606" s="194"/>
      <c r="CZ606" s="194"/>
      <c r="DA606" s="194"/>
      <c r="DB606" s="194"/>
      <c r="DC606" s="194"/>
      <c r="DD606" s="194"/>
      <c r="DE606" s="194"/>
      <c r="DF606" s="196"/>
      <c r="DG606" s="198"/>
      <c r="DH606" s="194"/>
      <c r="DI606" s="194"/>
    </row>
    <row r="607" spans="1:113" s="24" customFormat="1" hidden="1" x14ac:dyDescent="0.3">
      <c r="A607" s="172"/>
      <c r="B607" s="172"/>
      <c r="C607" s="172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172"/>
      <c r="BV607" s="172"/>
      <c r="BW607" s="172"/>
      <c r="BX607" s="172"/>
      <c r="BY607" s="174"/>
      <c r="BZ607" s="172"/>
      <c r="CA607" s="172"/>
      <c r="CD607" s="194"/>
      <c r="CE607" s="194"/>
      <c r="CF607" s="194"/>
      <c r="CG607" s="194"/>
      <c r="CH607" s="195"/>
      <c r="CI607" s="194"/>
      <c r="CJ607" s="194"/>
      <c r="CK607" s="194"/>
      <c r="CL607" s="196"/>
      <c r="CM607" s="196"/>
      <c r="CN607" s="194"/>
      <c r="CO607" s="197"/>
      <c r="CP607" s="196"/>
      <c r="CQ607" s="196"/>
      <c r="CR607" s="196"/>
      <c r="CS607" s="196"/>
      <c r="CT607" s="196"/>
      <c r="CU607" s="196"/>
      <c r="CV607" s="194"/>
      <c r="CW607" s="194"/>
      <c r="CX607" s="194"/>
      <c r="CY607" s="194"/>
      <c r="CZ607" s="194"/>
      <c r="DA607" s="194"/>
      <c r="DB607" s="194"/>
      <c r="DC607" s="194"/>
      <c r="DD607" s="194"/>
      <c r="DE607" s="194"/>
      <c r="DF607" s="196"/>
      <c r="DG607" s="198"/>
      <c r="DH607" s="194"/>
      <c r="DI607" s="194"/>
    </row>
    <row r="608" spans="1:113" s="24" customFormat="1" hidden="1" x14ac:dyDescent="0.3">
      <c r="A608" s="172"/>
      <c r="B608" s="172"/>
      <c r="C608" s="172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  <c r="BT608" s="172"/>
      <c r="BU608" s="172"/>
      <c r="BV608" s="172"/>
      <c r="BW608" s="172"/>
      <c r="BX608" s="172"/>
      <c r="BY608" s="174"/>
      <c r="BZ608" s="172"/>
      <c r="CA608" s="172"/>
      <c r="CD608" s="194"/>
      <c r="CE608" s="194"/>
      <c r="CF608" s="194"/>
      <c r="CG608" s="194"/>
      <c r="CH608" s="195"/>
      <c r="CI608" s="194"/>
      <c r="CJ608" s="194"/>
      <c r="CK608" s="194"/>
      <c r="CL608" s="196"/>
      <c r="CM608" s="196"/>
      <c r="CN608" s="194"/>
      <c r="CO608" s="197"/>
      <c r="CP608" s="196"/>
      <c r="CQ608" s="196"/>
      <c r="CR608" s="196"/>
      <c r="CS608" s="196"/>
      <c r="CT608" s="196"/>
      <c r="CU608" s="196"/>
      <c r="CV608" s="194"/>
      <c r="CW608" s="194"/>
      <c r="CX608" s="194"/>
      <c r="CY608" s="194"/>
      <c r="CZ608" s="194"/>
      <c r="DA608" s="194"/>
      <c r="DB608" s="194"/>
      <c r="DC608" s="194"/>
      <c r="DD608" s="194"/>
      <c r="DE608" s="194"/>
      <c r="DF608" s="196"/>
      <c r="DG608" s="198"/>
      <c r="DH608" s="194"/>
      <c r="DI608" s="194"/>
    </row>
    <row r="609" spans="1:113" s="24" customFormat="1" hidden="1" x14ac:dyDescent="0.3">
      <c r="A609" s="172"/>
      <c r="B609" s="172"/>
      <c r="C609" s="172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  <c r="BT609" s="172"/>
      <c r="BU609" s="172"/>
      <c r="BV609" s="172"/>
      <c r="BW609" s="172"/>
      <c r="BX609" s="172"/>
      <c r="BY609" s="174"/>
      <c r="BZ609" s="172"/>
      <c r="CA609" s="172"/>
      <c r="CD609" s="194"/>
      <c r="CE609" s="194"/>
      <c r="CF609" s="194"/>
      <c r="CG609" s="194"/>
      <c r="CH609" s="195"/>
      <c r="CI609" s="194"/>
      <c r="CJ609" s="194"/>
      <c r="CK609" s="194"/>
      <c r="CL609" s="196"/>
      <c r="CM609" s="196"/>
      <c r="CN609" s="194"/>
      <c r="CO609" s="197"/>
      <c r="CP609" s="196"/>
      <c r="CQ609" s="196"/>
      <c r="CR609" s="196"/>
      <c r="CS609" s="196"/>
      <c r="CT609" s="196"/>
      <c r="CU609" s="196"/>
      <c r="CV609" s="194"/>
      <c r="CW609" s="194"/>
      <c r="CX609" s="194"/>
      <c r="CY609" s="194"/>
      <c r="CZ609" s="194"/>
      <c r="DA609" s="194"/>
      <c r="DB609" s="194"/>
      <c r="DC609" s="194"/>
      <c r="DD609" s="194"/>
      <c r="DE609" s="194"/>
      <c r="DF609" s="196"/>
      <c r="DG609" s="198"/>
      <c r="DH609" s="194"/>
      <c r="DI609" s="194"/>
    </row>
    <row r="610" spans="1:113" s="24" customFormat="1" hidden="1" x14ac:dyDescent="0.3">
      <c r="A610" s="172"/>
      <c r="B610" s="172"/>
      <c r="C610" s="172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  <c r="BT610" s="172"/>
      <c r="BU610" s="172"/>
      <c r="BV610" s="172"/>
      <c r="BW610" s="172"/>
      <c r="BX610" s="172"/>
      <c r="BY610" s="174"/>
      <c r="BZ610" s="172"/>
      <c r="CA610" s="172"/>
      <c r="CD610" s="194"/>
      <c r="CE610" s="194"/>
      <c r="CF610" s="194"/>
      <c r="CG610" s="194"/>
      <c r="CH610" s="195"/>
      <c r="CI610" s="194"/>
      <c r="CJ610" s="194"/>
      <c r="CK610" s="194"/>
      <c r="CL610" s="196"/>
      <c r="CM610" s="196"/>
      <c r="CN610" s="194"/>
      <c r="CO610" s="197"/>
      <c r="CP610" s="196"/>
      <c r="CQ610" s="196"/>
      <c r="CR610" s="196"/>
      <c r="CS610" s="196"/>
      <c r="CT610" s="196"/>
      <c r="CU610" s="196"/>
      <c r="CV610" s="194"/>
      <c r="CW610" s="194"/>
      <c r="CX610" s="194"/>
      <c r="CY610" s="194"/>
      <c r="CZ610" s="194"/>
      <c r="DA610" s="194"/>
      <c r="DB610" s="194"/>
      <c r="DC610" s="194"/>
      <c r="DD610" s="194"/>
      <c r="DE610" s="194"/>
      <c r="DF610" s="196"/>
      <c r="DG610" s="198"/>
      <c r="DH610" s="194"/>
      <c r="DI610" s="194"/>
    </row>
    <row r="611" spans="1:113" s="24" customFormat="1" hidden="1" x14ac:dyDescent="0.3">
      <c r="A611" s="172"/>
      <c r="B611" s="172"/>
      <c r="C611" s="172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  <c r="BT611" s="172"/>
      <c r="BU611" s="172"/>
      <c r="BV611" s="172"/>
      <c r="BW611" s="172"/>
      <c r="BX611" s="172"/>
      <c r="BY611" s="174"/>
      <c r="BZ611" s="172"/>
      <c r="CA611" s="172"/>
      <c r="CD611" s="194"/>
      <c r="CE611" s="194"/>
      <c r="CF611" s="194"/>
      <c r="CG611" s="194"/>
      <c r="CH611" s="195"/>
      <c r="CI611" s="194"/>
      <c r="CJ611" s="194"/>
      <c r="CK611" s="194"/>
      <c r="CL611" s="196"/>
      <c r="CM611" s="196"/>
      <c r="CN611" s="194"/>
      <c r="CO611" s="197"/>
      <c r="CP611" s="196"/>
      <c r="CQ611" s="196"/>
      <c r="CR611" s="196"/>
      <c r="CS611" s="196"/>
      <c r="CT611" s="196"/>
      <c r="CU611" s="196"/>
      <c r="CV611" s="194"/>
      <c r="CW611" s="194"/>
      <c r="CX611" s="194"/>
      <c r="CY611" s="194"/>
      <c r="CZ611" s="194"/>
      <c r="DA611" s="194"/>
      <c r="DB611" s="194"/>
      <c r="DC611" s="194"/>
      <c r="DD611" s="194"/>
      <c r="DE611" s="194"/>
      <c r="DF611" s="196"/>
      <c r="DG611" s="198"/>
      <c r="DH611" s="194"/>
      <c r="DI611" s="194"/>
    </row>
    <row r="612" spans="1:113" s="24" customFormat="1" hidden="1" x14ac:dyDescent="0.3">
      <c r="A612" s="172"/>
      <c r="B612" s="172"/>
      <c r="C612" s="172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2"/>
      <c r="AT612" s="172"/>
      <c r="AU612" s="172"/>
      <c r="AV612" s="172"/>
      <c r="AW612" s="172"/>
      <c r="AX612" s="172"/>
      <c r="AY612" s="172"/>
      <c r="AZ612" s="172"/>
      <c r="BA612" s="172"/>
      <c r="BB612" s="172"/>
      <c r="BC612" s="172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  <c r="BT612" s="172"/>
      <c r="BU612" s="172"/>
      <c r="BV612" s="172"/>
      <c r="BW612" s="172"/>
      <c r="BX612" s="172"/>
      <c r="BY612" s="174"/>
      <c r="BZ612" s="172"/>
      <c r="CA612" s="172"/>
      <c r="CD612" s="194"/>
      <c r="CE612" s="194"/>
      <c r="CF612" s="194"/>
      <c r="CG612" s="194"/>
      <c r="CH612" s="195"/>
      <c r="CI612" s="194"/>
      <c r="CJ612" s="194"/>
      <c r="CK612" s="194"/>
      <c r="CL612" s="196"/>
      <c r="CM612" s="196"/>
      <c r="CN612" s="194"/>
      <c r="CO612" s="197"/>
      <c r="CP612" s="196"/>
      <c r="CQ612" s="196"/>
      <c r="CR612" s="196"/>
      <c r="CS612" s="196"/>
      <c r="CT612" s="196"/>
      <c r="CU612" s="196"/>
      <c r="CV612" s="194"/>
      <c r="CW612" s="194"/>
      <c r="CX612" s="194"/>
      <c r="CY612" s="194"/>
      <c r="CZ612" s="194"/>
      <c r="DA612" s="194"/>
      <c r="DB612" s="194"/>
      <c r="DC612" s="194"/>
      <c r="DD612" s="194"/>
      <c r="DE612" s="194"/>
      <c r="DF612" s="196"/>
      <c r="DG612" s="198"/>
      <c r="DH612" s="194"/>
      <c r="DI612" s="194"/>
    </row>
    <row r="613" spans="1:113" s="24" customFormat="1" hidden="1" x14ac:dyDescent="0.3">
      <c r="A613" s="172"/>
      <c r="B613" s="172"/>
      <c r="C613" s="172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2"/>
      <c r="AT613" s="172"/>
      <c r="AU613" s="172"/>
      <c r="AV613" s="172"/>
      <c r="AW613" s="172"/>
      <c r="AX613" s="172"/>
      <c r="AY613" s="172"/>
      <c r="AZ613" s="172"/>
      <c r="BA613" s="172"/>
      <c r="BB613" s="172"/>
      <c r="BC613" s="172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  <c r="BT613" s="172"/>
      <c r="BU613" s="172"/>
      <c r="BV613" s="172"/>
      <c r="BW613" s="172"/>
      <c r="BX613" s="172"/>
      <c r="BY613" s="174"/>
      <c r="BZ613" s="172"/>
      <c r="CA613" s="172"/>
      <c r="CD613" s="194"/>
      <c r="CE613" s="194"/>
      <c r="CF613" s="194"/>
      <c r="CG613" s="194"/>
      <c r="CH613" s="195"/>
      <c r="CI613" s="194"/>
      <c r="CJ613" s="194"/>
      <c r="CK613" s="194"/>
      <c r="CL613" s="196"/>
      <c r="CM613" s="196"/>
      <c r="CN613" s="194"/>
      <c r="CO613" s="197"/>
      <c r="CP613" s="196"/>
      <c r="CQ613" s="196"/>
      <c r="CR613" s="196"/>
      <c r="CS613" s="196"/>
      <c r="CT613" s="196"/>
      <c r="CU613" s="196"/>
      <c r="CV613" s="194"/>
      <c r="CW613" s="194"/>
      <c r="CX613" s="194"/>
      <c r="CY613" s="194"/>
      <c r="CZ613" s="194"/>
      <c r="DA613" s="194"/>
      <c r="DB613" s="194"/>
      <c r="DC613" s="194"/>
      <c r="DD613" s="194"/>
      <c r="DE613" s="194"/>
      <c r="DF613" s="196"/>
      <c r="DG613" s="198"/>
      <c r="DH613" s="194"/>
      <c r="DI613" s="194"/>
    </row>
    <row r="614" spans="1:113" s="24" customFormat="1" hidden="1" x14ac:dyDescent="0.3">
      <c r="A614" s="172"/>
      <c r="B614" s="172"/>
      <c r="C614" s="172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2"/>
      <c r="AT614" s="172"/>
      <c r="AU614" s="172"/>
      <c r="AV614" s="172"/>
      <c r="AW614" s="172"/>
      <c r="AX614" s="172"/>
      <c r="AY614" s="172"/>
      <c r="AZ614" s="172"/>
      <c r="BA614" s="172"/>
      <c r="BB614" s="172"/>
      <c r="BC614" s="172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  <c r="BT614" s="172"/>
      <c r="BU614" s="172"/>
      <c r="BV614" s="172"/>
      <c r="BW614" s="172"/>
      <c r="BX614" s="172"/>
      <c r="BY614" s="174"/>
      <c r="BZ614" s="172"/>
      <c r="CA614" s="172"/>
      <c r="CD614" s="194"/>
      <c r="CE614" s="194"/>
      <c r="CF614" s="194"/>
      <c r="CG614" s="194"/>
      <c r="CH614" s="195"/>
      <c r="CI614" s="194"/>
      <c r="CJ614" s="194"/>
      <c r="CK614" s="194"/>
      <c r="CL614" s="196"/>
      <c r="CM614" s="196"/>
      <c r="CN614" s="194"/>
      <c r="CO614" s="197"/>
      <c r="CP614" s="196"/>
      <c r="CQ614" s="196"/>
      <c r="CR614" s="196"/>
      <c r="CS614" s="196"/>
      <c r="CT614" s="196"/>
      <c r="CU614" s="196"/>
      <c r="CV614" s="194"/>
      <c r="CW614" s="194"/>
      <c r="CX614" s="194"/>
      <c r="CY614" s="194"/>
      <c r="CZ614" s="194"/>
      <c r="DA614" s="194"/>
      <c r="DB614" s="194"/>
      <c r="DC614" s="194"/>
      <c r="DD614" s="194"/>
      <c r="DE614" s="194"/>
      <c r="DF614" s="196"/>
      <c r="DG614" s="198"/>
      <c r="DH614" s="194"/>
      <c r="DI614" s="194"/>
    </row>
    <row r="615" spans="1:113" s="24" customFormat="1" hidden="1" x14ac:dyDescent="0.3">
      <c r="A615" s="172"/>
      <c r="B615" s="172"/>
      <c r="C615" s="172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2"/>
      <c r="AT615" s="172"/>
      <c r="AU615" s="172"/>
      <c r="AV615" s="172"/>
      <c r="AW615" s="172"/>
      <c r="AX615" s="172"/>
      <c r="AY615" s="172"/>
      <c r="AZ615" s="172"/>
      <c r="BA615" s="172"/>
      <c r="BB615" s="172"/>
      <c r="BC615" s="172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  <c r="BT615" s="172"/>
      <c r="BU615" s="172"/>
      <c r="BV615" s="172"/>
      <c r="BW615" s="172"/>
      <c r="BX615" s="172"/>
      <c r="BY615" s="174"/>
      <c r="BZ615" s="172"/>
      <c r="CA615" s="172"/>
      <c r="CD615" s="194"/>
      <c r="CE615" s="194"/>
      <c r="CF615" s="194"/>
      <c r="CG615" s="194"/>
      <c r="CH615" s="195"/>
      <c r="CI615" s="194"/>
      <c r="CJ615" s="194"/>
      <c r="CK615" s="194"/>
      <c r="CL615" s="196"/>
      <c r="CM615" s="196"/>
      <c r="CN615" s="194"/>
      <c r="CO615" s="197"/>
      <c r="CP615" s="196"/>
      <c r="CQ615" s="196"/>
      <c r="CR615" s="196"/>
      <c r="CS615" s="196"/>
      <c r="CT615" s="196"/>
      <c r="CU615" s="196"/>
      <c r="CV615" s="194"/>
      <c r="CW615" s="194"/>
      <c r="CX615" s="194"/>
      <c r="CY615" s="194"/>
      <c r="CZ615" s="194"/>
      <c r="DA615" s="194"/>
      <c r="DB615" s="194"/>
      <c r="DC615" s="194"/>
      <c r="DD615" s="194"/>
      <c r="DE615" s="194"/>
      <c r="DF615" s="196"/>
      <c r="DG615" s="198"/>
      <c r="DH615" s="194"/>
      <c r="DI615" s="194"/>
    </row>
    <row r="616" spans="1:113" s="24" customFormat="1" hidden="1" x14ac:dyDescent="0.3">
      <c r="A616" s="172"/>
      <c r="B616" s="172"/>
      <c r="C616" s="172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2"/>
      <c r="AT616" s="172"/>
      <c r="AU616" s="172"/>
      <c r="AV616" s="172"/>
      <c r="AW616" s="172"/>
      <c r="AX616" s="172"/>
      <c r="AY616" s="172"/>
      <c r="AZ616" s="172"/>
      <c r="BA616" s="172"/>
      <c r="BB616" s="172"/>
      <c r="BC616" s="172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  <c r="BT616" s="172"/>
      <c r="BU616" s="172"/>
      <c r="BV616" s="172"/>
      <c r="BW616" s="172"/>
      <c r="BX616" s="172"/>
      <c r="BY616" s="174"/>
      <c r="BZ616" s="172"/>
      <c r="CA616" s="172"/>
      <c r="CD616" s="194"/>
      <c r="CE616" s="194"/>
      <c r="CF616" s="194"/>
      <c r="CG616" s="194"/>
      <c r="CH616" s="195"/>
      <c r="CI616" s="194"/>
      <c r="CJ616" s="194"/>
      <c r="CK616" s="194"/>
      <c r="CL616" s="196"/>
      <c r="CM616" s="196"/>
      <c r="CN616" s="194"/>
      <c r="CO616" s="197"/>
      <c r="CP616" s="196"/>
      <c r="CQ616" s="196"/>
      <c r="CR616" s="196"/>
      <c r="CS616" s="196"/>
      <c r="CT616" s="196"/>
      <c r="CU616" s="196"/>
      <c r="CV616" s="194"/>
      <c r="CW616" s="194"/>
      <c r="CX616" s="194"/>
      <c r="CY616" s="194"/>
      <c r="CZ616" s="194"/>
      <c r="DA616" s="194"/>
      <c r="DB616" s="194"/>
      <c r="DC616" s="194"/>
      <c r="DD616" s="194"/>
      <c r="DE616" s="194"/>
      <c r="DF616" s="196"/>
      <c r="DG616" s="198"/>
      <c r="DH616" s="194"/>
      <c r="DI616" s="194"/>
    </row>
    <row r="617" spans="1:113" s="24" customFormat="1" hidden="1" x14ac:dyDescent="0.3">
      <c r="A617" s="172"/>
      <c r="B617" s="172"/>
      <c r="C617" s="172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2"/>
      <c r="AT617" s="172"/>
      <c r="AU617" s="172"/>
      <c r="AV617" s="172"/>
      <c r="AW617" s="172"/>
      <c r="AX617" s="172"/>
      <c r="AY617" s="172"/>
      <c r="AZ617" s="172"/>
      <c r="BA617" s="172"/>
      <c r="BB617" s="172"/>
      <c r="BC617" s="172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  <c r="BT617" s="172"/>
      <c r="BU617" s="172"/>
      <c r="BV617" s="172"/>
      <c r="BW617" s="172"/>
      <c r="BX617" s="172"/>
      <c r="BY617" s="174"/>
      <c r="BZ617" s="172"/>
      <c r="CA617" s="172"/>
      <c r="CD617" s="194"/>
      <c r="CE617" s="194"/>
      <c r="CF617" s="194"/>
      <c r="CG617" s="194"/>
      <c r="CH617" s="195"/>
      <c r="CI617" s="194"/>
      <c r="CJ617" s="194"/>
      <c r="CK617" s="194"/>
      <c r="CL617" s="196"/>
      <c r="CM617" s="196"/>
      <c r="CN617" s="194"/>
      <c r="CO617" s="197"/>
      <c r="CP617" s="196"/>
      <c r="CQ617" s="196"/>
      <c r="CR617" s="196"/>
      <c r="CS617" s="196"/>
      <c r="CT617" s="196"/>
      <c r="CU617" s="196"/>
      <c r="CV617" s="194"/>
      <c r="CW617" s="194"/>
      <c r="CX617" s="194"/>
      <c r="CY617" s="194"/>
      <c r="CZ617" s="194"/>
      <c r="DA617" s="194"/>
      <c r="DB617" s="194"/>
      <c r="DC617" s="194"/>
      <c r="DD617" s="194"/>
      <c r="DE617" s="194"/>
      <c r="DF617" s="196"/>
      <c r="DG617" s="198"/>
      <c r="DH617" s="194"/>
      <c r="DI617" s="194"/>
    </row>
    <row r="618" spans="1:113" s="24" customFormat="1" hidden="1" x14ac:dyDescent="0.3">
      <c r="A618" s="172"/>
      <c r="B618" s="172"/>
      <c r="C618" s="172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2"/>
      <c r="AT618" s="172"/>
      <c r="AU618" s="172"/>
      <c r="AV618" s="172"/>
      <c r="AW618" s="172"/>
      <c r="AX618" s="172"/>
      <c r="AY618" s="172"/>
      <c r="AZ618" s="172"/>
      <c r="BA618" s="172"/>
      <c r="BB618" s="172"/>
      <c r="BC618" s="172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  <c r="BT618" s="172"/>
      <c r="BU618" s="172"/>
      <c r="BV618" s="172"/>
      <c r="BW618" s="172"/>
      <c r="BX618" s="172"/>
      <c r="BY618" s="174"/>
      <c r="BZ618" s="172"/>
      <c r="CA618" s="172"/>
      <c r="CD618" s="194"/>
      <c r="CE618" s="194"/>
      <c r="CF618" s="194"/>
      <c r="CG618" s="194"/>
      <c r="CH618" s="195"/>
      <c r="CI618" s="194"/>
      <c r="CJ618" s="194"/>
      <c r="CK618" s="194"/>
      <c r="CL618" s="196"/>
      <c r="CM618" s="196"/>
      <c r="CN618" s="194"/>
      <c r="CO618" s="197"/>
      <c r="CP618" s="196"/>
      <c r="CQ618" s="196"/>
      <c r="CR618" s="196"/>
      <c r="CS618" s="196"/>
      <c r="CT618" s="196"/>
      <c r="CU618" s="196"/>
      <c r="CV618" s="194"/>
      <c r="CW618" s="194"/>
      <c r="CX618" s="194"/>
      <c r="CY618" s="194"/>
      <c r="CZ618" s="194"/>
      <c r="DA618" s="194"/>
      <c r="DB618" s="194"/>
      <c r="DC618" s="194"/>
      <c r="DD618" s="194"/>
      <c r="DE618" s="194"/>
      <c r="DF618" s="196"/>
      <c r="DG618" s="198"/>
      <c r="DH618" s="194"/>
      <c r="DI618" s="194"/>
    </row>
    <row r="619" spans="1:113" s="24" customFormat="1" hidden="1" x14ac:dyDescent="0.3">
      <c r="A619" s="172"/>
      <c r="B619" s="172"/>
      <c r="C619" s="172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2"/>
      <c r="AT619" s="172"/>
      <c r="AU619" s="172"/>
      <c r="AV619" s="172"/>
      <c r="AW619" s="172"/>
      <c r="AX619" s="172"/>
      <c r="AY619" s="172"/>
      <c r="AZ619" s="172"/>
      <c r="BA619" s="172"/>
      <c r="BB619" s="172"/>
      <c r="BC619" s="172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  <c r="BT619" s="172"/>
      <c r="BU619" s="172"/>
      <c r="BV619" s="172"/>
      <c r="BW619" s="172"/>
      <c r="BX619" s="172"/>
      <c r="BY619" s="174"/>
      <c r="BZ619" s="172"/>
      <c r="CA619" s="172"/>
      <c r="CD619" s="194"/>
      <c r="CE619" s="194"/>
      <c r="CF619" s="194"/>
      <c r="CG619" s="194"/>
      <c r="CH619" s="195"/>
      <c r="CI619" s="194"/>
      <c r="CJ619" s="194"/>
      <c r="CK619" s="194"/>
      <c r="CL619" s="196"/>
      <c r="CM619" s="196"/>
      <c r="CN619" s="194"/>
      <c r="CO619" s="197"/>
      <c r="CP619" s="196"/>
      <c r="CQ619" s="196"/>
      <c r="CR619" s="196"/>
      <c r="CS619" s="196"/>
      <c r="CT619" s="196"/>
      <c r="CU619" s="196"/>
      <c r="CV619" s="194"/>
      <c r="CW619" s="194"/>
      <c r="CX619" s="194"/>
      <c r="CY619" s="194"/>
      <c r="CZ619" s="194"/>
      <c r="DA619" s="194"/>
      <c r="DB619" s="194"/>
      <c r="DC619" s="194"/>
      <c r="DD619" s="194"/>
      <c r="DE619" s="194"/>
      <c r="DF619" s="196"/>
      <c r="DG619" s="198"/>
      <c r="DH619" s="194"/>
      <c r="DI619" s="194"/>
    </row>
    <row r="620" spans="1:113" s="24" customFormat="1" hidden="1" x14ac:dyDescent="0.3">
      <c r="A620" s="172"/>
      <c r="B620" s="172"/>
      <c r="C620" s="172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2"/>
      <c r="AT620" s="172"/>
      <c r="AU620" s="172"/>
      <c r="AV620" s="172"/>
      <c r="AW620" s="172"/>
      <c r="AX620" s="172"/>
      <c r="AY620" s="172"/>
      <c r="AZ620" s="172"/>
      <c r="BA620" s="172"/>
      <c r="BB620" s="172"/>
      <c r="BC620" s="172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  <c r="BT620" s="172"/>
      <c r="BU620" s="172"/>
      <c r="BV620" s="172"/>
      <c r="BW620" s="172"/>
      <c r="BX620" s="172"/>
      <c r="BY620" s="174"/>
      <c r="BZ620" s="172"/>
      <c r="CA620" s="172"/>
      <c r="CD620" s="194"/>
      <c r="CE620" s="194"/>
      <c r="CF620" s="194"/>
      <c r="CG620" s="194"/>
      <c r="CH620" s="195"/>
      <c r="CI620" s="194"/>
      <c r="CJ620" s="194"/>
      <c r="CK620" s="194"/>
      <c r="CL620" s="196"/>
      <c r="CM620" s="196"/>
      <c r="CN620" s="194"/>
      <c r="CO620" s="197"/>
      <c r="CP620" s="196"/>
      <c r="CQ620" s="196"/>
      <c r="CR620" s="196"/>
      <c r="CS620" s="196"/>
      <c r="CT620" s="196"/>
      <c r="CU620" s="196"/>
      <c r="CV620" s="194"/>
      <c r="CW620" s="194"/>
      <c r="CX620" s="194"/>
      <c r="CY620" s="194"/>
      <c r="CZ620" s="194"/>
      <c r="DA620" s="194"/>
      <c r="DB620" s="194"/>
      <c r="DC620" s="194"/>
      <c r="DD620" s="194"/>
      <c r="DE620" s="194"/>
      <c r="DF620" s="196"/>
      <c r="DG620" s="198"/>
      <c r="DH620" s="194"/>
      <c r="DI620" s="194"/>
    </row>
    <row r="621" spans="1:113" s="24" customFormat="1" hidden="1" x14ac:dyDescent="0.3">
      <c r="A621" s="172"/>
      <c r="B621" s="172"/>
      <c r="C621" s="172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2"/>
      <c r="AT621" s="172"/>
      <c r="AU621" s="172"/>
      <c r="AV621" s="172"/>
      <c r="AW621" s="172"/>
      <c r="AX621" s="172"/>
      <c r="AY621" s="172"/>
      <c r="AZ621" s="172"/>
      <c r="BA621" s="172"/>
      <c r="BB621" s="172"/>
      <c r="BC621" s="172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  <c r="BT621" s="172"/>
      <c r="BU621" s="172"/>
      <c r="BV621" s="172"/>
      <c r="BW621" s="172"/>
      <c r="BX621" s="172"/>
      <c r="BY621" s="174"/>
      <c r="BZ621" s="172"/>
      <c r="CA621" s="172"/>
      <c r="CD621" s="194"/>
      <c r="CE621" s="194"/>
      <c r="CF621" s="194"/>
      <c r="CG621" s="194"/>
      <c r="CH621" s="195"/>
      <c r="CI621" s="194"/>
      <c r="CJ621" s="194"/>
      <c r="CK621" s="194"/>
      <c r="CL621" s="196"/>
      <c r="CM621" s="196"/>
      <c r="CN621" s="194"/>
      <c r="CO621" s="197"/>
      <c r="CP621" s="196"/>
      <c r="CQ621" s="196"/>
      <c r="CR621" s="196"/>
      <c r="CS621" s="196"/>
      <c r="CT621" s="196"/>
      <c r="CU621" s="196"/>
      <c r="CV621" s="194"/>
      <c r="CW621" s="194"/>
      <c r="CX621" s="194"/>
      <c r="CY621" s="194"/>
      <c r="CZ621" s="194"/>
      <c r="DA621" s="194"/>
      <c r="DB621" s="194"/>
      <c r="DC621" s="194"/>
      <c r="DD621" s="194"/>
      <c r="DE621" s="194"/>
      <c r="DF621" s="196"/>
      <c r="DG621" s="198"/>
      <c r="DH621" s="194"/>
      <c r="DI621" s="194"/>
    </row>
    <row r="622" spans="1:113" s="24" customFormat="1" hidden="1" x14ac:dyDescent="0.3">
      <c r="A622" s="172"/>
      <c r="B622" s="172"/>
      <c r="C622" s="172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2"/>
      <c r="AT622" s="172"/>
      <c r="AU622" s="172"/>
      <c r="AV622" s="172"/>
      <c r="AW622" s="172"/>
      <c r="AX622" s="172"/>
      <c r="AY622" s="172"/>
      <c r="AZ622" s="172"/>
      <c r="BA622" s="172"/>
      <c r="BB622" s="172"/>
      <c r="BC622" s="172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  <c r="BT622" s="172"/>
      <c r="BU622" s="172"/>
      <c r="BV622" s="172"/>
      <c r="BW622" s="172"/>
      <c r="BX622" s="172"/>
      <c r="BY622" s="174"/>
      <c r="BZ622" s="172"/>
      <c r="CA622" s="172"/>
      <c r="CD622" s="194"/>
      <c r="CE622" s="194"/>
      <c r="CF622" s="194"/>
      <c r="CG622" s="194"/>
      <c r="CH622" s="195"/>
      <c r="CI622" s="194"/>
      <c r="CJ622" s="194"/>
      <c r="CK622" s="194"/>
      <c r="CL622" s="196"/>
      <c r="CM622" s="196"/>
      <c r="CN622" s="194"/>
      <c r="CO622" s="197"/>
      <c r="CP622" s="196"/>
      <c r="CQ622" s="196"/>
      <c r="CR622" s="196"/>
      <c r="CS622" s="196"/>
      <c r="CT622" s="196"/>
      <c r="CU622" s="196"/>
      <c r="CV622" s="194"/>
      <c r="CW622" s="194"/>
      <c r="CX622" s="194"/>
      <c r="CY622" s="194"/>
      <c r="CZ622" s="194"/>
      <c r="DA622" s="194"/>
      <c r="DB622" s="194"/>
      <c r="DC622" s="194"/>
      <c r="DD622" s="194"/>
      <c r="DE622" s="194"/>
      <c r="DF622" s="196"/>
      <c r="DG622" s="198"/>
      <c r="DH622" s="194"/>
      <c r="DI622" s="194"/>
    </row>
    <row r="623" spans="1:113" s="24" customFormat="1" hidden="1" x14ac:dyDescent="0.3">
      <c r="A623" s="172"/>
      <c r="B623" s="172"/>
      <c r="C623" s="172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2"/>
      <c r="AT623" s="172"/>
      <c r="AU623" s="172"/>
      <c r="AV623" s="172"/>
      <c r="AW623" s="172"/>
      <c r="AX623" s="172"/>
      <c r="AY623" s="172"/>
      <c r="AZ623" s="172"/>
      <c r="BA623" s="172"/>
      <c r="BB623" s="172"/>
      <c r="BC623" s="172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  <c r="BT623" s="172"/>
      <c r="BU623" s="172"/>
      <c r="BV623" s="172"/>
      <c r="BW623" s="172"/>
      <c r="BX623" s="172"/>
      <c r="BY623" s="174"/>
      <c r="BZ623" s="172"/>
      <c r="CA623" s="172"/>
      <c r="CD623" s="194"/>
      <c r="CE623" s="194"/>
      <c r="CF623" s="194"/>
      <c r="CG623" s="194"/>
      <c r="CH623" s="195"/>
      <c r="CI623" s="194"/>
      <c r="CJ623" s="194"/>
      <c r="CK623" s="194"/>
      <c r="CL623" s="196"/>
      <c r="CM623" s="196"/>
      <c r="CN623" s="194"/>
      <c r="CO623" s="197"/>
      <c r="CP623" s="196"/>
      <c r="CQ623" s="196"/>
      <c r="CR623" s="196"/>
      <c r="CS623" s="196"/>
      <c r="CT623" s="196"/>
      <c r="CU623" s="196"/>
      <c r="CV623" s="194"/>
      <c r="CW623" s="194"/>
      <c r="CX623" s="194"/>
      <c r="CY623" s="194"/>
      <c r="CZ623" s="194"/>
      <c r="DA623" s="194"/>
      <c r="DB623" s="194"/>
      <c r="DC623" s="194"/>
      <c r="DD623" s="194"/>
      <c r="DE623" s="194"/>
      <c r="DF623" s="196"/>
      <c r="DG623" s="198"/>
      <c r="DH623" s="194"/>
      <c r="DI623" s="194"/>
    </row>
    <row r="624" spans="1:113" s="24" customFormat="1" hidden="1" x14ac:dyDescent="0.3">
      <c r="A624" s="172"/>
      <c r="B624" s="172"/>
      <c r="C624" s="172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2"/>
      <c r="AT624" s="172"/>
      <c r="AU624" s="172"/>
      <c r="AV624" s="172"/>
      <c r="AW624" s="172"/>
      <c r="AX624" s="172"/>
      <c r="AY624" s="172"/>
      <c r="AZ624" s="172"/>
      <c r="BA624" s="172"/>
      <c r="BB624" s="172"/>
      <c r="BC624" s="172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  <c r="BT624" s="172"/>
      <c r="BU624" s="172"/>
      <c r="BV624" s="172"/>
      <c r="BW624" s="172"/>
      <c r="BX624" s="172"/>
      <c r="BY624" s="174"/>
      <c r="BZ624" s="172"/>
      <c r="CA624" s="172"/>
      <c r="CD624" s="194"/>
      <c r="CE624" s="194"/>
      <c r="CF624" s="194"/>
      <c r="CG624" s="194"/>
      <c r="CH624" s="195"/>
      <c r="CI624" s="194"/>
      <c r="CJ624" s="194"/>
      <c r="CK624" s="194"/>
      <c r="CL624" s="196"/>
      <c r="CM624" s="196"/>
      <c r="CN624" s="194"/>
      <c r="CO624" s="197"/>
      <c r="CP624" s="196"/>
      <c r="CQ624" s="196"/>
      <c r="CR624" s="196"/>
      <c r="CS624" s="196"/>
      <c r="CT624" s="196"/>
      <c r="CU624" s="196"/>
      <c r="CV624" s="194"/>
      <c r="CW624" s="194"/>
      <c r="CX624" s="194"/>
      <c r="CY624" s="194"/>
      <c r="CZ624" s="194"/>
      <c r="DA624" s="194"/>
      <c r="DB624" s="194"/>
      <c r="DC624" s="194"/>
      <c r="DD624" s="194"/>
      <c r="DE624" s="194"/>
      <c r="DF624" s="196"/>
      <c r="DG624" s="198"/>
      <c r="DH624" s="194"/>
      <c r="DI624" s="194"/>
    </row>
    <row r="625" spans="1:113" s="24" customFormat="1" hidden="1" x14ac:dyDescent="0.3">
      <c r="A625" s="172"/>
      <c r="B625" s="172"/>
      <c r="C625" s="172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2"/>
      <c r="AT625" s="172"/>
      <c r="AU625" s="172"/>
      <c r="AV625" s="172"/>
      <c r="AW625" s="172"/>
      <c r="AX625" s="172"/>
      <c r="AY625" s="172"/>
      <c r="AZ625" s="172"/>
      <c r="BA625" s="172"/>
      <c r="BB625" s="172"/>
      <c r="BC625" s="172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  <c r="BT625" s="172"/>
      <c r="BU625" s="172"/>
      <c r="BV625" s="172"/>
      <c r="BW625" s="172"/>
      <c r="BX625" s="172"/>
      <c r="BY625" s="174"/>
      <c r="BZ625" s="172"/>
      <c r="CA625" s="172"/>
      <c r="CD625" s="194"/>
      <c r="CE625" s="194"/>
      <c r="CF625" s="194"/>
      <c r="CG625" s="194"/>
      <c r="CH625" s="195"/>
      <c r="CI625" s="194"/>
      <c r="CJ625" s="194"/>
      <c r="CK625" s="194"/>
      <c r="CL625" s="196"/>
      <c r="CM625" s="196"/>
      <c r="CN625" s="194"/>
      <c r="CO625" s="197"/>
      <c r="CP625" s="196"/>
      <c r="CQ625" s="196"/>
      <c r="CR625" s="196"/>
      <c r="CS625" s="196"/>
      <c r="CT625" s="196"/>
      <c r="CU625" s="196"/>
      <c r="CV625" s="194"/>
      <c r="CW625" s="194"/>
      <c r="CX625" s="194"/>
      <c r="CY625" s="194"/>
      <c r="CZ625" s="194"/>
      <c r="DA625" s="194"/>
      <c r="DB625" s="194"/>
      <c r="DC625" s="194"/>
      <c r="DD625" s="194"/>
      <c r="DE625" s="194"/>
      <c r="DF625" s="196"/>
      <c r="DG625" s="198"/>
      <c r="DH625" s="194"/>
      <c r="DI625" s="194"/>
    </row>
    <row r="626" spans="1:113" s="24" customFormat="1" hidden="1" x14ac:dyDescent="0.3">
      <c r="A626" s="172"/>
      <c r="B626" s="172"/>
      <c r="C626" s="172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2"/>
      <c r="AT626" s="172"/>
      <c r="AU626" s="172"/>
      <c r="AV626" s="172"/>
      <c r="AW626" s="172"/>
      <c r="AX626" s="172"/>
      <c r="AY626" s="172"/>
      <c r="AZ626" s="172"/>
      <c r="BA626" s="172"/>
      <c r="BB626" s="172"/>
      <c r="BC626" s="172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  <c r="BT626" s="172"/>
      <c r="BU626" s="172"/>
      <c r="BV626" s="172"/>
      <c r="BW626" s="172"/>
      <c r="BX626" s="172"/>
      <c r="BY626" s="174"/>
      <c r="BZ626" s="172"/>
      <c r="CA626" s="172"/>
      <c r="CD626" s="194"/>
      <c r="CE626" s="194"/>
      <c r="CF626" s="194"/>
      <c r="CG626" s="194"/>
      <c r="CH626" s="195"/>
      <c r="CI626" s="194"/>
      <c r="CJ626" s="194"/>
      <c r="CK626" s="194"/>
      <c r="CL626" s="196"/>
      <c r="CM626" s="196"/>
      <c r="CN626" s="194"/>
      <c r="CO626" s="197"/>
      <c r="CP626" s="196"/>
      <c r="CQ626" s="196"/>
      <c r="CR626" s="196"/>
      <c r="CS626" s="196"/>
      <c r="CT626" s="196"/>
      <c r="CU626" s="196"/>
      <c r="CV626" s="194"/>
      <c r="CW626" s="194"/>
      <c r="CX626" s="194"/>
      <c r="CY626" s="194"/>
      <c r="CZ626" s="194"/>
      <c r="DA626" s="194"/>
      <c r="DB626" s="194"/>
      <c r="DC626" s="194"/>
      <c r="DD626" s="194"/>
      <c r="DE626" s="194"/>
      <c r="DF626" s="196"/>
      <c r="DG626" s="198"/>
      <c r="DH626" s="194"/>
      <c r="DI626" s="194"/>
    </row>
    <row r="627" spans="1:113" s="24" customFormat="1" hidden="1" x14ac:dyDescent="0.3">
      <c r="A627" s="172"/>
      <c r="B627" s="172"/>
      <c r="C627" s="172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2"/>
      <c r="AT627" s="172"/>
      <c r="AU627" s="172"/>
      <c r="AV627" s="172"/>
      <c r="AW627" s="172"/>
      <c r="AX627" s="172"/>
      <c r="AY627" s="172"/>
      <c r="AZ627" s="172"/>
      <c r="BA627" s="172"/>
      <c r="BB627" s="172"/>
      <c r="BC627" s="172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  <c r="BT627" s="172"/>
      <c r="BU627" s="172"/>
      <c r="BV627" s="172"/>
      <c r="BW627" s="172"/>
      <c r="BX627" s="172"/>
      <c r="BY627" s="174"/>
      <c r="BZ627" s="172"/>
      <c r="CA627" s="172"/>
      <c r="CD627" s="194"/>
      <c r="CE627" s="194"/>
      <c r="CF627" s="194"/>
      <c r="CG627" s="194"/>
      <c r="CH627" s="195"/>
      <c r="CI627" s="194"/>
      <c r="CJ627" s="194"/>
      <c r="CK627" s="194"/>
      <c r="CL627" s="196"/>
      <c r="CM627" s="196"/>
      <c r="CN627" s="194"/>
      <c r="CO627" s="197"/>
      <c r="CP627" s="196"/>
      <c r="CQ627" s="196"/>
      <c r="CR627" s="196"/>
      <c r="CS627" s="196"/>
      <c r="CT627" s="196"/>
      <c r="CU627" s="196"/>
      <c r="CV627" s="194"/>
      <c r="CW627" s="194"/>
      <c r="CX627" s="194"/>
      <c r="CY627" s="194"/>
      <c r="CZ627" s="194"/>
      <c r="DA627" s="194"/>
      <c r="DB627" s="194"/>
      <c r="DC627" s="194"/>
      <c r="DD627" s="194"/>
      <c r="DE627" s="194"/>
      <c r="DF627" s="196"/>
      <c r="DG627" s="198"/>
      <c r="DH627" s="194"/>
      <c r="DI627" s="194"/>
    </row>
    <row r="628" spans="1:113" s="24" customFormat="1" hidden="1" x14ac:dyDescent="0.3">
      <c r="A628" s="172"/>
      <c r="B628" s="172"/>
      <c r="C628" s="172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2"/>
      <c r="AT628" s="172"/>
      <c r="AU628" s="172"/>
      <c r="AV628" s="172"/>
      <c r="AW628" s="172"/>
      <c r="AX628" s="172"/>
      <c r="AY628" s="172"/>
      <c r="AZ628" s="172"/>
      <c r="BA628" s="172"/>
      <c r="BB628" s="172"/>
      <c r="BC628" s="172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  <c r="BT628" s="172"/>
      <c r="BU628" s="172"/>
      <c r="BV628" s="172"/>
      <c r="BW628" s="172"/>
      <c r="BX628" s="172"/>
      <c r="BY628" s="174"/>
      <c r="BZ628" s="172"/>
      <c r="CA628" s="172"/>
      <c r="CD628" s="194"/>
      <c r="CE628" s="194"/>
      <c r="CF628" s="194"/>
      <c r="CG628" s="194"/>
      <c r="CH628" s="195"/>
      <c r="CI628" s="194"/>
      <c r="CJ628" s="194"/>
      <c r="CK628" s="194"/>
      <c r="CL628" s="196"/>
      <c r="CM628" s="196"/>
      <c r="CN628" s="194"/>
      <c r="CO628" s="197"/>
      <c r="CP628" s="196"/>
      <c r="CQ628" s="196"/>
      <c r="CR628" s="196"/>
      <c r="CS628" s="196"/>
      <c r="CT628" s="196"/>
      <c r="CU628" s="196"/>
      <c r="CV628" s="194"/>
      <c r="CW628" s="194"/>
      <c r="CX628" s="194"/>
      <c r="CY628" s="194"/>
      <c r="CZ628" s="194"/>
      <c r="DA628" s="194"/>
      <c r="DB628" s="194"/>
      <c r="DC628" s="194"/>
      <c r="DD628" s="194"/>
      <c r="DE628" s="194"/>
      <c r="DF628" s="196"/>
      <c r="DG628" s="198"/>
      <c r="DH628" s="194"/>
      <c r="DI628" s="194"/>
    </row>
    <row r="629" spans="1:113" s="24" customFormat="1" hidden="1" x14ac:dyDescent="0.3">
      <c r="A629" s="172"/>
      <c r="B629" s="172"/>
      <c r="C629" s="172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2"/>
      <c r="AT629" s="172"/>
      <c r="AU629" s="172"/>
      <c r="AV629" s="172"/>
      <c r="AW629" s="172"/>
      <c r="AX629" s="172"/>
      <c r="AY629" s="172"/>
      <c r="AZ629" s="172"/>
      <c r="BA629" s="172"/>
      <c r="BB629" s="172"/>
      <c r="BC629" s="172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  <c r="BT629" s="172"/>
      <c r="BU629" s="172"/>
      <c r="BV629" s="172"/>
      <c r="BW629" s="172"/>
      <c r="BX629" s="172"/>
      <c r="BY629" s="174"/>
      <c r="BZ629" s="172"/>
      <c r="CA629" s="172"/>
      <c r="CD629" s="194"/>
      <c r="CE629" s="194"/>
      <c r="CF629" s="194"/>
      <c r="CG629" s="194"/>
      <c r="CH629" s="195"/>
      <c r="CI629" s="194"/>
      <c r="CJ629" s="194"/>
      <c r="CK629" s="194"/>
      <c r="CL629" s="196"/>
      <c r="CM629" s="196"/>
      <c r="CN629" s="194"/>
      <c r="CO629" s="197"/>
      <c r="CP629" s="196"/>
      <c r="CQ629" s="196"/>
      <c r="CR629" s="196"/>
      <c r="CS629" s="196"/>
      <c r="CT629" s="196"/>
      <c r="CU629" s="196"/>
      <c r="CV629" s="194"/>
      <c r="CW629" s="194"/>
      <c r="CX629" s="194"/>
      <c r="CY629" s="194"/>
      <c r="CZ629" s="194"/>
      <c r="DA629" s="194"/>
      <c r="DB629" s="194"/>
      <c r="DC629" s="194"/>
      <c r="DD629" s="194"/>
      <c r="DE629" s="194"/>
      <c r="DF629" s="196"/>
      <c r="DG629" s="198"/>
      <c r="DH629" s="194"/>
      <c r="DI629" s="194"/>
    </row>
    <row r="630" spans="1:113" s="24" customFormat="1" hidden="1" x14ac:dyDescent="0.3">
      <c r="A630" s="172"/>
      <c r="B630" s="172"/>
      <c r="C630" s="172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2"/>
      <c r="AT630" s="172"/>
      <c r="AU630" s="172"/>
      <c r="AV630" s="172"/>
      <c r="AW630" s="172"/>
      <c r="AX630" s="172"/>
      <c r="AY630" s="172"/>
      <c r="AZ630" s="172"/>
      <c r="BA630" s="172"/>
      <c r="BB630" s="172"/>
      <c r="BC630" s="172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  <c r="BT630" s="172"/>
      <c r="BU630" s="172"/>
      <c r="BV630" s="172"/>
      <c r="BW630" s="172"/>
      <c r="BX630" s="172"/>
      <c r="BY630" s="174"/>
      <c r="BZ630" s="172"/>
      <c r="CA630" s="172"/>
      <c r="CD630" s="194"/>
      <c r="CE630" s="194"/>
      <c r="CF630" s="194"/>
      <c r="CG630" s="194"/>
      <c r="CH630" s="195"/>
      <c r="CI630" s="194"/>
      <c r="CJ630" s="194"/>
      <c r="CK630" s="194"/>
      <c r="CL630" s="196"/>
      <c r="CM630" s="196"/>
      <c r="CN630" s="194"/>
      <c r="CO630" s="197"/>
      <c r="CP630" s="196"/>
      <c r="CQ630" s="196"/>
      <c r="CR630" s="196"/>
      <c r="CS630" s="196"/>
      <c r="CT630" s="196"/>
      <c r="CU630" s="196"/>
      <c r="CV630" s="194"/>
      <c r="CW630" s="194"/>
      <c r="CX630" s="194"/>
      <c r="CY630" s="194"/>
      <c r="CZ630" s="194"/>
      <c r="DA630" s="194"/>
      <c r="DB630" s="194"/>
      <c r="DC630" s="194"/>
      <c r="DD630" s="194"/>
      <c r="DE630" s="194"/>
      <c r="DF630" s="196"/>
      <c r="DG630" s="198"/>
      <c r="DH630" s="194"/>
      <c r="DI630" s="194"/>
    </row>
    <row r="631" spans="1:113" s="24" customFormat="1" hidden="1" x14ac:dyDescent="0.3">
      <c r="A631" s="172"/>
      <c r="B631" s="172"/>
      <c r="C631" s="172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2"/>
      <c r="AT631" s="172"/>
      <c r="AU631" s="172"/>
      <c r="AV631" s="172"/>
      <c r="AW631" s="172"/>
      <c r="AX631" s="172"/>
      <c r="AY631" s="172"/>
      <c r="AZ631" s="172"/>
      <c r="BA631" s="172"/>
      <c r="BB631" s="172"/>
      <c r="BC631" s="172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  <c r="BT631" s="172"/>
      <c r="BU631" s="172"/>
      <c r="BV631" s="172"/>
      <c r="BW631" s="172"/>
      <c r="BX631" s="172"/>
      <c r="BY631" s="174"/>
      <c r="BZ631" s="172"/>
      <c r="CA631" s="172"/>
      <c r="CD631" s="194"/>
      <c r="CE631" s="194"/>
      <c r="CF631" s="194"/>
      <c r="CG631" s="194"/>
      <c r="CH631" s="195"/>
      <c r="CI631" s="194"/>
      <c r="CJ631" s="194"/>
      <c r="CK631" s="194"/>
      <c r="CL631" s="196"/>
      <c r="CM631" s="196"/>
      <c r="CN631" s="194"/>
      <c r="CO631" s="197"/>
      <c r="CP631" s="196"/>
      <c r="CQ631" s="196"/>
      <c r="CR631" s="196"/>
      <c r="CS631" s="196"/>
      <c r="CT631" s="196"/>
      <c r="CU631" s="196"/>
      <c r="CV631" s="194"/>
      <c r="CW631" s="194"/>
      <c r="CX631" s="194"/>
      <c r="CY631" s="194"/>
      <c r="CZ631" s="194"/>
      <c r="DA631" s="194"/>
      <c r="DB631" s="194"/>
      <c r="DC631" s="194"/>
      <c r="DD631" s="194"/>
      <c r="DE631" s="194"/>
      <c r="DF631" s="196"/>
      <c r="DG631" s="198"/>
      <c r="DH631" s="194"/>
      <c r="DI631" s="194"/>
    </row>
    <row r="632" spans="1:113" s="24" customFormat="1" hidden="1" x14ac:dyDescent="0.3">
      <c r="A632" s="172"/>
      <c r="B632" s="172"/>
      <c r="C632" s="172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2"/>
      <c r="AT632" s="172"/>
      <c r="AU632" s="172"/>
      <c r="AV632" s="172"/>
      <c r="AW632" s="172"/>
      <c r="AX632" s="172"/>
      <c r="AY632" s="172"/>
      <c r="AZ632" s="172"/>
      <c r="BA632" s="172"/>
      <c r="BB632" s="172"/>
      <c r="BC632" s="172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  <c r="BT632" s="172"/>
      <c r="BU632" s="172"/>
      <c r="BV632" s="172"/>
      <c r="BW632" s="172"/>
      <c r="BX632" s="172"/>
      <c r="BY632" s="174"/>
      <c r="BZ632" s="172"/>
      <c r="CA632" s="172"/>
      <c r="CD632" s="194"/>
      <c r="CE632" s="194"/>
      <c r="CF632" s="194"/>
      <c r="CG632" s="194"/>
      <c r="CH632" s="195"/>
      <c r="CI632" s="194"/>
      <c r="CJ632" s="194"/>
      <c r="CK632" s="194"/>
      <c r="CL632" s="196"/>
      <c r="CM632" s="196"/>
      <c r="CN632" s="194"/>
      <c r="CO632" s="197"/>
      <c r="CP632" s="196"/>
      <c r="CQ632" s="196"/>
      <c r="CR632" s="196"/>
      <c r="CS632" s="196"/>
      <c r="CT632" s="196"/>
      <c r="CU632" s="196"/>
      <c r="CV632" s="194"/>
      <c r="CW632" s="194"/>
      <c r="CX632" s="194"/>
      <c r="CY632" s="194"/>
      <c r="CZ632" s="194"/>
      <c r="DA632" s="194"/>
      <c r="DB632" s="194"/>
      <c r="DC632" s="194"/>
      <c r="DD632" s="194"/>
      <c r="DE632" s="194"/>
      <c r="DF632" s="196"/>
      <c r="DG632" s="198"/>
      <c r="DH632" s="194"/>
      <c r="DI632" s="194"/>
    </row>
    <row r="633" spans="1:113" s="24" customFormat="1" hidden="1" x14ac:dyDescent="0.3">
      <c r="A633" s="172"/>
      <c r="B633" s="172"/>
      <c r="C633" s="172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2"/>
      <c r="AT633" s="172"/>
      <c r="AU633" s="172"/>
      <c r="AV633" s="172"/>
      <c r="AW633" s="172"/>
      <c r="AX633" s="172"/>
      <c r="AY633" s="172"/>
      <c r="AZ633" s="172"/>
      <c r="BA633" s="172"/>
      <c r="BB633" s="172"/>
      <c r="BC633" s="172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  <c r="BT633" s="172"/>
      <c r="BU633" s="172"/>
      <c r="BV633" s="172"/>
      <c r="BW633" s="172"/>
      <c r="BX633" s="172"/>
      <c r="BY633" s="174"/>
      <c r="BZ633" s="172"/>
      <c r="CA633" s="172"/>
      <c r="CD633" s="194"/>
      <c r="CE633" s="194"/>
      <c r="CF633" s="194"/>
      <c r="CG633" s="194"/>
      <c r="CH633" s="195"/>
      <c r="CI633" s="194"/>
      <c r="CJ633" s="194"/>
      <c r="CK633" s="194"/>
      <c r="CL633" s="196"/>
      <c r="CM633" s="196"/>
      <c r="CN633" s="194"/>
      <c r="CO633" s="197"/>
      <c r="CP633" s="196"/>
      <c r="CQ633" s="196"/>
      <c r="CR633" s="196"/>
      <c r="CS633" s="196"/>
      <c r="CT633" s="196"/>
      <c r="CU633" s="196"/>
      <c r="CV633" s="194"/>
      <c r="CW633" s="194"/>
      <c r="CX633" s="194"/>
      <c r="CY633" s="194"/>
      <c r="CZ633" s="194"/>
      <c r="DA633" s="194"/>
      <c r="DB633" s="194"/>
      <c r="DC633" s="194"/>
      <c r="DD633" s="194"/>
      <c r="DE633" s="194"/>
      <c r="DF633" s="196"/>
      <c r="DG633" s="198"/>
      <c r="DH633" s="194"/>
      <c r="DI633" s="194"/>
    </row>
    <row r="634" spans="1:113" s="24" customFormat="1" hidden="1" x14ac:dyDescent="0.3">
      <c r="A634" s="172"/>
      <c r="B634" s="172"/>
      <c r="C634" s="172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2"/>
      <c r="AT634" s="172"/>
      <c r="AU634" s="172"/>
      <c r="AV634" s="172"/>
      <c r="AW634" s="172"/>
      <c r="AX634" s="172"/>
      <c r="AY634" s="172"/>
      <c r="AZ634" s="172"/>
      <c r="BA634" s="172"/>
      <c r="BB634" s="172"/>
      <c r="BC634" s="172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  <c r="BT634" s="172"/>
      <c r="BU634" s="172"/>
      <c r="BV634" s="172"/>
      <c r="BW634" s="172"/>
      <c r="BX634" s="172"/>
      <c r="BY634" s="174"/>
      <c r="BZ634" s="172"/>
      <c r="CA634" s="172"/>
      <c r="CD634" s="194"/>
      <c r="CE634" s="194"/>
      <c r="CF634" s="194"/>
      <c r="CG634" s="194"/>
      <c r="CH634" s="195"/>
      <c r="CI634" s="194"/>
      <c r="CJ634" s="194"/>
      <c r="CK634" s="194"/>
      <c r="CL634" s="196"/>
      <c r="CM634" s="196"/>
      <c r="CN634" s="194"/>
      <c r="CO634" s="197"/>
      <c r="CP634" s="196"/>
      <c r="CQ634" s="196"/>
      <c r="CR634" s="196"/>
      <c r="CS634" s="196"/>
      <c r="CT634" s="196"/>
      <c r="CU634" s="196"/>
      <c r="CV634" s="194"/>
      <c r="CW634" s="194"/>
      <c r="CX634" s="194"/>
      <c r="CY634" s="194"/>
      <c r="CZ634" s="194"/>
      <c r="DA634" s="194"/>
      <c r="DB634" s="194"/>
      <c r="DC634" s="194"/>
      <c r="DD634" s="194"/>
      <c r="DE634" s="194"/>
      <c r="DF634" s="196"/>
      <c r="DG634" s="198"/>
      <c r="DH634" s="194"/>
      <c r="DI634" s="194"/>
    </row>
    <row r="635" spans="1:113" s="24" customFormat="1" hidden="1" x14ac:dyDescent="0.3">
      <c r="A635" s="172"/>
      <c r="B635" s="172"/>
      <c r="C635" s="172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2"/>
      <c r="AT635" s="172"/>
      <c r="AU635" s="172"/>
      <c r="AV635" s="172"/>
      <c r="AW635" s="172"/>
      <c r="AX635" s="172"/>
      <c r="AY635" s="172"/>
      <c r="AZ635" s="172"/>
      <c r="BA635" s="172"/>
      <c r="BB635" s="172"/>
      <c r="BC635" s="172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  <c r="BT635" s="172"/>
      <c r="BU635" s="172"/>
      <c r="BV635" s="172"/>
      <c r="BW635" s="172"/>
      <c r="BX635" s="172"/>
      <c r="BY635" s="174"/>
      <c r="BZ635" s="172"/>
      <c r="CA635" s="172"/>
      <c r="CD635" s="194"/>
      <c r="CE635" s="194"/>
      <c r="CF635" s="194"/>
      <c r="CG635" s="194"/>
      <c r="CH635" s="195"/>
      <c r="CI635" s="194"/>
      <c r="CJ635" s="194"/>
      <c r="CK635" s="194"/>
      <c r="CL635" s="196"/>
      <c r="CM635" s="196"/>
      <c r="CN635" s="194"/>
      <c r="CO635" s="197"/>
      <c r="CP635" s="196"/>
      <c r="CQ635" s="196"/>
      <c r="CR635" s="196"/>
      <c r="CS635" s="196"/>
      <c r="CT635" s="196"/>
      <c r="CU635" s="196"/>
      <c r="CV635" s="194"/>
      <c r="CW635" s="194"/>
      <c r="CX635" s="194"/>
      <c r="CY635" s="194"/>
      <c r="CZ635" s="194"/>
      <c r="DA635" s="194"/>
      <c r="DB635" s="194"/>
      <c r="DC635" s="194"/>
      <c r="DD635" s="194"/>
      <c r="DE635" s="194"/>
      <c r="DF635" s="196"/>
      <c r="DG635" s="198"/>
      <c r="DH635" s="194"/>
      <c r="DI635" s="194"/>
    </row>
    <row r="636" spans="1:113" s="24" customFormat="1" hidden="1" x14ac:dyDescent="0.3">
      <c r="A636" s="172"/>
      <c r="B636" s="172"/>
      <c r="C636" s="172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2"/>
      <c r="AT636" s="172"/>
      <c r="AU636" s="172"/>
      <c r="AV636" s="172"/>
      <c r="AW636" s="172"/>
      <c r="AX636" s="172"/>
      <c r="AY636" s="172"/>
      <c r="AZ636" s="172"/>
      <c r="BA636" s="172"/>
      <c r="BB636" s="172"/>
      <c r="BC636" s="172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  <c r="BT636" s="172"/>
      <c r="BU636" s="172"/>
      <c r="BV636" s="172"/>
      <c r="BW636" s="172"/>
      <c r="BX636" s="172"/>
      <c r="BY636" s="174"/>
      <c r="BZ636" s="172"/>
      <c r="CA636" s="172"/>
      <c r="CD636" s="194"/>
      <c r="CE636" s="194"/>
      <c r="CF636" s="194"/>
      <c r="CG636" s="194"/>
      <c r="CH636" s="195"/>
      <c r="CI636" s="194"/>
      <c r="CJ636" s="194"/>
      <c r="CK636" s="194"/>
      <c r="CL636" s="196"/>
      <c r="CM636" s="196"/>
      <c r="CN636" s="194"/>
      <c r="CO636" s="197"/>
      <c r="CP636" s="196"/>
      <c r="CQ636" s="196"/>
      <c r="CR636" s="196"/>
      <c r="CS636" s="196"/>
      <c r="CT636" s="196"/>
      <c r="CU636" s="196"/>
      <c r="CV636" s="194"/>
      <c r="CW636" s="194"/>
      <c r="CX636" s="194"/>
      <c r="CY636" s="194"/>
      <c r="CZ636" s="194"/>
      <c r="DA636" s="194"/>
      <c r="DB636" s="194"/>
      <c r="DC636" s="194"/>
      <c r="DD636" s="194"/>
      <c r="DE636" s="194"/>
      <c r="DF636" s="196"/>
      <c r="DG636" s="198"/>
      <c r="DH636" s="194"/>
      <c r="DI636" s="194"/>
    </row>
    <row r="637" spans="1:113" s="24" customFormat="1" hidden="1" x14ac:dyDescent="0.3">
      <c r="A637" s="172"/>
      <c r="B637" s="172"/>
      <c r="C637" s="172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2"/>
      <c r="AT637" s="172"/>
      <c r="AU637" s="172"/>
      <c r="AV637" s="172"/>
      <c r="AW637" s="172"/>
      <c r="AX637" s="172"/>
      <c r="AY637" s="172"/>
      <c r="AZ637" s="172"/>
      <c r="BA637" s="172"/>
      <c r="BB637" s="172"/>
      <c r="BC637" s="172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  <c r="BT637" s="172"/>
      <c r="BU637" s="172"/>
      <c r="BV637" s="172"/>
      <c r="BW637" s="172"/>
      <c r="BX637" s="172"/>
      <c r="BY637" s="174"/>
      <c r="BZ637" s="172"/>
      <c r="CA637" s="172"/>
      <c r="CD637" s="194"/>
      <c r="CE637" s="194"/>
      <c r="CF637" s="194"/>
      <c r="CG637" s="194"/>
      <c r="CH637" s="195"/>
      <c r="CI637" s="194"/>
      <c r="CJ637" s="194"/>
      <c r="CK637" s="194"/>
      <c r="CL637" s="196"/>
      <c r="CM637" s="196"/>
      <c r="CN637" s="194"/>
      <c r="CO637" s="197"/>
      <c r="CP637" s="196"/>
      <c r="CQ637" s="196"/>
      <c r="CR637" s="196"/>
      <c r="CS637" s="196"/>
      <c r="CT637" s="196"/>
      <c r="CU637" s="196"/>
      <c r="CV637" s="194"/>
      <c r="CW637" s="194"/>
      <c r="CX637" s="194"/>
      <c r="CY637" s="194"/>
      <c r="CZ637" s="194"/>
      <c r="DA637" s="194"/>
      <c r="DB637" s="194"/>
      <c r="DC637" s="194"/>
      <c r="DD637" s="194"/>
      <c r="DE637" s="194"/>
      <c r="DF637" s="196"/>
      <c r="DG637" s="198"/>
      <c r="DH637" s="194"/>
      <c r="DI637" s="194"/>
    </row>
    <row r="638" spans="1:113" s="24" customFormat="1" hidden="1" x14ac:dyDescent="0.3">
      <c r="A638" s="172"/>
      <c r="B638" s="172"/>
      <c r="C638" s="172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2"/>
      <c r="AT638" s="172"/>
      <c r="AU638" s="172"/>
      <c r="AV638" s="172"/>
      <c r="AW638" s="172"/>
      <c r="AX638" s="172"/>
      <c r="AY638" s="172"/>
      <c r="AZ638" s="172"/>
      <c r="BA638" s="172"/>
      <c r="BB638" s="172"/>
      <c r="BC638" s="172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  <c r="BT638" s="172"/>
      <c r="BU638" s="172"/>
      <c r="BV638" s="172"/>
      <c r="BW638" s="172"/>
      <c r="BX638" s="172"/>
      <c r="BY638" s="174"/>
      <c r="BZ638" s="172"/>
      <c r="CA638" s="172"/>
      <c r="CD638" s="194"/>
      <c r="CE638" s="194"/>
      <c r="CF638" s="194"/>
      <c r="CG638" s="194"/>
      <c r="CH638" s="195"/>
      <c r="CI638" s="194"/>
      <c r="CJ638" s="194"/>
      <c r="CK638" s="194"/>
      <c r="CL638" s="196"/>
      <c r="CM638" s="196"/>
      <c r="CN638" s="194"/>
      <c r="CO638" s="197"/>
      <c r="CP638" s="196"/>
      <c r="CQ638" s="196"/>
      <c r="CR638" s="196"/>
      <c r="CS638" s="196"/>
      <c r="CT638" s="196"/>
      <c r="CU638" s="196"/>
      <c r="CV638" s="194"/>
      <c r="CW638" s="194"/>
      <c r="CX638" s="194"/>
      <c r="CY638" s="194"/>
      <c r="CZ638" s="194"/>
      <c r="DA638" s="194"/>
      <c r="DB638" s="194"/>
      <c r="DC638" s="194"/>
      <c r="DD638" s="194"/>
      <c r="DE638" s="194"/>
      <c r="DF638" s="196"/>
      <c r="DG638" s="198"/>
      <c r="DH638" s="194"/>
      <c r="DI638" s="194"/>
    </row>
    <row r="639" spans="1:113" s="24" customFormat="1" hidden="1" x14ac:dyDescent="0.3">
      <c r="A639" s="172"/>
      <c r="B639" s="172"/>
      <c r="C639" s="172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2"/>
      <c r="AT639" s="172"/>
      <c r="AU639" s="172"/>
      <c r="AV639" s="172"/>
      <c r="AW639" s="172"/>
      <c r="AX639" s="172"/>
      <c r="AY639" s="172"/>
      <c r="AZ639" s="172"/>
      <c r="BA639" s="172"/>
      <c r="BB639" s="172"/>
      <c r="BC639" s="172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  <c r="BT639" s="172"/>
      <c r="BU639" s="172"/>
      <c r="BV639" s="172"/>
      <c r="BW639" s="172"/>
      <c r="BX639" s="172"/>
      <c r="BY639" s="174"/>
      <c r="BZ639" s="172"/>
      <c r="CA639" s="172"/>
      <c r="CD639" s="194"/>
      <c r="CE639" s="194"/>
      <c r="CF639" s="194"/>
      <c r="CG639" s="194"/>
      <c r="CH639" s="195"/>
      <c r="CI639" s="194"/>
      <c r="CJ639" s="194"/>
      <c r="CK639" s="194"/>
      <c r="CL639" s="196"/>
      <c r="CM639" s="196"/>
      <c r="CN639" s="194"/>
      <c r="CO639" s="197"/>
      <c r="CP639" s="196"/>
      <c r="CQ639" s="196"/>
      <c r="CR639" s="196"/>
      <c r="CS639" s="196"/>
      <c r="CT639" s="196"/>
      <c r="CU639" s="196"/>
      <c r="CV639" s="194"/>
      <c r="CW639" s="194"/>
      <c r="CX639" s="194"/>
      <c r="CY639" s="194"/>
      <c r="CZ639" s="194"/>
      <c r="DA639" s="194"/>
      <c r="DB639" s="194"/>
      <c r="DC639" s="194"/>
      <c r="DD639" s="194"/>
      <c r="DE639" s="194"/>
      <c r="DF639" s="196"/>
      <c r="DG639" s="198"/>
      <c r="DH639" s="194"/>
      <c r="DI639" s="194"/>
    </row>
    <row r="640" spans="1:113" s="24" customFormat="1" hidden="1" x14ac:dyDescent="0.3">
      <c r="A640" s="172"/>
      <c r="B640" s="172"/>
      <c r="C640" s="172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2"/>
      <c r="AT640" s="172"/>
      <c r="AU640" s="172"/>
      <c r="AV640" s="172"/>
      <c r="AW640" s="172"/>
      <c r="AX640" s="172"/>
      <c r="AY640" s="172"/>
      <c r="AZ640" s="172"/>
      <c r="BA640" s="172"/>
      <c r="BB640" s="172"/>
      <c r="BC640" s="172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  <c r="BT640" s="172"/>
      <c r="BU640" s="172"/>
      <c r="BV640" s="172"/>
      <c r="BW640" s="172"/>
      <c r="BX640" s="172"/>
      <c r="BY640" s="174"/>
      <c r="BZ640" s="172"/>
      <c r="CA640" s="172"/>
      <c r="CD640" s="194"/>
      <c r="CE640" s="194"/>
      <c r="CF640" s="194"/>
      <c r="CG640" s="194"/>
      <c r="CH640" s="195"/>
      <c r="CI640" s="194"/>
      <c r="CJ640" s="194"/>
      <c r="CK640" s="194"/>
      <c r="CL640" s="196"/>
      <c r="CM640" s="196"/>
      <c r="CN640" s="194"/>
      <c r="CO640" s="197"/>
      <c r="CP640" s="196"/>
      <c r="CQ640" s="196"/>
      <c r="CR640" s="196"/>
      <c r="CS640" s="196"/>
      <c r="CT640" s="196"/>
      <c r="CU640" s="196"/>
      <c r="CV640" s="194"/>
      <c r="CW640" s="194"/>
      <c r="CX640" s="194"/>
      <c r="CY640" s="194"/>
      <c r="CZ640" s="194"/>
      <c r="DA640" s="194"/>
      <c r="DB640" s="194"/>
      <c r="DC640" s="194"/>
      <c r="DD640" s="194"/>
      <c r="DE640" s="194"/>
      <c r="DF640" s="196"/>
      <c r="DG640" s="198"/>
      <c r="DH640" s="194"/>
      <c r="DI640" s="194"/>
    </row>
    <row r="641" spans="1:113" s="24" customFormat="1" hidden="1" x14ac:dyDescent="0.3">
      <c r="A641" s="172"/>
      <c r="B641" s="172"/>
      <c r="C641" s="172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2"/>
      <c r="AT641" s="172"/>
      <c r="AU641" s="172"/>
      <c r="AV641" s="172"/>
      <c r="AW641" s="172"/>
      <c r="AX641" s="172"/>
      <c r="AY641" s="172"/>
      <c r="AZ641" s="172"/>
      <c r="BA641" s="172"/>
      <c r="BB641" s="172"/>
      <c r="BC641" s="172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  <c r="BT641" s="172"/>
      <c r="BU641" s="172"/>
      <c r="BV641" s="172"/>
      <c r="BW641" s="172"/>
      <c r="BX641" s="172"/>
      <c r="BY641" s="174"/>
      <c r="BZ641" s="172"/>
      <c r="CA641" s="172"/>
      <c r="CD641" s="194"/>
      <c r="CE641" s="194"/>
      <c r="CF641" s="194"/>
      <c r="CG641" s="194"/>
      <c r="CH641" s="195"/>
      <c r="CI641" s="194"/>
      <c r="CJ641" s="194"/>
      <c r="CK641" s="194"/>
      <c r="CL641" s="196"/>
      <c r="CM641" s="196"/>
      <c r="CN641" s="194"/>
      <c r="CO641" s="197"/>
      <c r="CP641" s="196"/>
      <c r="CQ641" s="196"/>
      <c r="CR641" s="196"/>
      <c r="CS641" s="196"/>
      <c r="CT641" s="196"/>
      <c r="CU641" s="196"/>
      <c r="CV641" s="194"/>
      <c r="CW641" s="194"/>
      <c r="CX641" s="194"/>
      <c r="CY641" s="194"/>
      <c r="CZ641" s="194"/>
      <c r="DA641" s="194"/>
      <c r="DB641" s="194"/>
      <c r="DC641" s="194"/>
      <c r="DD641" s="194"/>
      <c r="DE641" s="194"/>
      <c r="DF641" s="196"/>
      <c r="DG641" s="198"/>
      <c r="DH641" s="194"/>
      <c r="DI641" s="194"/>
    </row>
    <row r="642" spans="1:113" s="24" customFormat="1" hidden="1" x14ac:dyDescent="0.3">
      <c r="A642" s="172"/>
      <c r="B642" s="172"/>
      <c r="C642" s="172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2"/>
      <c r="AT642" s="172"/>
      <c r="AU642" s="172"/>
      <c r="AV642" s="172"/>
      <c r="AW642" s="172"/>
      <c r="AX642" s="172"/>
      <c r="AY642" s="172"/>
      <c r="AZ642" s="172"/>
      <c r="BA642" s="172"/>
      <c r="BB642" s="172"/>
      <c r="BC642" s="172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  <c r="BT642" s="172"/>
      <c r="BU642" s="172"/>
      <c r="BV642" s="172"/>
      <c r="BW642" s="172"/>
      <c r="BX642" s="172"/>
      <c r="BY642" s="174"/>
      <c r="BZ642" s="172"/>
      <c r="CA642" s="172"/>
      <c r="CD642" s="194"/>
      <c r="CE642" s="194"/>
      <c r="CF642" s="194"/>
      <c r="CG642" s="194"/>
      <c r="CH642" s="195"/>
      <c r="CI642" s="194"/>
      <c r="CJ642" s="194"/>
      <c r="CK642" s="194"/>
      <c r="CL642" s="196"/>
      <c r="CM642" s="196"/>
      <c r="CN642" s="194"/>
      <c r="CO642" s="197"/>
      <c r="CP642" s="196"/>
      <c r="CQ642" s="196"/>
      <c r="CR642" s="196"/>
      <c r="CS642" s="196"/>
      <c r="CT642" s="196"/>
      <c r="CU642" s="196"/>
      <c r="CV642" s="194"/>
      <c r="CW642" s="194"/>
      <c r="CX642" s="194"/>
      <c r="CY642" s="194"/>
      <c r="CZ642" s="194"/>
      <c r="DA642" s="194"/>
      <c r="DB642" s="194"/>
      <c r="DC642" s="194"/>
      <c r="DD642" s="194"/>
      <c r="DE642" s="194"/>
      <c r="DF642" s="196"/>
      <c r="DG642" s="198"/>
      <c r="DH642" s="194"/>
      <c r="DI642" s="194"/>
    </row>
    <row r="643" spans="1:113" s="24" customFormat="1" hidden="1" x14ac:dyDescent="0.3">
      <c r="A643" s="172"/>
      <c r="B643" s="172"/>
      <c r="C643" s="172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2"/>
      <c r="AT643" s="172"/>
      <c r="AU643" s="172"/>
      <c r="AV643" s="172"/>
      <c r="AW643" s="172"/>
      <c r="AX643" s="172"/>
      <c r="AY643" s="172"/>
      <c r="AZ643" s="172"/>
      <c r="BA643" s="172"/>
      <c r="BB643" s="172"/>
      <c r="BC643" s="172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  <c r="BT643" s="172"/>
      <c r="BU643" s="172"/>
      <c r="BV643" s="172"/>
      <c r="BW643" s="172"/>
      <c r="BX643" s="172"/>
      <c r="BY643" s="174"/>
      <c r="BZ643" s="172"/>
      <c r="CA643" s="172"/>
      <c r="CD643" s="194"/>
      <c r="CE643" s="194"/>
      <c r="CF643" s="194"/>
      <c r="CG643" s="194"/>
      <c r="CH643" s="195"/>
      <c r="CI643" s="194"/>
      <c r="CJ643" s="194"/>
      <c r="CK643" s="194"/>
      <c r="CL643" s="196"/>
      <c r="CM643" s="196"/>
      <c r="CN643" s="194"/>
      <c r="CO643" s="197"/>
      <c r="CP643" s="196"/>
      <c r="CQ643" s="196"/>
      <c r="CR643" s="196"/>
      <c r="CS643" s="196"/>
      <c r="CT643" s="196"/>
      <c r="CU643" s="196"/>
      <c r="CV643" s="194"/>
      <c r="CW643" s="194"/>
      <c r="CX643" s="194"/>
      <c r="CY643" s="194"/>
      <c r="CZ643" s="194"/>
      <c r="DA643" s="194"/>
      <c r="DB643" s="194"/>
      <c r="DC643" s="194"/>
      <c r="DD643" s="194"/>
      <c r="DE643" s="194"/>
      <c r="DF643" s="196"/>
      <c r="DG643" s="198"/>
      <c r="DH643" s="194"/>
      <c r="DI643" s="194"/>
    </row>
    <row r="644" spans="1:113" s="24" customFormat="1" hidden="1" x14ac:dyDescent="0.3">
      <c r="A644" s="172"/>
      <c r="B644" s="172"/>
      <c r="C644" s="172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2"/>
      <c r="AT644" s="172"/>
      <c r="AU644" s="172"/>
      <c r="AV644" s="172"/>
      <c r="AW644" s="172"/>
      <c r="AX644" s="172"/>
      <c r="AY644" s="172"/>
      <c r="AZ644" s="172"/>
      <c r="BA644" s="172"/>
      <c r="BB644" s="172"/>
      <c r="BC644" s="172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  <c r="BT644" s="172"/>
      <c r="BU644" s="172"/>
      <c r="BV644" s="172"/>
      <c r="BW644" s="172"/>
      <c r="BX644" s="172"/>
      <c r="BY644" s="174"/>
      <c r="BZ644" s="172"/>
      <c r="CA644" s="172"/>
      <c r="CD644" s="194"/>
      <c r="CE644" s="194"/>
      <c r="CF644" s="194"/>
      <c r="CG644" s="194"/>
      <c r="CH644" s="195"/>
      <c r="CI644" s="194"/>
      <c r="CJ644" s="194"/>
      <c r="CK644" s="194"/>
      <c r="CL644" s="196"/>
      <c r="CM644" s="196"/>
      <c r="CN644" s="194"/>
      <c r="CO644" s="197"/>
      <c r="CP644" s="196"/>
      <c r="CQ644" s="196"/>
      <c r="CR644" s="196"/>
      <c r="CS644" s="196"/>
      <c r="CT644" s="196"/>
      <c r="CU644" s="196"/>
      <c r="CV644" s="194"/>
      <c r="CW644" s="194"/>
      <c r="CX644" s="194"/>
      <c r="CY644" s="194"/>
      <c r="CZ644" s="194"/>
      <c r="DA644" s="194"/>
      <c r="DB644" s="194"/>
      <c r="DC644" s="194"/>
      <c r="DD644" s="194"/>
      <c r="DE644" s="194"/>
      <c r="DF644" s="196"/>
      <c r="DG644" s="198"/>
      <c r="DH644" s="194"/>
      <c r="DI644" s="194"/>
    </row>
    <row r="645" spans="1:113" s="24" customFormat="1" hidden="1" x14ac:dyDescent="0.3">
      <c r="A645" s="172"/>
      <c r="B645" s="172"/>
      <c r="C645" s="172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2"/>
      <c r="AT645" s="172"/>
      <c r="AU645" s="172"/>
      <c r="AV645" s="172"/>
      <c r="AW645" s="172"/>
      <c r="AX645" s="172"/>
      <c r="AY645" s="172"/>
      <c r="AZ645" s="172"/>
      <c r="BA645" s="172"/>
      <c r="BB645" s="172"/>
      <c r="BC645" s="172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  <c r="BT645" s="172"/>
      <c r="BU645" s="172"/>
      <c r="BV645" s="172"/>
      <c r="BW645" s="172"/>
      <c r="BX645" s="172"/>
      <c r="BY645" s="174"/>
      <c r="BZ645" s="172"/>
      <c r="CA645" s="172"/>
      <c r="CD645" s="194"/>
      <c r="CE645" s="194"/>
      <c r="CF645" s="194"/>
      <c r="CG645" s="194"/>
      <c r="CH645" s="195"/>
      <c r="CI645" s="194"/>
      <c r="CJ645" s="194"/>
      <c r="CK645" s="194"/>
      <c r="CL645" s="196"/>
      <c r="CM645" s="196"/>
      <c r="CN645" s="194"/>
      <c r="CO645" s="197"/>
      <c r="CP645" s="196"/>
      <c r="CQ645" s="196"/>
      <c r="CR645" s="196"/>
      <c r="CS645" s="196"/>
      <c r="CT645" s="196"/>
      <c r="CU645" s="196"/>
      <c r="CV645" s="194"/>
      <c r="CW645" s="194"/>
      <c r="CX645" s="194"/>
      <c r="CY645" s="194"/>
      <c r="CZ645" s="194"/>
      <c r="DA645" s="194"/>
      <c r="DB645" s="194"/>
      <c r="DC645" s="194"/>
      <c r="DD645" s="194"/>
      <c r="DE645" s="194"/>
      <c r="DF645" s="196"/>
      <c r="DG645" s="198"/>
      <c r="DH645" s="194"/>
      <c r="DI645" s="194"/>
    </row>
    <row r="646" spans="1:113" s="24" customFormat="1" hidden="1" x14ac:dyDescent="0.3">
      <c r="A646" s="172"/>
      <c r="B646" s="172"/>
      <c r="C646" s="172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2"/>
      <c r="AT646" s="172"/>
      <c r="AU646" s="172"/>
      <c r="AV646" s="172"/>
      <c r="AW646" s="172"/>
      <c r="AX646" s="172"/>
      <c r="AY646" s="172"/>
      <c r="AZ646" s="172"/>
      <c r="BA646" s="172"/>
      <c r="BB646" s="172"/>
      <c r="BC646" s="172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  <c r="BT646" s="172"/>
      <c r="BU646" s="172"/>
      <c r="BV646" s="172"/>
      <c r="BW646" s="172"/>
      <c r="BX646" s="172"/>
      <c r="BY646" s="174"/>
      <c r="BZ646" s="172"/>
      <c r="CA646" s="172"/>
      <c r="CD646" s="194"/>
      <c r="CE646" s="194"/>
      <c r="CF646" s="194"/>
      <c r="CG646" s="194"/>
      <c r="CH646" s="195"/>
      <c r="CI646" s="194"/>
      <c r="CJ646" s="194"/>
      <c r="CK646" s="194"/>
      <c r="CL646" s="196"/>
      <c r="CM646" s="196"/>
      <c r="CN646" s="194"/>
      <c r="CO646" s="197"/>
      <c r="CP646" s="196"/>
      <c r="CQ646" s="196"/>
      <c r="CR646" s="196"/>
      <c r="CS646" s="196"/>
      <c r="CT646" s="196"/>
      <c r="CU646" s="196"/>
      <c r="CV646" s="194"/>
      <c r="CW646" s="194"/>
      <c r="CX646" s="194"/>
      <c r="CY646" s="194"/>
      <c r="CZ646" s="194"/>
      <c r="DA646" s="194"/>
      <c r="DB646" s="194"/>
      <c r="DC646" s="194"/>
      <c r="DD646" s="194"/>
      <c r="DE646" s="194"/>
      <c r="DF646" s="196"/>
      <c r="DG646" s="198"/>
      <c r="DH646" s="194"/>
      <c r="DI646" s="194"/>
    </row>
    <row r="647" spans="1:113" s="24" customFormat="1" hidden="1" x14ac:dyDescent="0.3">
      <c r="A647" s="172"/>
      <c r="B647" s="172"/>
      <c r="C647" s="172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2"/>
      <c r="AT647" s="172"/>
      <c r="AU647" s="172"/>
      <c r="AV647" s="172"/>
      <c r="AW647" s="172"/>
      <c r="AX647" s="172"/>
      <c r="AY647" s="172"/>
      <c r="AZ647" s="172"/>
      <c r="BA647" s="172"/>
      <c r="BB647" s="172"/>
      <c r="BC647" s="172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  <c r="BT647" s="172"/>
      <c r="BU647" s="172"/>
      <c r="BV647" s="172"/>
      <c r="BW647" s="172"/>
      <c r="BX647" s="172"/>
      <c r="BY647" s="174"/>
      <c r="BZ647" s="172"/>
      <c r="CA647" s="172"/>
      <c r="CD647" s="194"/>
      <c r="CE647" s="194"/>
      <c r="CF647" s="194"/>
      <c r="CG647" s="194"/>
      <c r="CH647" s="195"/>
      <c r="CI647" s="194"/>
      <c r="CJ647" s="194"/>
      <c r="CK647" s="194"/>
      <c r="CL647" s="196"/>
      <c r="CM647" s="196"/>
      <c r="CN647" s="194"/>
      <c r="CO647" s="197"/>
      <c r="CP647" s="196"/>
      <c r="CQ647" s="196"/>
      <c r="CR647" s="196"/>
      <c r="CS647" s="196"/>
      <c r="CT647" s="196"/>
      <c r="CU647" s="196"/>
      <c r="CV647" s="194"/>
      <c r="CW647" s="194"/>
      <c r="CX647" s="194"/>
      <c r="CY647" s="194"/>
      <c r="CZ647" s="194"/>
      <c r="DA647" s="194"/>
      <c r="DB647" s="194"/>
      <c r="DC647" s="194"/>
      <c r="DD647" s="194"/>
      <c r="DE647" s="194"/>
      <c r="DF647" s="196"/>
      <c r="DG647" s="198"/>
      <c r="DH647" s="194"/>
      <c r="DI647" s="194"/>
    </row>
    <row r="648" spans="1:113" s="24" customFormat="1" hidden="1" x14ac:dyDescent="0.3">
      <c r="A648" s="172"/>
      <c r="B648" s="172"/>
      <c r="C648" s="172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2"/>
      <c r="AT648" s="172"/>
      <c r="AU648" s="172"/>
      <c r="AV648" s="172"/>
      <c r="AW648" s="172"/>
      <c r="AX648" s="172"/>
      <c r="AY648" s="172"/>
      <c r="AZ648" s="172"/>
      <c r="BA648" s="172"/>
      <c r="BB648" s="172"/>
      <c r="BC648" s="172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  <c r="BT648" s="172"/>
      <c r="BU648" s="172"/>
      <c r="BV648" s="172"/>
      <c r="BW648" s="172"/>
      <c r="BX648" s="172"/>
      <c r="BY648" s="174"/>
      <c r="BZ648" s="172"/>
      <c r="CA648" s="172"/>
      <c r="CD648" s="194"/>
      <c r="CE648" s="194"/>
      <c r="CF648" s="194"/>
      <c r="CG648" s="194"/>
      <c r="CH648" s="195"/>
      <c r="CI648" s="194"/>
      <c r="CJ648" s="194"/>
      <c r="CK648" s="194"/>
      <c r="CL648" s="196"/>
      <c r="CM648" s="196"/>
      <c r="CN648" s="194"/>
      <c r="CO648" s="197"/>
      <c r="CP648" s="196"/>
      <c r="CQ648" s="196"/>
      <c r="CR648" s="196"/>
      <c r="CS648" s="196"/>
      <c r="CT648" s="196"/>
      <c r="CU648" s="196"/>
      <c r="CV648" s="194"/>
      <c r="CW648" s="194"/>
      <c r="CX648" s="194"/>
      <c r="CY648" s="194"/>
      <c r="CZ648" s="194"/>
      <c r="DA648" s="194"/>
      <c r="DB648" s="194"/>
      <c r="DC648" s="194"/>
      <c r="DD648" s="194"/>
      <c r="DE648" s="194"/>
      <c r="DF648" s="196"/>
      <c r="DG648" s="198"/>
      <c r="DH648" s="194"/>
      <c r="DI648" s="194"/>
    </row>
    <row r="649" spans="1:113" s="24" customFormat="1" hidden="1" x14ac:dyDescent="0.3">
      <c r="A649" s="172"/>
      <c r="B649" s="172"/>
      <c r="C649" s="172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2"/>
      <c r="AT649" s="172"/>
      <c r="AU649" s="172"/>
      <c r="AV649" s="172"/>
      <c r="AW649" s="172"/>
      <c r="AX649" s="172"/>
      <c r="AY649" s="172"/>
      <c r="AZ649" s="172"/>
      <c r="BA649" s="172"/>
      <c r="BB649" s="172"/>
      <c r="BC649" s="172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  <c r="BT649" s="172"/>
      <c r="BU649" s="172"/>
      <c r="BV649" s="172"/>
      <c r="BW649" s="172"/>
      <c r="BX649" s="172"/>
      <c r="BY649" s="174"/>
      <c r="BZ649" s="172"/>
      <c r="CA649" s="172"/>
      <c r="CD649" s="194"/>
      <c r="CE649" s="194"/>
      <c r="CF649" s="194"/>
      <c r="CG649" s="194"/>
      <c r="CH649" s="195"/>
      <c r="CI649" s="194"/>
      <c r="CJ649" s="194"/>
      <c r="CK649" s="194"/>
      <c r="CL649" s="196"/>
      <c r="CM649" s="196"/>
      <c r="CN649" s="194"/>
      <c r="CO649" s="197"/>
      <c r="CP649" s="196"/>
      <c r="CQ649" s="196"/>
      <c r="CR649" s="196"/>
      <c r="CS649" s="196"/>
      <c r="CT649" s="196"/>
      <c r="CU649" s="196"/>
      <c r="CV649" s="194"/>
      <c r="CW649" s="194"/>
      <c r="CX649" s="194"/>
      <c r="CY649" s="194"/>
      <c r="CZ649" s="194"/>
      <c r="DA649" s="194"/>
      <c r="DB649" s="194"/>
      <c r="DC649" s="194"/>
      <c r="DD649" s="194"/>
      <c r="DE649" s="194"/>
      <c r="DF649" s="196"/>
      <c r="DG649" s="198"/>
      <c r="DH649" s="194"/>
      <c r="DI649" s="194"/>
    </row>
    <row r="650" spans="1:113" s="24" customFormat="1" hidden="1" x14ac:dyDescent="0.3">
      <c r="A650" s="172"/>
      <c r="B650" s="172"/>
      <c r="C650" s="172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2"/>
      <c r="AT650" s="172"/>
      <c r="AU650" s="172"/>
      <c r="AV650" s="172"/>
      <c r="AW650" s="172"/>
      <c r="AX650" s="172"/>
      <c r="AY650" s="172"/>
      <c r="AZ650" s="172"/>
      <c r="BA650" s="172"/>
      <c r="BB650" s="172"/>
      <c r="BC650" s="172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  <c r="BT650" s="172"/>
      <c r="BU650" s="172"/>
      <c r="BV650" s="172"/>
      <c r="BW650" s="172"/>
      <c r="BX650" s="172"/>
      <c r="BY650" s="174"/>
      <c r="BZ650" s="172"/>
      <c r="CA650" s="172"/>
      <c r="CD650" s="194"/>
      <c r="CE650" s="194"/>
      <c r="CF650" s="194"/>
      <c r="CG650" s="194"/>
      <c r="CH650" s="195"/>
      <c r="CI650" s="194"/>
      <c r="CJ650" s="194"/>
      <c r="CK650" s="194"/>
      <c r="CL650" s="196"/>
      <c r="CM650" s="196"/>
      <c r="CN650" s="194"/>
      <c r="CO650" s="197"/>
      <c r="CP650" s="196"/>
      <c r="CQ650" s="196"/>
      <c r="CR650" s="196"/>
      <c r="CS650" s="196"/>
      <c r="CT650" s="196"/>
      <c r="CU650" s="196"/>
      <c r="CV650" s="194"/>
      <c r="CW650" s="194"/>
      <c r="CX650" s="194"/>
      <c r="CY650" s="194"/>
      <c r="CZ650" s="194"/>
      <c r="DA650" s="194"/>
      <c r="DB650" s="194"/>
      <c r="DC650" s="194"/>
      <c r="DD650" s="194"/>
      <c r="DE650" s="194"/>
      <c r="DF650" s="196"/>
      <c r="DG650" s="198"/>
      <c r="DH650" s="194"/>
      <c r="DI650" s="194"/>
    </row>
    <row r="651" spans="1:113" s="24" customFormat="1" hidden="1" x14ac:dyDescent="0.3">
      <c r="A651" s="172"/>
      <c r="B651" s="172"/>
      <c r="C651" s="172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2"/>
      <c r="AT651" s="172"/>
      <c r="AU651" s="172"/>
      <c r="AV651" s="172"/>
      <c r="AW651" s="172"/>
      <c r="AX651" s="172"/>
      <c r="AY651" s="172"/>
      <c r="AZ651" s="172"/>
      <c r="BA651" s="172"/>
      <c r="BB651" s="172"/>
      <c r="BC651" s="172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  <c r="BT651" s="172"/>
      <c r="BU651" s="172"/>
      <c r="BV651" s="172"/>
      <c r="BW651" s="172"/>
      <c r="BX651" s="172"/>
      <c r="BY651" s="174"/>
      <c r="BZ651" s="172"/>
      <c r="CA651" s="172"/>
      <c r="CD651" s="194"/>
      <c r="CE651" s="194"/>
      <c r="CF651" s="194"/>
      <c r="CG651" s="194"/>
      <c r="CH651" s="195"/>
      <c r="CI651" s="194"/>
      <c r="CJ651" s="194"/>
      <c r="CK651" s="194"/>
      <c r="CL651" s="196"/>
      <c r="CM651" s="196"/>
      <c r="CN651" s="194"/>
      <c r="CO651" s="197"/>
      <c r="CP651" s="196"/>
      <c r="CQ651" s="196"/>
      <c r="CR651" s="196"/>
      <c r="CS651" s="196"/>
      <c r="CT651" s="196"/>
      <c r="CU651" s="196"/>
      <c r="CV651" s="194"/>
      <c r="CW651" s="194"/>
      <c r="CX651" s="194"/>
      <c r="CY651" s="194"/>
      <c r="CZ651" s="194"/>
      <c r="DA651" s="194"/>
      <c r="DB651" s="194"/>
      <c r="DC651" s="194"/>
      <c r="DD651" s="194"/>
      <c r="DE651" s="194"/>
      <c r="DF651" s="196"/>
      <c r="DG651" s="198"/>
      <c r="DH651" s="194"/>
      <c r="DI651" s="194"/>
    </row>
    <row r="652" spans="1:113" s="24" customFormat="1" hidden="1" x14ac:dyDescent="0.3">
      <c r="A652" s="172"/>
      <c r="B652" s="172"/>
      <c r="C652" s="172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2"/>
      <c r="AT652" s="172"/>
      <c r="AU652" s="172"/>
      <c r="AV652" s="172"/>
      <c r="AW652" s="172"/>
      <c r="AX652" s="172"/>
      <c r="AY652" s="172"/>
      <c r="AZ652" s="172"/>
      <c r="BA652" s="172"/>
      <c r="BB652" s="172"/>
      <c r="BC652" s="172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  <c r="BT652" s="172"/>
      <c r="BU652" s="172"/>
      <c r="BV652" s="172"/>
      <c r="BW652" s="172"/>
      <c r="BX652" s="172"/>
      <c r="BY652" s="174"/>
      <c r="BZ652" s="172"/>
      <c r="CA652" s="172"/>
      <c r="CD652" s="194"/>
      <c r="CE652" s="194"/>
      <c r="CF652" s="194"/>
      <c r="CG652" s="194"/>
      <c r="CH652" s="195"/>
      <c r="CI652" s="194"/>
      <c r="CJ652" s="194"/>
      <c r="CK652" s="194"/>
      <c r="CL652" s="196"/>
      <c r="CM652" s="196"/>
      <c r="CN652" s="194"/>
      <c r="CO652" s="197"/>
      <c r="CP652" s="196"/>
      <c r="CQ652" s="196"/>
      <c r="CR652" s="196"/>
      <c r="CS652" s="196"/>
      <c r="CT652" s="196"/>
      <c r="CU652" s="196"/>
      <c r="CV652" s="194"/>
      <c r="CW652" s="194"/>
      <c r="CX652" s="194"/>
      <c r="CY652" s="194"/>
      <c r="CZ652" s="194"/>
      <c r="DA652" s="194"/>
      <c r="DB652" s="194"/>
      <c r="DC652" s="194"/>
      <c r="DD652" s="194"/>
      <c r="DE652" s="194"/>
      <c r="DF652" s="196"/>
      <c r="DG652" s="198"/>
      <c r="DH652" s="194"/>
      <c r="DI652" s="194"/>
    </row>
    <row r="653" spans="1:113" s="24" customFormat="1" hidden="1" x14ac:dyDescent="0.3">
      <c r="A653" s="172"/>
      <c r="B653" s="172"/>
      <c r="C653" s="172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2"/>
      <c r="AT653" s="172"/>
      <c r="AU653" s="172"/>
      <c r="AV653" s="172"/>
      <c r="AW653" s="172"/>
      <c r="AX653" s="172"/>
      <c r="AY653" s="172"/>
      <c r="AZ653" s="172"/>
      <c r="BA653" s="172"/>
      <c r="BB653" s="172"/>
      <c r="BC653" s="172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  <c r="BT653" s="172"/>
      <c r="BU653" s="172"/>
      <c r="BV653" s="172"/>
      <c r="BW653" s="172"/>
      <c r="BX653" s="172"/>
      <c r="BY653" s="174"/>
      <c r="BZ653" s="172"/>
      <c r="CA653" s="172"/>
      <c r="CD653" s="194"/>
      <c r="CE653" s="194"/>
      <c r="CF653" s="194"/>
      <c r="CG653" s="194"/>
      <c r="CH653" s="195"/>
      <c r="CI653" s="194"/>
      <c r="CJ653" s="194"/>
      <c r="CK653" s="194"/>
      <c r="CL653" s="196"/>
      <c r="CM653" s="196"/>
      <c r="CN653" s="194"/>
      <c r="CO653" s="197"/>
      <c r="CP653" s="196"/>
      <c r="CQ653" s="196"/>
      <c r="CR653" s="196"/>
      <c r="CS653" s="196"/>
      <c r="CT653" s="196"/>
      <c r="CU653" s="196"/>
      <c r="CV653" s="194"/>
      <c r="CW653" s="194"/>
      <c r="CX653" s="194"/>
      <c r="CY653" s="194"/>
      <c r="CZ653" s="194"/>
      <c r="DA653" s="194"/>
      <c r="DB653" s="194"/>
      <c r="DC653" s="194"/>
      <c r="DD653" s="194"/>
      <c r="DE653" s="194"/>
      <c r="DF653" s="196"/>
      <c r="DG653" s="198"/>
      <c r="DH653" s="194"/>
      <c r="DI653" s="194"/>
    </row>
    <row r="654" spans="1:113" s="24" customFormat="1" hidden="1" x14ac:dyDescent="0.3">
      <c r="A654" s="172"/>
      <c r="B654" s="172"/>
      <c r="C654" s="172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2"/>
      <c r="AT654" s="172"/>
      <c r="AU654" s="172"/>
      <c r="AV654" s="172"/>
      <c r="AW654" s="172"/>
      <c r="AX654" s="172"/>
      <c r="AY654" s="172"/>
      <c r="AZ654" s="172"/>
      <c r="BA654" s="172"/>
      <c r="BB654" s="172"/>
      <c r="BC654" s="172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  <c r="BT654" s="172"/>
      <c r="BU654" s="172"/>
      <c r="BV654" s="172"/>
      <c r="BW654" s="172"/>
      <c r="BX654" s="172"/>
      <c r="BY654" s="174"/>
      <c r="BZ654" s="172"/>
      <c r="CA654" s="172"/>
      <c r="CD654" s="194"/>
      <c r="CE654" s="194"/>
      <c r="CF654" s="194"/>
      <c r="CG654" s="194"/>
      <c r="CH654" s="195"/>
      <c r="CI654" s="194"/>
      <c r="CJ654" s="194"/>
      <c r="CK654" s="194"/>
      <c r="CL654" s="196"/>
      <c r="CM654" s="196"/>
      <c r="CN654" s="194"/>
      <c r="CO654" s="197"/>
      <c r="CP654" s="196"/>
      <c r="CQ654" s="196"/>
      <c r="CR654" s="196"/>
      <c r="CS654" s="196"/>
      <c r="CT654" s="196"/>
      <c r="CU654" s="196"/>
      <c r="CV654" s="194"/>
      <c r="CW654" s="194"/>
      <c r="CX654" s="194"/>
      <c r="CY654" s="194"/>
      <c r="CZ654" s="194"/>
      <c r="DA654" s="194"/>
      <c r="DB654" s="194"/>
      <c r="DC654" s="194"/>
      <c r="DD654" s="194"/>
      <c r="DE654" s="194"/>
      <c r="DF654" s="196"/>
      <c r="DG654" s="198"/>
      <c r="DH654" s="194"/>
      <c r="DI654" s="194"/>
    </row>
    <row r="655" spans="1:113" s="24" customFormat="1" hidden="1" x14ac:dyDescent="0.3">
      <c r="A655" s="172"/>
      <c r="B655" s="172"/>
      <c r="C655" s="172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2"/>
      <c r="AT655" s="172"/>
      <c r="AU655" s="172"/>
      <c r="AV655" s="172"/>
      <c r="AW655" s="172"/>
      <c r="AX655" s="172"/>
      <c r="AY655" s="172"/>
      <c r="AZ655" s="172"/>
      <c r="BA655" s="172"/>
      <c r="BB655" s="172"/>
      <c r="BC655" s="172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  <c r="BT655" s="172"/>
      <c r="BU655" s="172"/>
      <c r="BV655" s="172"/>
      <c r="BW655" s="172"/>
      <c r="BX655" s="172"/>
      <c r="BY655" s="174"/>
      <c r="BZ655" s="172"/>
      <c r="CA655" s="172"/>
      <c r="CD655" s="194"/>
      <c r="CE655" s="194"/>
      <c r="CF655" s="194"/>
      <c r="CG655" s="194"/>
      <c r="CH655" s="195"/>
      <c r="CI655" s="194"/>
      <c r="CJ655" s="194"/>
      <c r="CK655" s="194"/>
      <c r="CL655" s="196"/>
      <c r="CM655" s="196"/>
      <c r="CN655" s="194"/>
      <c r="CO655" s="197"/>
      <c r="CP655" s="196"/>
      <c r="CQ655" s="196"/>
      <c r="CR655" s="196"/>
      <c r="CS655" s="196"/>
      <c r="CT655" s="196"/>
      <c r="CU655" s="196"/>
      <c r="CV655" s="194"/>
      <c r="CW655" s="194"/>
      <c r="CX655" s="194"/>
      <c r="CY655" s="194"/>
      <c r="CZ655" s="194"/>
      <c r="DA655" s="194"/>
      <c r="DB655" s="194"/>
      <c r="DC655" s="194"/>
      <c r="DD655" s="194"/>
      <c r="DE655" s="194"/>
      <c r="DF655" s="196"/>
      <c r="DG655" s="198"/>
      <c r="DH655" s="194"/>
      <c r="DI655" s="194"/>
    </row>
    <row r="656" spans="1:113" s="24" customFormat="1" hidden="1" x14ac:dyDescent="0.3">
      <c r="A656" s="172"/>
      <c r="B656" s="172"/>
      <c r="C656" s="172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2"/>
      <c r="AT656" s="172"/>
      <c r="AU656" s="172"/>
      <c r="AV656" s="172"/>
      <c r="AW656" s="172"/>
      <c r="AX656" s="172"/>
      <c r="AY656" s="172"/>
      <c r="AZ656" s="172"/>
      <c r="BA656" s="172"/>
      <c r="BB656" s="172"/>
      <c r="BC656" s="172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  <c r="BT656" s="172"/>
      <c r="BU656" s="172"/>
      <c r="BV656" s="172"/>
      <c r="BW656" s="172"/>
      <c r="BX656" s="172"/>
      <c r="BY656" s="174"/>
      <c r="BZ656" s="172"/>
      <c r="CA656" s="172"/>
      <c r="CD656" s="194"/>
      <c r="CE656" s="194"/>
      <c r="CF656" s="194"/>
      <c r="CG656" s="194"/>
      <c r="CH656" s="195"/>
      <c r="CI656" s="194"/>
      <c r="CJ656" s="194"/>
      <c r="CK656" s="194"/>
      <c r="CL656" s="196"/>
      <c r="CM656" s="196"/>
      <c r="CN656" s="194"/>
      <c r="CO656" s="197"/>
      <c r="CP656" s="196"/>
      <c r="CQ656" s="196"/>
      <c r="CR656" s="196"/>
      <c r="CS656" s="196"/>
      <c r="CT656" s="196"/>
      <c r="CU656" s="196"/>
      <c r="CV656" s="194"/>
      <c r="CW656" s="194"/>
      <c r="CX656" s="194"/>
      <c r="CY656" s="194"/>
      <c r="CZ656" s="194"/>
      <c r="DA656" s="194"/>
      <c r="DB656" s="194"/>
      <c r="DC656" s="194"/>
      <c r="DD656" s="194"/>
      <c r="DE656" s="194"/>
      <c r="DF656" s="196"/>
      <c r="DG656" s="198"/>
      <c r="DH656" s="194"/>
      <c r="DI656" s="194"/>
    </row>
    <row r="657" spans="1:113" s="24" customFormat="1" hidden="1" x14ac:dyDescent="0.3">
      <c r="A657" s="172"/>
      <c r="B657" s="172"/>
      <c r="C657" s="172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2"/>
      <c r="AT657" s="172"/>
      <c r="AU657" s="172"/>
      <c r="AV657" s="172"/>
      <c r="AW657" s="172"/>
      <c r="AX657" s="172"/>
      <c r="AY657" s="172"/>
      <c r="AZ657" s="172"/>
      <c r="BA657" s="172"/>
      <c r="BB657" s="172"/>
      <c r="BC657" s="172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  <c r="BT657" s="172"/>
      <c r="BU657" s="172"/>
      <c r="BV657" s="172"/>
      <c r="BW657" s="172"/>
      <c r="BX657" s="172"/>
      <c r="BY657" s="174"/>
      <c r="BZ657" s="172"/>
      <c r="CA657" s="172"/>
      <c r="CD657" s="194"/>
      <c r="CE657" s="194"/>
      <c r="CF657" s="194"/>
      <c r="CG657" s="194"/>
      <c r="CH657" s="195"/>
      <c r="CI657" s="194"/>
      <c r="CJ657" s="194"/>
      <c r="CK657" s="194"/>
      <c r="CL657" s="196"/>
      <c r="CM657" s="196"/>
      <c r="CN657" s="194"/>
      <c r="CO657" s="197"/>
      <c r="CP657" s="196"/>
      <c r="CQ657" s="196"/>
      <c r="CR657" s="196"/>
      <c r="CS657" s="196"/>
      <c r="CT657" s="196"/>
      <c r="CU657" s="196"/>
      <c r="CV657" s="194"/>
      <c r="CW657" s="194"/>
      <c r="CX657" s="194"/>
      <c r="CY657" s="194"/>
      <c r="CZ657" s="194"/>
      <c r="DA657" s="194"/>
      <c r="DB657" s="194"/>
      <c r="DC657" s="194"/>
      <c r="DD657" s="194"/>
      <c r="DE657" s="194"/>
      <c r="DF657" s="196"/>
      <c r="DG657" s="198"/>
      <c r="DH657" s="194"/>
      <c r="DI657" s="194"/>
    </row>
    <row r="658" spans="1:113" s="24" customFormat="1" hidden="1" x14ac:dyDescent="0.3">
      <c r="A658" s="172"/>
      <c r="B658" s="172"/>
      <c r="C658" s="172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2"/>
      <c r="AT658" s="172"/>
      <c r="AU658" s="172"/>
      <c r="AV658" s="172"/>
      <c r="AW658" s="172"/>
      <c r="AX658" s="172"/>
      <c r="AY658" s="172"/>
      <c r="AZ658" s="172"/>
      <c r="BA658" s="172"/>
      <c r="BB658" s="172"/>
      <c r="BC658" s="172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  <c r="BT658" s="172"/>
      <c r="BU658" s="172"/>
      <c r="BV658" s="172"/>
      <c r="BW658" s="172"/>
      <c r="BX658" s="172"/>
      <c r="BY658" s="174"/>
      <c r="BZ658" s="172"/>
      <c r="CA658" s="172"/>
      <c r="CD658" s="194"/>
      <c r="CE658" s="194"/>
      <c r="CF658" s="194"/>
      <c r="CG658" s="194"/>
      <c r="CH658" s="195"/>
      <c r="CI658" s="194"/>
      <c r="CJ658" s="194"/>
      <c r="CK658" s="194"/>
      <c r="CL658" s="196"/>
      <c r="CM658" s="196"/>
      <c r="CN658" s="194"/>
      <c r="CO658" s="197"/>
      <c r="CP658" s="196"/>
      <c r="CQ658" s="196"/>
      <c r="CR658" s="196"/>
      <c r="CS658" s="196"/>
      <c r="CT658" s="196"/>
      <c r="CU658" s="196"/>
      <c r="CV658" s="194"/>
      <c r="CW658" s="194"/>
      <c r="CX658" s="194"/>
      <c r="CY658" s="194"/>
      <c r="CZ658" s="194"/>
      <c r="DA658" s="194"/>
      <c r="DB658" s="194"/>
      <c r="DC658" s="194"/>
      <c r="DD658" s="194"/>
      <c r="DE658" s="194"/>
      <c r="DF658" s="196"/>
      <c r="DG658" s="198"/>
      <c r="DH658" s="194"/>
      <c r="DI658" s="194"/>
    </row>
    <row r="659" spans="1:113" s="24" customFormat="1" hidden="1" x14ac:dyDescent="0.3">
      <c r="A659" s="172"/>
      <c r="B659" s="172"/>
      <c r="C659" s="172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2"/>
      <c r="AT659" s="172"/>
      <c r="AU659" s="172"/>
      <c r="AV659" s="172"/>
      <c r="AW659" s="172"/>
      <c r="AX659" s="172"/>
      <c r="AY659" s="172"/>
      <c r="AZ659" s="172"/>
      <c r="BA659" s="172"/>
      <c r="BB659" s="172"/>
      <c r="BC659" s="172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  <c r="BT659" s="172"/>
      <c r="BU659" s="172"/>
      <c r="BV659" s="172"/>
      <c r="BW659" s="172"/>
      <c r="BX659" s="172"/>
      <c r="BY659" s="174"/>
      <c r="BZ659" s="172"/>
      <c r="CA659" s="172"/>
      <c r="CD659" s="194"/>
      <c r="CE659" s="194"/>
      <c r="CF659" s="194"/>
      <c r="CG659" s="194"/>
      <c r="CH659" s="195"/>
      <c r="CI659" s="194"/>
      <c r="CJ659" s="194"/>
      <c r="CK659" s="194"/>
      <c r="CL659" s="196"/>
      <c r="CM659" s="196"/>
      <c r="CN659" s="194"/>
      <c r="CO659" s="197"/>
      <c r="CP659" s="196"/>
      <c r="CQ659" s="196"/>
      <c r="CR659" s="196"/>
      <c r="CS659" s="196"/>
      <c r="CT659" s="196"/>
      <c r="CU659" s="196"/>
      <c r="CV659" s="194"/>
      <c r="CW659" s="194"/>
      <c r="CX659" s="194"/>
      <c r="CY659" s="194"/>
      <c r="CZ659" s="194"/>
      <c r="DA659" s="194"/>
      <c r="DB659" s="194"/>
      <c r="DC659" s="194"/>
      <c r="DD659" s="194"/>
      <c r="DE659" s="194"/>
      <c r="DF659" s="196"/>
      <c r="DG659" s="198"/>
      <c r="DH659" s="194"/>
      <c r="DI659" s="194"/>
    </row>
    <row r="660" spans="1:113" s="24" customFormat="1" hidden="1" x14ac:dyDescent="0.3">
      <c r="A660" s="172"/>
      <c r="B660" s="172"/>
      <c r="C660" s="172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2"/>
      <c r="AT660" s="172"/>
      <c r="AU660" s="172"/>
      <c r="AV660" s="172"/>
      <c r="AW660" s="172"/>
      <c r="AX660" s="172"/>
      <c r="AY660" s="172"/>
      <c r="AZ660" s="172"/>
      <c r="BA660" s="172"/>
      <c r="BB660" s="172"/>
      <c r="BC660" s="172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  <c r="BT660" s="172"/>
      <c r="BU660" s="172"/>
      <c r="BV660" s="172"/>
      <c r="BW660" s="172"/>
      <c r="BX660" s="172"/>
      <c r="BY660" s="174"/>
      <c r="BZ660" s="172"/>
      <c r="CA660" s="172"/>
      <c r="CD660" s="194"/>
      <c r="CE660" s="194"/>
      <c r="CF660" s="194"/>
      <c r="CG660" s="194"/>
      <c r="CH660" s="195"/>
      <c r="CI660" s="194"/>
      <c r="CJ660" s="194"/>
      <c r="CK660" s="194"/>
      <c r="CL660" s="196"/>
      <c r="CM660" s="196"/>
      <c r="CN660" s="194"/>
      <c r="CO660" s="197"/>
      <c r="CP660" s="196"/>
      <c r="CQ660" s="196"/>
      <c r="CR660" s="196"/>
      <c r="CS660" s="196"/>
      <c r="CT660" s="196"/>
      <c r="CU660" s="196"/>
      <c r="CV660" s="194"/>
      <c r="CW660" s="194"/>
      <c r="CX660" s="194"/>
      <c r="CY660" s="194"/>
      <c r="CZ660" s="194"/>
      <c r="DA660" s="194"/>
      <c r="DB660" s="194"/>
      <c r="DC660" s="194"/>
      <c r="DD660" s="194"/>
      <c r="DE660" s="194"/>
      <c r="DF660" s="196"/>
      <c r="DG660" s="198"/>
      <c r="DH660" s="194"/>
      <c r="DI660" s="194"/>
    </row>
    <row r="661" spans="1:113" s="24" customFormat="1" hidden="1" x14ac:dyDescent="0.3">
      <c r="A661" s="172"/>
      <c r="B661" s="172"/>
      <c r="C661" s="172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2"/>
      <c r="AT661" s="172"/>
      <c r="AU661" s="172"/>
      <c r="AV661" s="172"/>
      <c r="AW661" s="172"/>
      <c r="AX661" s="172"/>
      <c r="AY661" s="172"/>
      <c r="AZ661" s="172"/>
      <c r="BA661" s="172"/>
      <c r="BB661" s="172"/>
      <c r="BC661" s="172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  <c r="BT661" s="172"/>
      <c r="BU661" s="172"/>
      <c r="BV661" s="172"/>
      <c r="BW661" s="172"/>
      <c r="BX661" s="172"/>
      <c r="BY661" s="174"/>
      <c r="BZ661" s="172"/>
      <c r="CA661" s="172"/>
      <c r="CD661" s="194"/>
      <c r="CE661" s="194"/>
      <c r="CF661" s="194"/>
      <c r="CG661" s="194"/>
      <c r="CH661" s="195"/>
      <c r="CI661" s="194"/>
      <c r="CJ661" s="194"/>
      <c r="CK661" s="194"/>
      <c r="CL661" s="196"/>
      <c r="CM661" s="196"/>
      <c r="CN661" s="194"/>
      <c r="CO661" s="197"/>
      <c r="CP661" s="196"/>
      <c r="CQ661" s="196"/>
      <c r="CR661" s="196"/>
      <c r="CS661" s="196"/>
      <c r="CT661" s="196"/>
      <c r="CU661" s="196"/>
      <c r="CV661" s="194"/>
      <c r="CW661" s="194"/>
      <c r="CX661" s="194"/>
      <c r="CY661" s="194"/>
      <c r="CZ661" s="194"/>
      <c r="DA661" s="194"/>
      <c r="DB661" s="194"/>
      <c r="DC661" s="194"/>
      <c r="DD661" s="194"/>
      <c r="DE661" s="194"/>
      <c r="DF661" s="196"/>
      <c r="DG661" s="198"/>
      <c r="DH661" s="194"/>
      <c r="DI661" s="194"/>
    </row>
    <row r="662" spans="1:113" s="24" customFormat="1" hidden="1" x14ac:dyDescent="0.3">
      <c r="A662" s="172"/>
      <c r="B662" s="172"/>
      <c r="C662" s="172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2"/>
      <c r="AT662" s="172"/>
      <c r="AU662" s="172"/>
      <c r="AV662" s="172"/>
      <c r="AW662" s="172"/>
      <c r="AX662" s="172"/>
      <c r="AY662" s="172"/>
      <c r="AZ662" s="172"/>
      <c r="BA662" s="172"/>
      <c r="BB662" s="172"/>
      <c r="BC662" s="172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  <c r="BT662" s="172"/>
      <c r="BU662" s="172"/>
      <c r="BV662" s="172"/>
      <c r="BW662" s="172"/>
      <c r="BX662" s="172"/>
      <c r="BY662" s="174"/>
      <c r="BZ662" s="172"/>
      <c r="CA662" s="172"/>
      <c r="CD662" s="194"/>
      <c r="CE662" s="194"/>
      <c r="CF662" s="194"/>
      <c r="CG662" s="194"/>
      <c r="CH662" s="195"/>
      <c r="CI662" s="194"/>
      <c r="CJ662" s="194"/>
      <c r="CK662" s="194"/>
      <c r="CL662" s="196"/>
      <c r="CM662" s="196"/>
      <c r="CN662" s="194"/>
      <c r="CO662" s="197"/>
      <c r="CP662" s="196"/>
      <c r="CQ662" s="196"/>
      <c r="CR662" s="196"/>
      <c r="CS662" s="196"/>
      <c r="CT662" s="196"/>
      <c r="CU662" s="196"/>
      <c r="CV662" s="194"/>
      <c r="CW662" s="194"/>
      <c r="CX662" s="194"/>
      <c r="CY662" s="194"/>
      <c r="CZ662" s="194"/>
      <c r="DA662" s="194"/>
      <c r="DB662" s="194"/>
      <c r="DC662" s="194"/>
      <c r="DD662" s="194"/>
      <c r="DE662" s="194"/>
      <c r="DF662" s="196"/>
      <c r="DG662" s="198"/>
      <c r="DH662" s="194"/>
      <c r="DI662" s="194"/>
    </row>
    <row r="663" spans="1:113" s="24" customFormat="1" hidden="1" x14ac:dyDescent="0.3">
      <c r="A663" s="172"/>
      <c r="B663" s="172"/>
      <c r="C663" s="172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2"/>
      <c r="AT663" s="172"/>
      <c r="AU663" s="172"/>
      <c r="AV663" s="172"/>
      <c r="AW663" s="172"/>
      <c r="AX663" s="172"/>
      <c r="AY663" s="172"/>
      <c r="AZ663" s="172"/>
      <c r="BA663" s="172"/>
      <c r="BB663" s="172"/>
      <c r="BC663" s="172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  <c r="BT663" s="172"/>
      <c r="BU663" s="172"/>
      <c r="BV663" s="172"/>
      <c r="BW663" s="172"/>
      <c r="BX663" s="172"/>
      <c r="BY663" s="174"/>
      <c r="BZ663" s="172"/>
      <c r="CA663" s="172"/>
      <c r="CD663" s="194"/>
      <c r="CE663" s="194"/>
      <c r="CF663" s="194"/>
      <c r="CG663" s="194"/>
      <c r="CH663" s="195"/>
      <c r="CI663" s="194"/>
      <c r="CJ663" s="194"/>
      <c r="CK663" s="194"/>
      <c r="CL663" s="196"/>
      <c r="CM663" s="196"/>
      <c r="CN663" s="194"/>
      <c r="CO663" s="197"/>
      <c r="CP663" s="196"/>
      <c r="CQ663" s="196"/>
      <c r="CR663" s="196"/>
      <c r="CS663" s="196"/>
      <c r="CT663" s="196"/>
      <c r="CU663" s="196"/>
      <c r="CV663" s="194"/>
      <c r="CW663" s="194"/>
      <c r="CX663" s="194"/>
      <c r="CY663" s="194"/>
      <c r="CZ663" s="194"/>
      <c r="DA663" s="194"/>
      <c r="DB663" s="194"/>
      <c r="DC663" s="194"/>
      <c r="DD663" s="194"/>
      <c r="DE663" s="194"/>
      <c r="DF663" s="196"/>
      <c r="DG663" s="198"/>
      <c r="DH663" s="194"/>
      <c r="DI663" s="194"/>
    </row>
    <row r="664" spans="1:113" s="24" customFormat="1" hidden="1" x14ac:dyDescent="0.3">
      <c r="A664" s="172"/>
      <c r="B664" s="172"/>
      <c r="C664" s="172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2"/>
      <c r="AT664" s="172"/>
      <c r="AU664" s="172"/>
      <c r="AV664" s="172"/>
      <c r="AW664" s="172"/>
      <c r="AX664" s="172"/>
      <c r="AY664" s="172"/>
      <c r="AZ664" s="172"/>
      <c r="BA664" s="172"/>
      <c r="BB664" s="172"/>
      <c r="BC664" s="172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172"/>
      <c r="BV664" s="172"/>
      <c r="BW664" s="172"/>
      <c r="BX664" s="172"/>
      <c r="BY664" s="174"/>
      <c r="BZ664" s="172"/>
      <c r="CA664" s="172"/>
      <c r="CD664" s="194"/>
      <c r="CE664" s="194"/>
      <c r="CF664" s="194"/>
      <c r="CG664" s="194"/>
      <c r="CH664" s="195"/>
      <c r="CI664" s="194"/>
      <c r="CJ664" s="194"/>
      <c r="CK664" s="194"/>
      <c r="CL664" s="196"/>
      <c r="CM664" s="196"/>
      <c r="CN664" s="194"/>
      <c r="CO664" s="197"/>
      <c r="CP664" s="196"/>
      <c r="CQ664" s="196"/>
      <c r="CR664" s="196"/>
      <c r="CS664" s="196"/>
      <c r="CT664" s="196"/>
      <c r="CU664" s="196"/>
      <c r="CV664" s="194"/>
      <c r="CW664" s="194"/>
      <c r="CX664" s="194"/>
      <c r="CY664" s="194"/>
      <c r="CZ664" s="194"/>
      <c r="DA664" s="194"/>
      <c r="DB664" s="194"/>
      <c r="DC664" s="194"/>
      <c r="DD664" s="194"/>
      <c r="DE664" s="194"/>
      <c r="DF664" s="196"/>
      <c r="DG664" s="198"/>
      <c r="DH664" s="194"/>
      <c r="DI664" s="194"/>
    </row>
    <row r="665" spans="1:113" s="24" customFormat="1" hidden="1" x14ac:dyDescent="0.3">
      <c r="A665" s="172"/>
      <c r="B665" s="172"/>
      <c r="C665" s="172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2"/>
      <c r="AT665" s="172"/>
      <c r="AU665" s="172"/>
      <c r="AV665" s="172"/>
      <c r="AW665" s="172"/>
      <c r="AX665" s="172"/>
      <c r="AY665" s="172"/>
      <c r="AZ665" s="172"/>
      <c r="BA665" s="172"/>
      <c r="BB665" s="172"/>
      <c r="BC665" s="172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  <c r="BT665" s="172"/>
      <c r="BU665" s="172"/>
      <c r="BV665" s="172"/>
      <c r="BW665" s="172"/>
      <c r="BX665" s="172"/>
      <c r="BY665" s="174"/>
      <c r="BZ665" s="172"/>
      <c r="CA665" s="172"/>
      <c r="CD665" s="194"/>
      <c r="CE665" s="194"/>
      <c r="CF665" s="194"/>
      <c r="CG665" s="194"/>
      <c r="CH665" s="195"/>
      <c r="CI665" s="194"/>
      <c r="CJ665" s="194"/>
      <c r="CK665" s="194"/>
      <c r="CL665" s="196"/>
      <c r="CM665" s="196"/>
      <c r="CN665" s="194"/>
      <c r="CO665" s="197"/>
      <c r="CP665" s="196"/>
      <c r="CQ665" s="196"/>
      <c r="CR665" s="196"/>
      <c r="CS665" s="196"/>
      <c r="CT665" s="196"/>
      <c r="CU665" s="196"/>
      <c r="CV665" s="194"/>
      <c r="CW665" s="194"/>
      <c r="CX665" s="194"/>
      <c r="CY665" s="194"/>
      <c r="CZ665" s="194"/>
      <c r="DA665" s="194"/>
      <c r="DB665" s="194"/>
      <c r="DC665" s="194"/>
      <c r="DD665" s="194"/>
      <c r="DE665" s="194"/>
      <c r="DF665" s="196"/>
      <c r="DG665" s="198"/>
      <c r="DH665" s="194"/>
      <c r="DI665" s="194"/>
    </row>
    <row r="666" spans="1:113" s="24" customFormat="1" hidden="1" x14ac:dyDescent="0.3">
      <c r="A666" s="172"/>
      <c r="B666" s="172"/>
      <c r="C666" s="172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2"/>
      <c r="AT666" s="172"/>
      <c r="AU666" s="172"/>
      <c r="AV666" s="172"/>
      <c r="AW666" s="172"/>
      <c r="AX666" s="172"/>
      <c r="AY666" s="172"/>
      <c r="AZ666" s="172"/>
      <c r="BA666" s="172"/>
      <c r="BB666" s="172"/>
      <c r="BC666" s="172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  <c r="BT666" s="172"/>
      <c r="BU666" s="172"/>
      <c r="BV666" s="172"/>
      <c r="BW666" s="172"/>
      <c r="BX666" s="172"/>
      <c r="BY666" s="174"/>
      <c r="BZ666" s="172"/>
      <c r="CA666" s="172"/>
      <c r="CD666" s="194"/>
      <c r="CE666" s="194"/>
      <c r="CF666" s="194"/>
      <c r="CG666" s="194"/>
      <c r="CH666" s="195"/>
      <c r="CI666" s="194"/>
      <c r="CJ666" s="194"/>
      <c r="CK666" s="194"/>
      <c r="CL666" s="196"/>
      <c r="CM666" s="196"/>
      <c r="CN666" s="194"/>
      <c r="CO666" s="197"/>
      <c r="CP666" s="196"/>
      <c r="CQ666" s="196"/>
      <c r="CR666" s="196"/>
      <c r="CS666" s="196"/>
      <c r="CT666" s="196"/>
      <c r="CU666" s="196"/>
      <c r="CV666" s="194"/>
      <c r="CW666" s="194"/>
      <c r="CX666" s="194"/>
      <c r="CY666" s="194"/>
      <c r="CZ666" s="194"/>
      <c r="DA666" s="194"/>
      <c r="DB666" s="194"/>
      <c r="DC666" s="194"/>
      <c r="DD666" s="194"/>
      <c r="DE666" s="194"/>
      <c r="DF666" s="196"/>
      <c r="DG666" s="198"/>
      <c r="DH666" s="194"/>
      <c r="DI666" s="194"/>
    </row>
    <row r="667" spans="1:113" s="24" customFormat="1" hidden="1" x14ac:dyDescent="0.3">
      <c r="A667" s="172"/>
      <c r="B667" s="172"/>
      <c r="C667" s="172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2"/>
      <c r="AT667" s="172"/>
      <c r="AU667" s="172"/>
      <c r="AV667" s="172"/>
      <c r="AW667" s="172"/>
      <c r="AX667" s="172"/>
      <c r="AY667" s="172"/>
      <c r="AZ667" s="172"/>
      <c r="BA667" s="172"/>
      <c r="BB667" s="172"/>
      <c r="BC667" s="172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  <c r="BT667" s="172"/>
      <c r="BU667" s="172"/>
      <c r="BV667" s="172"/>
      <c r="BW667" s="172"/>
      <c r="BX667" s="172"/>
      <c r="BY667" s="174"/>
      <c r="BZ667" s="172"/>
      <c r="CA667" s="172"/>
      <c r="CD667" s="194"/>
      <c r="CE667" s="194"/>
      <c r="CF667" s="194"/>
      <c r="CG667" s="194"/>
      <c r="CH667" s="195"/>
      <c r="CI667" s="194"/>
      <c r="CJ667" s="194"/>
      <c r="CK667" s="194"/>
      <c r="CL667" s="196"/>
      <c r="CM667" s="196"/>
      <c r="CN667" s="194"/>
      <c r="CO667" s="197"/>
      <c r="CP667" s="196"/>
      <c r="CQ667" s="196"/>
      <c r="CR667" s="196"/>
      <c r="CS667" s="196"/>
      <c r="CT667" s="196"/>
      <c r="CU667" s="196"/>
      <c r="CV667" s="194"/>
      <c r="CW667" s="194"/>
      <c r="CX667" s="194"/>
      <c r="CY667" s="194"/>
      <c r="CZ667" s="194"/>
      <c r="DA667" s="194"/>
      <c r="DB667" s="194"/>
      <c r="DC667" s="194"/>
      <c r="DD667" s="194"/>
      <c r="DE667" s="194"/>
      <c r="DF667" s="196"/>
      <c r="DG667" s="198"/>
      <c r="DH667" s="194"/>
      <c r="DI667" s="194"/>
    </row>
    <row r="668" spans="1:113" s="24" customFormat="1" hidden="1" x14ac:dyDescent="0.3">
      <c r="A668" s="172"/>
      <c r="B668" s="172"/>
      <c r="C668" s="172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2"/>
      <c r="AT668" s="172"/>
      <c r="AU668" s="172"/>
      <c r="AV668" s="172"/>
      <c r="AW668" s="172"/>
      <c r="AX668" s="172"/>
      <c r="AY668" s="172"/>
      <c r="AZ668" s="172"/>
      <c r="BA668" s="172"/>
      <c r="BB668" s="172"/>
      <c r="BC668" s="172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172"/>
      <c r="BV668" s="172"/>
      <c r="BW668" s="172"/>
      <c r="BX668" s="172"/>
      <c r="BY668" s="174"/>
      <c r="BZ668" s="172"/>
      <c r="CA668" s="172"/>
      <c r="CD668" s="194"/>
      <c r="CE668" s="194"/>
      <c r="CF668" s="194"/>
      <c r="CG668" s="194"/>
      <c r="CH668" s="195"/>
      <c r="CI668" s="194"/>
      <c r="CJ668" s="194"/>
      <c r="CK668" s="194"/>
      <c r="CL668" s="196"/>
      <c r="CM668" s="196"/>
      <c r="CN668" s="194"/>
      <c r="CO668" s="197"/>
      <c r="CP668" s="196"/>
      <c r="CQ668" s="196"/>
      <c r="CR668" s="196"/>
      <c r="CS668" s="196"/>
      <c r="CT668" s="196"/>
      <c r="CU668" s="196"/>
      <c r="CV668" s="194"/>
      <c r="CW668" s="194"/>
      <c r="CX668" s="194"/>
      <c r="CY668" s="194"/>
      <c r="CZ668" s="194"/>
      <c r="DA668" s="194"/>
      <c r="DB668" s="194"/>
      <c r="DC668" s="194"/>
      <c r="DD668" s="194"/>
      <c r="DE668" s="194"/>
      <c r="DF668" s="196"/>
      <c r="DG668" s="198"/>
      <c r="DH668" s="194"/>
      <c r="DI668" s="194"/>
    </row>
    <row r="669" spans="1:113" s="24" customFormat="1" hidden="1" x14ac:dyDescent="0.3">
      <c r="A669" s="172"/>
      <c r="B669" s="172"/>
      <c r="C669" s="172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2"/>
      <c r="AT669" s="172"/>
      <c r="AU669" s="172"/>
      <c r="AV669" s="172"/>
      <c r="AW669" s="172"/>
      <c r="AX669" s="172"/>
      <c r="AY669" s="172"/>
      <c r="AZ669" s="172"/>
      <c r="BA669" s="172"/>
      <c r="BB669" s="172"/>
      <c r="BC669" s="172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172"/>
      <c r="BV669" s="172"/>
      <c r="BW669" s="172"/>
      <c r="BX669" s="172"/>
      <c r="BY669" s="174"/>
      <c r="BZ669" s="172"/>
      <c r="CA669" s="172"/>
      <c r="CD669" s="194"/>
      <c r="CE669" s="194"/>
      <c r="CF669" s="194"/>
      <c r="CG669" s="194"/>
      <c r="CH669" s="195"/>
      <c r="CI669" s="194"/>
      <c r="CJ669" s="194"/>
      <c r="CK669" s="194"/>
      <c r="CL669" s="196"/>
      <c r="CM669" s="196"/>
      <c r="CN669" s="194"/>
      <c r="CO669" s="197"/>
      <c r="CP669" s="196"/>
      <c r="CQ669" s="196"/>
      <c r="CR669" s="196"/>
      <c r="CS669" s="196"/>
      <c r="CT669" s="196"/>
      <c r="CU669" s="196"/>
      <c r="CV669" s="194"/>
      <c r="CW669" s="194"/>
      <c r="CX669" s="194"/>
      <c r="CY669" s="194"/>
      <c r="CZ669" s="194"/>
      <c r="DA669" s="194"/>
      <c r="DB669" s="194"/>
      <c r="DC669" s="194"/>
      <c r="DD669" s="194"/>
      <c r="DE669" s="194"/>
      <c r="DF669" s="196"/>
      <c r="DG669" s="198"/>
      <c r="DH669" s="194"/>
      <c r="DI669" s="194"/>
    </row>
    <row r="670" spans="1:113" s="24" customFormat="1" hidden="1" x14ac:dyDescent="0.3">
      <c r="A670" s="172"/>
      <c r="B670" s="172"/>
      <c r="C670" s="172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2"/>
      <c r="AT670" s="172"/>
      <c r="AU670" s="172"/>
      <c r="AV670" s="172"/>
      <c r="AW670" s="172"/>
      <c r="AX670" s="172"/>
      <c r="AY670" s="172"/>
      <c r="AZ670" s="172"/>
      <c r="BA670" s="172"/>
      <c r="BB670" s="172"/>
      <c r="BC670" s="172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  <c r="BT670" s="172"/>
      <c r="BU670" s="172"/>
      <c r="BV670" s="172"/>
      <c r="BW670" s="172"/>
      <c r="BX670" s="172"/>
      <c r="BY670" s="174"/>
      <c r="BZ670" s="172"/>
      <c r="CA670" s="172"/>
      <c r="CD670" s="194"/>
      <c r="CE670" s="194"/>
      <c r="CF670" s="194"/>
      <c r="CG670" s="194"/>
      <c r="CH670" s="195"/>
      <c r="CI670" s="194"/>
      <c r="CJ670" s="194"/>
      <c r="CK670" s="194"/>
      <c r="CL670" s="196"/>
      <c r="CM670" s="196"/>
      <c r="CN670" s="194"/>
      <c r="CO670" s="197"/>
      <c r="CP670" s="196"/>
      <c r="CQ670" s="196"/>
      <c r="CR670" s="196"/>
      <c r="CS670" s="196"/>
      <c r="CT670" s="196"/>
      <c r="CU670" s="196"/>
      <c r="CV670" s="194"/>
      <c r="CW670" s="194"/>
      <c r="CX670" s="194"/>
      <c r="CY670" s="194"/>
      <c r="CZ670" s="194"/>
      <c r="DA670" s="194"/>
      <c r="DB670" s="194"/>
      <c r="DC670" s="194"/>
      <c r="DD670" s="194"/>
      <c r="DE670" s="194"/>
      <c r="DF670" s="196"/>
      <c r="DG670" s="198"/>
      <c r="DH670" s="194"/>
      <c r="DI670" s="194"/>
    </row>
    <row r="671" spans="1:113" s="24" customFormat="1" hidden="1" x14ac:dyDescent="0.3">
      <c r="A671" s="172"/>
      <c r="B671" s="172"/>
      <c r="C671" s="172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2"/>
      <c r="AT671" s="172"/>
      <c r="AU671" s="172"/>
      <c r="AV671" s="172"/>
      <c r="AW671" s="172"/>
      <c r="AX671" s="172"/>
      <c r="AY671" s="172"/>
      <c r="AZ671" s="172"/>
      <c r="BA671" s="172"/>
      <c r="BB671" s="172"/>
      <c r="BC671" s="172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  <c r="BT671" s="172"/>
      <c r="BU671" s="172"/>
      <c r="BV671" s="172"/>
      <c r="BW671" s="172"/>
      <c r="BX671" s="172"/>
      <c r="BY671" s="174"/>
      <c r="BZ671" s="172"/>
      <c r="CA671" s="172"/>
      <c r="CD671" s="194"/>
      <c r="CE671" s="194"/>
      <c r="CF671" s="194"/>
      <c r="CG671" s="194"/>
      <c r="CH671" s="195"/>
      <c r="CI671" s="194"/>
      <c r="CJ671" s="194"/>
      <c r="CK671" s="194"/>
      <c r="CL671" s="196"/>
      <c r="CM671" s="196"/>
      <c r="CN671" s="194"/>
      <c r="CO671" s="197"/>
      <c r="CP671" s="196"/>
      <c r="CQ671" s="196"/>
      <c r="CR671" s="196"/>
      <c r="CS671" s="196"/>
      <c r="CT671" s="196"/>
      <c r="CU671" s="196"/>
      <c r="CV671" s="194"/>
      <c r="CW671" s="194"/>
      <c r="CX671" s="194"/>
      <c r="CY671" s="194"/>
      <c r="CZ671" s="194"/>
      <c r="DA671" s="194"/>
      <c r="DB671" s="194"/>
      <c r="DC671" s="194"/>
      <c r="DD671" s="194"/>
      <c r="DE671" s="194"/>
      <c r="DF671" s="196"/>
      <c r="DG671" s="198"/>
      <c r="DH671" s="194"/>
      <c r="DI671" s="194"/>
    </row>
    <row r="672" spans="1:113" s="24" customFormat="1" hidden="1" x14ac:dyDescent="0.3">
      <c r="A672" s="172"/>
      <c r="B672" s="172"/>
      <c r="C672" s="172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2"/>
      <c r="AT672" s="172"/>
      <c r="AU672" s="172"/>
      <c r="AV672" s="172"/>
      <c r="AW672" s="172"/>
      <c r="AX672" s="172"/>
      <c r="AY672" s="172"/>
      <c r="AZ672" s="172"/>
      <c r="BA672" s="172"/>
      <c r="BB672" s="172"/>
      <c r="BC672" s="172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  <c r="BT672" s="172"/>
      <c r="BU672" s="172"/>
      <c r="BV672" s="172"/>
      <c r="BW672" s="172"/>
      <c r="BX672" s="172"/>
      <c r="BY672" s="174"/>
      <c r="BZ672" s="172"/>
      <c r="CA672" s="172"/>
      <c r="CD672" s="194"/>
      <c r="CE672" s="194"/>
      <c r="CF672" s="194"/>
      <c r="CG672" s="194"/>
      <c r="CH672" s="195"/>
      <c r="CI672" s="194"/>
      <c r="CJ672" s="194"/>
      <c r="CK672" s="194"/>
      <c r="CL672" s="196"/>
      <c r="CM672" s="196"/>
      <c r="CN672" s="194"/>
      <c r="CO672" s="197"/>
      <c r="CP672" s="196"/>
      <c r="CQ672" s="196"/>
      <c r="CR672" s="196"/>
      <c r="CS672" s="196"/>
      <c r="CT672" s="196"/>
      <c r="CU672" s="196"/>
      <c r="CV672" s="194"/>
      <c r="CW672" s="194"/>
      <c r="CX672" s="194"/>
      <c r="CY672" s="194"/>
      <c r="CZ672" s="194"/>
      <c r="DA672" s="194"/>
      <c r="DB672" s="194"/>
      <c r="DC672" s="194"/>
      <c r="DD672" s="194"/>
      <c r="DE672" s="194"/>
      <c r="DF672" s="196"/>
      <c r="DG672" s="198"/>
      <c r="DH672" s="194"/>
      <c r="DI672" s="194"/>
    </row>
    <row r="673" spans="1:113" s="24" customFormat="1" hidden="1" x14ac:dyDescent="0.3">
      <c r="A673" s="172"/>
      <c r="B673" s="172"/>
      <c r="C673" s="172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2"/>
      <c r="AT673" s="172"/>
      <c r="AU673" s="172"/>
      <c r="AV673" s="172"/>
      <c r="AW673" s="172"/>
      <c r="AX673" s="172"/>
      <c r="AY673" s="172"/>
      <c r="AZ673" s="172"/>
      <c r="BA673" s="172"/>
      <c r="BB673" s="172"/>
      <c r="BC673" s="172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  <c r="BT673" s="172"/>
      <c r="BU673" s="172"/>
      <c r="BV673" s="172"/>
      <c r="BW673" s="172"/>
      <c r="BX673" s="172"/>
      <c r="BY673" s="174"/>
      <c r="BZ673" s="172"/>
      <c r="CA673" s="172"/>
      <c r="CD673" s="194"/>
      <c r="CE673" s="194"/>
      <c r="CF673" s="194"/>
      <c r="CG673" s="194"/>
      <c r="CH673" s="195"/>
      <c r="CI673" s="194"/>
      <c r="CJ673" s="194"/>
      <c r="CK673" s="194"/>
      <c r="CL673" s="196"/>
      <c r="CM673" s="196"/>
      <c r="CN673" s="194"/>
      <c r="CO673" s="197"/>
      <c r="CP673" s="196"/>
      <c r="CQ673" s="196"/>
      <c r="CR673" s="196"/>
      <c r="CS673" s="196"/>
      <c r="CT673" s="196"/>
      <c r="CU673" s="196"/>
      <c r="CV673" s="194"/>
      <c r="CW673" s="194"/>
      <c r="CX673" s="194"/>
      <c r="CY673" s="194"/>
      <c r="CZ673" s="194"/>
      <c r="DA673" s="194"/>
      <c r="DB673" s="194"/>
      <c r="DC673" s="194"/>
      <c r="DD673" s="194"/>
      <c r="DE673" s="194"/>
      <c r="DF673" s="196"/>
      <c r="DG673" s="198"/>
      <c r="DH673" s="194"/>
      <c r="DI673" s="194"/>
    </row>
    <row r="674" spans="1:113" s="24" customFormat="1" hidden="1" x14ac:dyDescent="0.3">
      <c r="A674" s="172"/>
      <c r="B674" s="172"/>
      <c r="C674" s="172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2"/>
      <c r="AT674" s="172"/>
      <c r="AU674" s="172"/>
      <c r="AV674" s="172"/>
      <c r="AW674" s="172"/>
      <c r="AX674" s="172"/>
      <c r="AY674" s="172"/>
      <c r="AZ674" s="172"/>
      <c r="BA674" s="172"/>
      <c r="BB674" s="172"/>
      <c r="BC674" s="172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  <c r="BT674" s="172"/>
      <c r="BU674" s="172"/>
      <c r="BV674" s="172"/>
      <c r="BW674" s="172"/>
      <c r="BX674" s="172"/>
      <c r="BY674" s="174"/>
      <c r="BZ674" s="172"/>
      <c r="CA674" s="172"/>
      <c r="CD674" s="194"/>
      <c r="CE674" s="194"/>
      <c r="CF674" s="194"/>
      <c r="CG674" s="194"/>
      <c r="CH674" s="195"/>
      <c r="CI674" s="194"/>
      <c r="CJ674" s="194"/>
      <c r="CK674" s="194"/>
      <c r="CL674" s="196"/>
      <c r="CM674" s="196"/>
      <c r="CN674" s="194"/>
      <c r="CO674" s="197"/>
      <c r="CP674" s="196"/>
      <c r="CQ674" s="196"/>
      <c r="CR674" s="196"/>
      <c r="CS674" s="196"/>
      <c r="CT674" s="196"/>
      <c r="CU674" s="196"/>
      <c r="CV674" s="194"/>
      <c r="CW674" s="194"/>
      <c r="CX674" s="194"/>
      <c r="CY674" s="194"/>
      <c r="CZ674" s="194"/>
      <c r="DA674" s="194"/>
      <c r="DB674" s="194"/>
      <c r="DC674" s="194"/>
      <c r="DD674" s="194"/>
      <c r="DE674" s="194"/>
      <c r="DF674" s="196"/>
      <c r="DG674" s="198"/>
      <c r="DH674" s="194"/>
      <c r="DI674" s="194"/>
    </row>
    <row r="675" spans="1:113" s="24" customFormat="1" hidden="1" x14ac:dyDescent="0.3">
      <c r="A675" s="172"/>
      <c r="B675" s="172"/>
      <c r="C675" s="172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2"/>
      <c r="AT675" s="172"/>
      <c r="AU675" s="172"/>
      <c r="AV675" s="172"/>
      <c r="AW675" s="172"/>
      <c r="AX675" s="172"/>
      <c r="AY675" s="172"/>
      <c r="AZ675" s="172"/>
      <c r="BA675" s="172"/>
      <c r="BB675" s="172"/>
      <c r="BC675" s="172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  <c r="BT675" s="172"/>
      <c r="BU675" s="172"/>
      <c r="BV675" s="172"/>
      <c r="BW675" s="172"/>
      <c r="BX675" s="172"/>
      <c r="BY675" s="174"/>
      <c r="BZ675" s="172"/>
      <c r="CA675" s="172"/>
      <c r="CD675" s="194"/>
      <c r="CE675" s="194"/>
      <c r="CF675" s="194"/>
      <c r="CG675" s="194"/>
      <c r="CH675" s="195"/>
      <c r="CI675" s="194"/>
      <c r="CJ675" s="194"/>
      <c r="CK675" s="194"/>
      <c r="CL675" s="196"/>
      <c r="CM675" s="196"/>
      <c r="CN675" s="194"/>
      <c r="CO675" s="197"/>
      <c r="CP675" s="196"/>
      <c r="CQ675" s="196"/>
      <c r="CR675" s="196"/>
      <c r="CS675" s="196"/>
      <c r="CT675" s="196"/>
      <c r="CU675" s="196"/>
      <c r="CV675" s="194"/>
      <c r="CW675" s="194"/>
      <c r="CX675" s="194"/>
      <c r="CY675" s="194"/>
      <c r="CZ675" s="194"/>
      <c r="DA675" s="194"/>
      <c r="DB675" s="194"/>
      <c r="DC675" s="194"/>
      <c r="DD675" s="194"/>
      <c r="DE675" s="194"/>
      <c r="DF675" s="196"/>
      <c r="DG675" s="198"/>
      <c r="DH675" s="194"/>
      <c r="DI675" s="194"/>
    </row>
    <row r="676" spans="1:113" s="24" customFormat="1" hidden="1" x14ac:dyDescent="0.3">
      <c r="A676" s="172"/>
      <c r="B676" s="172"/>
      <c r="C676" s="172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2"/>
      <c r="AT676" s="172"/>
      <c r="AU676" s="172"/>
      <c r="AV676" s="172"/>
      <c r="AW676" s="172"/>
      <c r="AX676" s="172"/>
      <c r="AY676" s="172"/>
      <c r="AZ676" s="172"/>
      <c r="BA676" s="172"/>
      <c r="BB676" s="172"/>
      <c r="BC676" s="172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  <c r="BT676" s="172"/>
      <c r="BU676" s="172"/>
      <c r="BV676" s="172"/>
      <c r="BW676" s="172"/>
      <c r="BX676" s="172"/>
      <c r="BY676" s="174"/>
      <c r="BZ676" s="172"/>
      <c r="CA676" s="172"/>
      <c r="CD676" s="194"/>
      <c r="CE676" s="194"/>
      <c r="CF676" s="194"/>
      <c r="CG676" s="194"/>
      <c r="CH676" s="195"/>
      <c r="CI676" s="194"/>
      <c r="CJ676" s="194"/>
      <c r="CK676" s="194"/>
      <c r="CL676" s="196"/>
      <c r="CM676" s="196"/>
      <c r="CN676" s="194"/>
      <c r="CO676" s="197"/>
      <c r="CP676" s="196"/>
      <c r="CQ676" s="196"/>
      <c r="CR676" s="196"/>
      <c r="CS676" s="196"/>
      <c r="CT676" s="196"/>
      <c r="CU676" s="196"/>
      <c r="CV676" s="194"/>
      <c r="CW676" s="194"/>
      <c r="CX676" s="194"/>
      <c r="CY676" s="194"/>
      <c r="CZ676" s="194"/>
      <c r="DA676" s="194"/>
      <c r="DB676" s="194"/>
      <c r="DC676" s="194"/>
      <c r="DD676" s="194"/>
      <c r="DE676" s="194"/>
      <c r="DF676" s="196"/>
      <c r="DG676" s="198"/>
      <c r="DH676" s="194"/>
      <c r="DI676" s="194"/>
    </row>
    <row r="677" spans="1:113" s="24" customFormat="1" hidden="1" x14ac:dyDescent="0.3">
      <c r="A677" s="172"/>
      <c r="B677" s="172"/>
      <c r="C677" s="172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2"/>
      <c r="AT677" s="172"/>
      <c r="AU677" s="172"/>
      <c r="AV677" s="172"/>
      <c r="AW677" s="172"/>
      <c r="AX677" s="172"/>
      <c r="AY677" s="172"/>
      <c r="AZ677" s="172"/>
      <c r="BA677" s="172"/>
      <c r="BB677" s="172"/>
      <c r="BC677" s="172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  <c r="BT677" s="172"/>
      <c r="BU677" s="172"/>
      <c r="BV677" s="172"/>
      <c r="BW677" s="172"/>
      <c r="BX677" s="172"/>
      <c r="BY677" s="174"/>
      <c r="BZ677" s="172"/>
      <c r="CA677" s="172"/>
      <c r="CD677" s="194"/>
      <c r="CE677" s="194"/>
      <c r="CF677" s="194"/>
      <c r="CG677" s="194"/>
      <c r="CH677" s="195"/>
      <c r="CI677" s="194"/>
      <c r="CJ677" s="194"/>
      <c r="CK677" s="194"/>
      <c r="CL677" s="196"/>
      <c r="CM677" s="196"/>
      <c r="CN677" s="194"/>
      <c r="CO677" s="197"/>
      <c r="CP677" s="196"/>
      <c r="CQ677" s="196"/>
      <c r="CR677" s="196"/>
      <c r="CS677" s="196"/>
      <c r="CT677" s="196"/>
      <c r="CU677" s="196"/>
      <c r="CV677" s="194"/>
      <c r="CW677" s="194"/>
      <c r="CX677" s="194"/>
      <c r="CY677" s="194"/>
      <c r="CZ677" s="194"/>
      <c r="DA677" s="194"/>
      <c r="DB677" s="194"/>
      <c r="DC677" s="194"/>
      <c r="DD677" s="194"/>
      <c r="DE677" s="194"/>
      <c r="DF677" s="196"/>
      <c r="DG677" s="198"/>
      <c r="DH677" s="194"/>
      <c r="DI677" s="194"/>
    </row>
    <row r="678" spans="1:113" s="24" customFormat="1" hidden="1" x14ac:dyDescent="0.3">
      <c r="A678" s="172"/>
      <c r="B678" s="172"/>
      <c r="C678" s="172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2"/>
      <c r="AT678" s="172"/>
      <c r="AU678" s="172"/>
      <c r="AV678" s="172"/>
      <c r="AW678" s="172"/>
      <c r="AX678" s="172"/>
      <c r="AY678" s="172"/>
      <c r="AZ678" s="172"/>
      <c r="BA678" s="172"/>
      <c r="BB678" s="172"/>
      <c r="BC678" s="172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  <c r="BT678" s="172"/>
      <c r="BU678" s="172"/>
      <c r="BV678" s="172"/>
      <c r="BW678" s="172"/>
      <c r="BX678" s="172"/>
      <c r="BY678" s="174"/>
      <c r="BZ678" s="172"/>
      <c r="CA678" s="172"/>
      <c r="CD678" s="194"/>
      <c r="CE678" s="194"/>
      <c r="CF678" s="194"/>
      <c r="CG678" s="194"/>
      <c r="CH678" s="195"/>
      <c r="CI678" s="194"/>
      <c r="CJ678" s="194"/>
      <c r="CK678" s="194"/>
      <c r="CL678" s="196"/>
      <c r="CM678" s="196"/>
      <c r="CN678" s="194"/>
      <c r="CO678" s="197"/>
      <c r="CP678" s="196"/>
      <c r="CQ678" s="196"/>
      <c r="CR678" s="196"/>
      <c r="CS678" s="196"/>
      <c r="CT678" s="196"/>
      <c r="CU678" s="196"/>
      <c r="CV678" s="194"/>
      <c r="CW678" s="194"/>
      <c r="CX678" s="194"/>
      <c r="CY678" s="194"/>
      <c r="CZ678" s="194"/>
      <c r="DA678" s="194"/>
      <c r="DB678" s="194"/>
      <c r="DC678" s="194"/>
      <c r="DD678" s="194"/>
      <c r="DE678" s="194"/>
      <c r="DF678" s="196"/>
      <c r="DG678" s="198"/>
      <c r="DH678" s="194"/>
      <c r="DI678" s="194"/>
    </row>
    <row r="679" spans="1:113" s="24" customFormat="1" hidden="1" x14ac:dyDescent="0.3">
      <c r="A679" s="172"/>
      <c r="B679" s="172"/>
      <c r="C679" s="172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2"/>
      <c r="AT679" s="172"/>
      <c r="AU679" s="172"/>
      <c r="AV679" s="172"/>
      <c r="AW679" s="172"/>
      <c r="AX679" s="172"/>
      <c r="AY679" s="172"/>
      <c r="AZ679" s="172"/>
      <c r="BA679" s="172"/>
      <c r="BB679" s="172"/>
      <c r="BC679" s="172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  <c r="BT679" s="172"/>
      <c r="BU679" s="172"/>
      <c r="BV679" s="172"/>
      <c r="BW679" s="172"/>
      <c r="BX679" s="172"/>
      <c r="BY679" s="174"/>
      <c r="BZ679" s="172"/>
      <c r="CA679" s="172"/>
      <c r="CD679" s="194"/>
      <c r="CE679" s="194"/>
      <c r="CF679" s="194"/>
      <c r="CG679" s="194"/>
      <c r="CH679" s="195"/>
      <c r="CI679" s="194"/>
      <c r="CJ679" s="194"/>
      <c r="CK679" s="194"/>
      <c r="CL679" s="196"/>
      <c r="CM679" s="196"/>
      <c r="CN679" s="194"/>
      <c r="CO679" s="197"/>
      <c r="CP679" s="196"/>
      <c r="CQ679" s="196"/>
      <c r="CR679" s="196"/>
      <c r="CS679" s="196"/>
      <c r="CT679" s="196"/>
      <c r="CU679" s="196"/>
      <c r="CV679" s="194"/>
      <c r="CW679" s="194"/>
      <c r="CX679" s="194"/>
      <c r="CY679" s="194"/>
      <c r="CZ679" s="194"/>
      <c r="DA679" s="194"/>
      <c r="DB679" s="194"/>
      <c r="DC679" s="194"/>
      <c r="DD679" s="194"/>
      <c r="DE679" s="194"/>
      <c r="DF679" s="196"/>
      <c r="DG679" s="198"/>
      <c r="DH679" s="194"/>
      <c r="DI679" s="194"/>
    </row>
    <row r="680" spans="1:113" s="24" customFormat="1" hidden="1" x14ac:dyDescent="0.3">
      <c r="A680" s="172"/>
      <c r="B680" s="172"/>
      <c r="C680" s="172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2"/>
      <c r="AT680" s="172"/>
      <c r="AU680" s="172"/>
      <c r="AV680" s="172"/>
      <c r="AW680" s="172"/>
      <c r="AX680" s="172"/>
      <c r="AY680" s="172"/>
      <c r="AZ680" s="172"/>
      <c r="BA680" s="172"/>
      <c r="BB680" s="172"/>
      <c r="BC680" s="172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  <c r="BT680" s="172"/>
      <c r="BU680" s="172"/>
      <c r="BV680" s="172"/>
      <c r="BW680" s="172"/>
      <c r="BX680" s="172"/>
      <c r="BY680" s="174"/>
      <c r="BZ680" s="172"/>
      <c r="CA680" s="172"/>
      <c r="CD680" s="194"/>
      <c r="CE680" s="194"/>
      <c r="CF680" s="194"/>
      <c r="CG680" s="194"/>
      <c r="CH680" s="195"/>
      <c r="CI680" s="194"/>
      <c r="CJ680" s="194"/>
      <c r="CK680" s="194"/>
      <c r="CL680" s="196"/>
      <c r="CM680" s="196"/>
      <c r="CN680" s="194"/>
      <c r="CO680" s="197"/>
      <c r="CP680" s="196"/>
      <c r="CQ680" s="196"/>
      <c r="CR680" s="196"/>
      <c r="CS680" s="196"/>
      <c r="CT680" s="196"/>
      <c r="CU680" s="196"/>
      <c r="CV680" s="194"/>
      <c r="CW680" s="194"/>
      <c r="CX680" s="194"/>
      <c r="CY680" s="194"/>
      <c r="CZ680" s="194"/>
      <c r="DA680" s="194"/>
      <c r="DB680" s="194"/>
      <c r="DC680" s="194"/>
      <c r="DD680" s="194"/>
      <c r="DE680" s="194"/>
      <c r="DF680" s="196"/>
      <c r="DG680" s="198"/>
      <c r="DH680" s="194"/>
      <c r="DI680" s="194"/>
    </row>
    <row r="681" spans="1:113" s="24" customFormat="1" hidden="1" x14ac:dyDescent="0.3">
      <c r="A681" s="172"/>
      <c r="B681" s="172"/>
      <c r="C681" s="172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2"/>
      <c r="AT681" s="172"/>
      <c r="AU681" s="172"/>
      <c r="AV681" s="172"/>
      <c r="AW681" s="172"/>
      <c r="AX681" s="172"/>
      <c r="AY681" s="172"/>
      <c r="AZ681" s="172"/>
      <c r="BA681" s="172"/>
      <c r="BB681" s="172"/>
      <c r="BC681" s="172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  <c r="BT681" s="172"/>
      <c r="BU681" s="172"/>
      <c r="BV681" s="172"/>
      <c r="BW681" s="172"/>
      <c r="BX681" s="172"/>
      <c r="BY681" s="174"/>
      <c r="BZ681" s="172"/>
      <c r="CA681" s="172"/>
      <c r="CD681" s="194"/>
      <c r="CE681" s="194"/>
      <c r="CF681" s="194"/>
      <c r="CG681" s="194"/>
      <c r="CH681" s="195"/>
      <c r="CI681" s="194"/>
      <c r="CJ681" s="194"/>
      <c r="CK681" s="194"/>
      <c r="CL681" s="196"/>
      <c r="CM681" s="196"/>
      <c r="CN681" s="194"/>
      <c r="CO681" s="197"/>
      <c r="CP681" s="196"/>
      <c r="CQ681" s="196"/>
      <c r="CR681" s="196"/>
      <c r="CS681" s="196"/>
      <c r="CT681" s="196"/>
      <c r="CU681" s="196"/>
      <c r="CV681" s="194"/>
      <c r="CW681" s="194"/>
      <c r="CX681" s="194"/>
      <c r="CY681" s="194"/>
      <c r="CZ681" s="194"/>
      <c r="DA681" s="194"/>
      <c r="DB681" s="194"/>
      <c r="DC681" s="194"/>
      <c r="DD681" s="194"/>
      <c r="DE681" s="194"/>
      <c r="DF681" s="196"/>
      <c r="DG681" s="198"/>
      <c r="DH681" s="194"/>
      <c r="DI681" s="194"/>
    </row>
    <row r="682" spans="1:113" s="24" customFormat="1" hidden="1" x14ac:dyDescent="0.3">
      <c r="A682" s="172"/>
      <c r="B682" s="172"/>
      <c r="C682" s="172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2"/>
      <c r="AT682" s="172"/>
      <c r="AU682" s="172"/>
      <c r="AV682" s="172"/>
      <c r="AW682" s="172"/>
      <c r="AX682" s="172"/>
      <c r="AY682" s="172"/>
      <c r="AZ682" s="172"/>
      <c r="BA682" s="172"/>
      <c r="BB682" s="172"/>
      <c r="BC682" s="172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172"/>
      <c r="BV682" s="172"/>
      <c r="BW682" s="172"/>
      <c r="BX682" s="172"/>
      <c r="BY682" s="174"/>
      <c r="BZ682" s="172"/>
      <c r="CA682" s="172"/>
      <c r="CD682" s="194"/>
      <c r="CE682" s="194"/>
      <c r="CF682" s="194"/>
      <c r="CG682" s="194"/>
      <c r="CH682" s="195"/>
      <c r="CI682" s="194"/>
      <c r="CJ682" s="194"/>
      <c r="CK682" s="194"/>
      <c r="CL682" s="196"/>
      <c r="CM682" s="196"/>
      <c r="CN682" s="194"/>
      <c r="CO682" s="197"/>
      <c r="CP682" s="196"/>
      <c r="CQ682" s="196"/>
      <c r="CR682" s="196"/>
      <c r="CS682" s="196"/>
      <c r="CT682" s="196"/>
      <c r="CU682" s="196"/>
      <c r="CV682" s="194"/>
      <c r="CW682" s="194"/>
      <c r="CX682" s="194"/>
      <c r="CY682" s="194"/>
      <c r="CZ682" s="194"/>
      <c r="DA682" s="194"/>
      <c r="DB682" s="194"/>
      <c r="DC682" s="194"/>
      <c r="DD682" s="194"/>
      <c r="DE682" s="194"/>
      <c r="DF682" s="196"/>
      <c r="DG682" s="198"/>
      <c r="DH682" s="194"/>
      <c r="DI682" s="194"/>
    </row>
    <row r="683" spans="1:113" s="24" customFormat="1" hidden="1" x14ac:dyDescent="0.3">
      <c r="A683" s="172"/>
      <c r="B683" s="172"/>
      <c r="C683" s="172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2"/>
      <c r="AT683" s="172"/>
      <c r="AU683" s="172"/>
      <c r="AV683" s="172"/>
      <c r="AW683" s="172"/>
      <c r="AX683" s="172"/>
      <c r="AY683" s="172"/>
      <c r="AZ683" s="172"/>
      <c r="BA683" s="172"/>
      <c r="BB683" s="172"/>
      <c r="BC683" s="172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  <c r="BT683" s="172"/>
      <c r="BU683" s="172"/>
      <c r="BV683" s="172"/>
      <c r="BW683" s="172"/>
      <c r="BX683" s="172"/>
      <c r="BY683" s="174"/>
      <c r="BZ683" s="172"/>
      <c r="CA683" s="172"/>
      <c r="CD683" s="194"/>
      <c r="CE683" s="194"/>
      <c r="CF683" s="194"/>
      <c r="CG683" s="194"/>
      <c r="CH683" s="195"/>
      <c r="CI683" s="194"/>
      <c r="CJ683" s="194"/>
      <c r="CK683" s="194"/>
      <c r="CL683" s="196"/>
      <c r="CM683" s="196"/>
      <c r="CN683" s="194"/>
      <c r="CO683" s="197"/>
      <c r="CP683" s="196"/>
      <c r="CQ683" s="196"/>
      <c r="CR683" s="196"/>
      <c r="CS683" s="196"/>
      <c r="CT683" s="196"/>
      <c r="CU683" s="196"/>
      <c r="CV683" s="194"/>
      <c r="CW683" s="194"/>
      <c r="CX683" s="194"/>
      <c r="CY683" s="194"/>
      <c r="CZ683" s="194"/>
      <c r="DA683" s="194"/>
      <c r="DB683" s="194"/>
      <c r="DC683" s="194"/>
      <c r="DD683" s="194"/>
      <c r="DE683" s="194"/>
      <c r="DF683" s="196"/>
      <c r="DG683" s="198"/>
      <c r="DH683" s="194"/>
      <c r="DI683" s="194"/>
    </row>
    <row r="684" spans="1:113" s="24" customFormat="1" hidden="1" x14ac:dyDescent="0.3">
      <c r="A684" s="172"/>
      <c r="B684" s="172"/>
      <c r="C684" s="172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2"/>
      <c r="AT684" s="172"/>
      <c r="AU684" s="172"/>
      <c r="AV684" s="172"/>
      <c r="AW684" s="172"/>
      <c r="AX684" s="172"/>
      <c r="AY684" s="172"/>
      <c r="AZ684" s="172"/>
      <c r="BA684" s="172"/>
      <c r="BB684" s="172"/>
      <c r="BC684" s="172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  <c r="BT684" s="172"/>
      <c r="BU684" s="172"/>
      <c r="BV684" s="172"/>
      <c r="BW684" s="172"/>
      <c r="BX684" s="172"/>
      <c r="BY684" s="174"/>
      <c r="BZ684" s="172"/>
      <c r="CA684" s="172"/>
      <c r="CD684" s="194"/>
      <c r="CE684" s="194"/>
      <c r="CF684" s="194"/>
      <c r="CG684" s="194"/>
      <c r="CH684" s="195"/>
      <c r="CI684" s="194"/>
      <c r="CJ684" s="194"/>
      <c r="CK684" s="194"/>
      <c r="CL684" s="196"/>
      <c r="CM684" s="196"/>
      <c r="CN684" s="194"/>
      <c r="CO684" s="197"/>
      <c r="CP684" s="196"/>
      <c r="CQ684" s="196"/>
      <c r="CR684" s="196"/>
      <c r="CS684" s="196"/>
      <c r="CT684" s="196"/>
      <c r="CU684" s="196"/>
      <c r="CV684" s="194"/>
      <c r="CW684" s="194"/>
      <c r="CX684" s="194"/>
      <c r="CY684" s="194"/>
      <c r="CZ684" s="194"/>
      <c r="DA684" s="194"/>
      <c r="DB684" s="194"/>
      <c r="DC684" s="194"/>
      <c r="DD684" s="194"/>
      <c r="DE684" s="194"/>
      <c r="DF684" s="196"/>
      <c r="DG684" s="198"/>
      <c r="DH684" s="194"/>
      <c r="DI684" s="194"/>
    </row>
    <row r="685" spans="1:113" s="24" customFormat="1" hidden="1" x14ac:dyDescent="0.3">
      <c r="A685" s="172"/>
      <c r="B685" s="172"/>
      <c r="C685" s="172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2"/>
      <c r="AT685" s="172"/>
      <c r="AU685" s="172"/>
      <c r="AV685" s="172"/>
      <c r="AW685" s="172"/>
      <c r="AX685" s="172"/>
      <c r="AY685" s="172"/>
      <c r="AZ685" s="172"/>
      <c r="BA685" s="172"/>
      <c r="BB685" s="172"/>
      <c r="BC685" s="172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  <c r="BT685" s="172"/>
      <c r="BU685" s="172"/>
      <c r="BV685" s="172"/>
      <c r="BW685" s="172"/>
      <c r="BX685" s="172"/>
      <c r="BY685" s="174"/>
      <c r="BZ685" s="172"/>
      <c r="CA685" s="172"/>
      <c r="CD685" s="194"/>
      <c r="CE685" s="194"/>
      <c r="CF685" s="194"/>
      <c r="CG685" s="194"/>
      <c r="CH685" s="195"/>
      <c r="CI685" s="194"/>
      <c r="CJ685" s="194"/>
      <c r="CK685" s="194"/>
      <c r="CL685" s="196"/>
      <c r="CM685" s="196"/>
      <c r="CN685" s="194"/>
      <c r="CO685" s="197"/>
      <c r="CP685" s="196"/>
      <c r="CQ685" s="196"/>
      <c r="CR685" s="196"/>
      <c r="CS685" s="196"/>
      <c r="CT685" s="196"/>
      <c r="CU685" s="196"/>
      <c r="CV685" s="194"/>
      <c r="CW685" s="194"/>
      <c r="CX685" s="194"/>
      <c r="CY685" s="194"/>
      <c r="CZ685" s="194"/>
      <c r="DA685" s="194"/>
      <c r="DB685" s="194"/>
      <c r="DC685" s="194"/>
      <c r="DD685" s="194"/>
      <c r="DE685" s="194"/>
      <c r="DF685" s="196"/>
      <c r="DG685" s="198"/>
      <c r="DH685" s="194"/>
      <c r="DI685" s="194"/>
    </row>
    <row r="686" spans="1:113" s="24" customFormat="1" hidden="1" x14ac:dyDescent="0.3">
      <c r="A686" s="172"/>
      <c r="B686" s="172"/>
      <c r="C686" s="172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2"/>
      <c r="AT686" s="172"/>
      <c r="AU686" s="172"/>
      <c r="AV686" s="172"/>
      <c r="AW686" s="172"/>
      <c r="AX686" s="172"/>
      <c r="AY686" s="172"/>
      <c r="AZ686" s="172"/>
      <c r="BA686" s="172"/>
      <c r="BB686" s="172"/>
      <c r="BC686" s="172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  <c r="BT686" s="172"/>
      <c r="BU686" s="172"/>
      <c r="BV686" s="172"/>
      <c r="BW686" s="172"/>
      <c r="BX686" s="172"/>
      <c r="BY686" s="174"/>
      <c r="BZ686" s="172"/>
      <c r="CA686" s="172"/>
      <c r="CD686" s="194"/>
      <c r="CE686" s="194"/>
      <c r="CF686" s="194"/>
      <c r="CG686" s="194"/>
      <c r="CH686" s="195"/>
      <c r="CI686" s="194"/>
      <c r="CJ686" s="194"/>
      <c r="CK686" s="194"/>
      <c r="CL686" s="196"/>
      <c r="CM686" s="196"/>
      <c r="CN686" s="194"/>
      <c r="CO686" s="197"/>
      <c r="CP686" s="196"/>
      <c r="CQ686" s="196"/>
      <c r="CR686" s="196"/>
      <c r="CS686" s="196"/>
      <c r="CT686" s="196"/>
      <c r="CU686" s="196"/>
      <c r="CV686" s="194"/>
      <c r="CW686" s="194"/>
      <c r="CX686" s="194"/>
      <c r="CY686" s="194"/>
      <c r="CZ686" s="194"/>
      <c r="DA686" s="194"/>
      <c r="DB686" s="194"/>
      <c r="DC686" s="194"/>
      <c r="DD686" s="194"/>
      <c r="DE686" s="194"/>
      <c r="DF686" s="196"/>
      <c r="DG686" s="198"/>
      <c r="DH686" s="194"/>
      <c r="DI686" s="194"/>
    </row>
    <row r="687" spans="1:113" s="24" customFormat="1" hidden="1" x14ac:dyDescent="0.3">
      <c r="A687" s="172"/>
      <c r="B687" s="172"/>
      <c r="C687" s="172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2"/>
      <c r="AT687" s="172"/>
      <c r="AU687" s="172"/>
      <c r="AV687" s="172"/>
      <c r="AW687" s="172"/>
      <c r="AX687" s="172"/>
      <c r="AY687" s="172"/>
      <c r="AZ687" s="172"/>
      <c r="BA687" s="172"/>
      <c r="BB687" s="172"/>
      <c r="BC687" s="172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  <c r="BT687" s="172"/>
      <c r="BU687" s="172"/>
      <c r="BV687" s="172"/>
      <c r="BW687" s="172"/>
      <c r="BX687" s="172"/>
      <c r="BY687" s="174"/>
      <c r="BZ687" s="172"/>
      <c r="CA687" s="172"/>
      <c r="CD687" s="194"/>
      <c r="CE687" s="194"/>
      <c r="CF687" s="194"/>
      <c r="CG687" s="194"/>
      <c r="CH687" s="195"/>
      <c r="CI687" s="194"/>
      <c r="CJ687" s="194"/>
      <c r="CK687" s="194"/>
      <c r="CL687" s="196"/>
      <c r="CM687" s="196"/>
      <c r="CN687" s="194"/>
      <c r="CO687" s="197"/>
      <c r="CP687" s="196"/>
      <c r="CQ687" s="196"/>
      <c r="CR687" s="196"/>
      <c r="CS687" s="196"/>
      <c r="CT687" s="196"/>
      <c r="CU687" s="196"/>
      <c r="CV687" s="194"/>
      <c r="CW687" s="194"/>
      <c r="CX687" s="194"/>
      <c r="CY687" s="194"/>
      <c r="CZ687" s="194"/>
      <c r="DA687" s="194"/>
      <c r="DB687" s="194"/>
      <c r="DC687" s="194"/>
      <c r="DD687" s="194"/>
      <c r="DE687" s="194"/>
      <c r="DF687" s="196"/>
      <c r="DG687" s="198"/>
      <c r="DH687" s="194"/>
      <c r="DI687" s="194"/>
    </row>
    <row r="688" spans="1:113" s="24" customFormat="1" hidden="1" x14ac:dyDescent="0.3">
      <c r="A688" s="172"/>
      <c r="B688" s="172"/>
      <c r="C688" s="172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2"/>
      <c r="AT688" s="172"/>
      <c r="AU688" s="172"/>
      <c r="AV688" s="172"/>
      <c r="AW688" s="172"/>
      <c r="AX688" s="172"/>
      <c r="AY688" s="172"/>
      <c r="AZ688" s="172"/>
      <c r="BA688" s="172"/>
      <c r="BB688" s="172"/>
      <c r="BC688" s="172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  <c r="BT688" s="172"/>
      <c r="BU688" s="172"/>
      <c r="BV688" s="172"/>
      <c r="BW688" s="172"/>
      <c r="BX688" s="172"/>
      <c r="BY688" s="174"/>
      <c r="BZ688" s="172"/>
      <c r="CA688" s="172"/>
      <c r="CD688" s="194"/>
      <c r="CE688" s="194"/>
      <c r="CF688" s="194"/>
      <c r="CG688" s="194"/>
      <c r="CH688" s="195"/>
      <c r="CI688" s="194"/>
      <c r="CJ688" s="194"/>
      <c r="CK688" s="194"/>
      <c r="CL688" s="196"/>
      <c r="CM688" s="196"/>
      <c r="CN688" s="194"/>
      <c r="CO688" s="197"/>
      <c r="CP688" s="196"/>
      <c r="CQ688" s="196"/>
      <c r="CR688" s="196"/>
      <c r="CS688" s="196"/>
      <c r="CT688" s="196"/>
      <c r="CU688" s="196"/>
      <c r="CV688" s="194"/>
      <c r="CW688" s="194"/>
      <c r="CX688" s="194"/>
      <c r="CY688" s="194"/>
      <c r="CZ688" s="194"/>
      <c r="DA688" s="194"/>
      <c r="DB688" s="194"/>
      <c r="DC688" s="194"/>
      <c r="DD688" s="194"/>
      <c r="DE688" s="194"/>
      <c r="DF688" s="196"/>
      <c r="DG688" s="198"/>
      <c r="DH688" s="194"/>
      <c r="DI688" s="194"/>
    </row>
    <row r="689" spans="1:113" s="24" customFormat="1" hidden="1" x14ac:dyDescent="0.3">
      <c r="A689" s="172"/>
      <c r="B689" s="172"/>
      <c r="C689" s="172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  <c r="BT689" s="172"/>
      <c r="BU689" s="172"/>
      <c r="BV689" s="172"/>
      <c r="BW689" s="172"/>
      <c r="BX689" s="172"/>
      <c r="BY689" s="174"/>
      <c r="BZ689" s="172"/>
      <c r="CA689" s="172"/>
      <c r="CD689" s="194"/>
      <c r="CE689" s="194"/>
      <c r="CF689" s="194"/>
      <c r="CG689" s="194"/>
      <c r="CH689" s="195"/>
      <c r="CI689" s="194"/>
      <c r="CJ689" s="194"/>
      <c r="CK689" s="194"/>
      <c r="CL689" s="196"/>
      <c r="CM689" s="196"/>
      <c r="CN689" s="194"/>
      <c r="CO689" s="197"/>
      <c r="CP689" s="196"/>
      <c r="CQ689" s="196"/>
      <c r="CR689" s="196"/>
      <c r="CS689" s="196"/>
      <c r="CT689" s="196"/>
      <c r="CU689" s="196"/>
      <c r="CV689" s="194"/>
      <c r="CW689" s="194"/>
      <c r="CX689" s="194"/>
      <c r="CY689" s="194"/>
      <c r="CZ689" s="194"/>
      <c r="DA689" s="194"/>
      <c r="DB689" s="194"/>
      <c r="DC689" s="194"/>
      <c r="DD689" s="194"/>
      <c r="DE689" s="194"/>
      <c r="DF689" s="196"/>
      <c r="DG689" s="198"/>
      <c r="DH689" s="194"/>
      <c r="DI689" s="194"/>
    </row>
    <row r="690" spans="1:113" s="24" customFormat="1" hidden="1" x14ac:dyDescent="0.3">
      <c r="A690" s="172"/>
      <c r="B690" s="172"/>
      <c r="C690" s="172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2"/>
      <c r="AT690" s="172"/>
      <c r="AU690" s="172"/>
      <c r="AV690" s="172"/>
      <c r="AW690" s="172"/>
      <c r="AX690" s="172"/>
      <c r="AY690" s="172"/>
      <c r="AZ690" s="172"/>
      <c r="BA690" s="172"/>
      <c r="BB690" s="172"/>
      <c r="BC690" s="172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  <c r="BT690" s="172"/>
      <c r="BU690" s="172"/>
      <c r="BV690" s="172"/>
      <c r="BW690" s="172"/>
      <c r="BX690" s="172"/>
      <c r="BY690" s="174"/>
      <c r="BZ690" s="172"/>
      <c r="CA690" s="172"/>
      <c r="CD690" s="194"/>
      <c r="CE690" s="194"/>
      <c r="CF690" s="194"/>
      <c r="CG690" s="194"/>
      <c r="CH690" s="195"/>
      <c r="CI690" s="194"/>
      <c r="CJ690" s="194"/>
      <c r="CK690" s="194"/>
      <c r="CL690" s="196"/>
      <c r="CM690" s="196"/>
      <c r="CN690" s="194"/>
      <c r="CO690" s="197"/>
      <c r="CP690" s="196"/>
      <c r="CQ690" s="196"/>
      <c r="CR690" s="196"/>
      <c r="CS690" s="196"/>
      <c r="CT690" s="196"/>
      <c r="CU690" s="196"/>
      <c r="CV690" s="194"/>
      <c r="CW690" s="194"/>
      <c r="CX690" s="194"/>
      <c r="CY690" s="194"/>
      <c r="CZ690" s="194"/>
      <c r="DA690" s="194"/>
      <c r="DB690" s="194"/>
      <c r="DC690" s="194"/>
      <c r="DD690" s="194"/>
      <c r="DE690" s="194"/>
      <c r="DF690" s="196"/>
      <c r="DG690" s="198"/>
      <c r="DH690" s="194"/>
      <c r="DI690" s="194"/>
    </row>
    <row r="691" spans="1:113" s="24" customFormat="1" hidden="1" x14ac:dyDescent="0.3">
      <c r="A691" s="172"/>
      <c r="B691" s="172"/>
      <c r="C691" s="172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2"/>
      <c r="AT691" s="172"/>
      <c r="AU691" s="172"/>
      <c r="AV691" s="172"/>
      <c r="AW691" s="172"/>
      <c r="AX691" s="172"/>
      <c r="AY691" s="172"/>
      <c r="AZ691" s="172"/>
      <c r="BA691" s="172"/>
      <c r="BB691" s="172"/>
      <c r="BC691" s="172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  <c r="BT691" s="172"/>
      <c r="BU691" s="172"/>
      <c r="BV691" s="172"/>
      <c r="BW691" s="172"/>
      <c r="BX691" s="172"/>
      <c r="BY691" s="174"/>
      <c r="BZ691" s="172"/>
      <c r="CA691" s="172"/>
      <c r="CD691" s="194"/>
      <c r="CE691" s="194"/>
      <c r="CF691" s="194"/>
      <c r="CG691" s="194"/>
      <c r="CH691" s="195"/>
      <c r="CI691" s="194"/>
      <c r="CJ691" s="194"/>
      <c r="CK691" s="194"/>
      <c r="CL691" s="196"/>
      <c r="CM691" s="196"/>
      <c r="CN691" s="194"/>
      <c r="CO691" s="197"/>
      <c r="CP691" s="196"/>
      <c r="CQ691" s="196"/>
      <c r="CR691" s="196"/>
      <c r="CS691" s="196"/>
      <c r="CT691" s="196"/>
      <c r="CU691" s="196"/>
      <c r="CV691" s="194"/>
      <c r="CW691" s="194"/>
      <c r="CX691" s="194"/>
      <c r="CY691" s="194"/>
      <c r="CZ691" s="194"/>
      <c r="DA691" s="194"/>
      <c r="DB691" s="194"/>
      <c r="DC691" s="194"/>
      <c r="DD691" s="194"/>
      <c r="DE691" s="194"/>
      <c r="DF691" s="196"/>
      <c r="DG691" s="198"/>
      <c r="DH691" s="194"/>
      <c r="DI691" s="194"/>
    </row>
    <row r="692" spans="1:113" s="24" customFormat="1" hidden="1" x14ac:dyDescent="0.3">
      <c r="A692" s="172"/>
      <c r="B692" s="172"/>
      <c r="C692" s="172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172"/>
      <c r="BV692" s="172"/>
      <c r="BW692" s="172"/>
      <c r="BX692" s="172"/>
      <c r="BY692" s="174"/>
      <c r="BZ692" s="172"/>
      <c r="CA692" s="172"/>
      <c r="CD692" s="194"/>
      <c r="CE692" s="194"/>
      <c r="CF692" s="194"/>
      <c r="CG692" s="194"/>
      <c r="CH692" s="195"/>
      <c r="CI692" s="194"/>
      <c r="CJ692" s="194"/>
      <c r="CK692" s="194"/>
      <c r="CL692" s="196"/>
      <c r="CM692" s="196"/>
      <c r="CN692" s="194"/>
      <c r="CO692" s="197"/>
      <c r="CP692" s="196"/>
      <c r="CQ692" s="196"/>
      <c r="CR692" s="196"/>
      <c r="CS692" s="196"/>
      <c r="CT692" s="196"/>
      <c r="CU692" s="196"/>
      <c r="CV692" s="194"/>
      <c r="CW692" s="194"/>
      <c r="CX692" s="194"/>
      <c r="CY692" s="194"/>
      <c r="CZ692" s="194"/>
      <c r="DA692" s="194"/>
      <c r="DB692" s="194"/>
      <c r="DC692" s="194"/>
      <c r="DD692" s="194"/>
      <c r="DE692" s="194"/>
      <c r="DF692" s="196"/>
      <c r="DG692" s="198"/>
      <c r="DH692" s="194"/>
      <c r="DI692" s="194"/>
    </row>
    <row r="693" spans="1:113" s="24" customFormat="1" hidden="1" x14ac:dyDescent="0.3">
      <c r="A693" s="172"/>
      <c r="B693" s="172"/>
      <c r="C693" s="172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2"/>
      <c r="AT693" s="172"/>
      <c r="AU693" s="172"/>
      <c r="AV693" s="172"/>
      <c r="AW693" s="172"/>
      <c r="AX693" s="172"/>
      <c r="AY693" s="172"/>
      <c r="AZ693" s="172"/>
      <c r="BA693" s="172"/>
      <c r="BB693" s="172"/>
      <c r="BC693" s="172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  <c r="BT693" s="172"/>
      <c r="BU693" s="172"/>
      <c r="BV693" s="172"/>
      <c r="BW693" s="172"/>
      <c r="BX693" s="172"/>
      <c r="BY693" s="174"/>
      <c r="BZ693" s="172"/>
      <c r="CA693" s="172"/>
      <c r="CD693" s="194"/>
      <c r="CE693" s="194"/>
      <c r="CF693" s="194"/>
      <c r="CG693" s="194"/>
      <c r="CH693" s="195"/>
      <c r="CI693" s="194"/>
      <c r="CJ693" s="194"/>
      <c r="CK693" s="194"/>
      <c r="CL693" s="196"/>
      <c r="CM693" s="196"/>
      <c r="CN693" s="194"/>
      <c r="CO693" s="197"/>
      <c r="CP693" s="196"/>
      <c r="CQ693" s="196"/>
      <c r="CR693" s="196"/>
      <c r="CS693" s="196"/>
      <c r="CT693" s="196"/>
      <c r="CU693" s="196"/>
      <c r="CV693" s="194"/>
      <c r="CW693" s="194"/>
      <c r="CX693" s="194"/>
      <c r="CY693" s="194"/>
      <c r="CZ693" s="194"/>
      <c r="DA693" s="194"/>
      <c r="DB693" s="194"/>
      <c r="DC693" s="194"/>
      <c r="DD693" s="194"/>
      <c r="DE693" s="194"/>
      <c r="DF693" s="196"/>
      <c r="DG693" s="198"/>
      <c r="DH693" s="194"/>
      <c r="DI693" s="194"/>
    </row>
    <row r="694" spans="1:113" s="24" customFormat="1" hidden="1" x14ac:dyDescent="0.3">
      <c r="A694" s="172"/>
      <c r="B694" s="172"/>
      <c r="C694" s="172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2"/>
      <c r="AT694" s="172"/>
      <c r="AU694" s="172"/>
      <c r="AV694" s="172"/>
      <c r="AW694" s="172"/>
      <c r="AX694" s="172"/>
      <c r="AY694" s="172"/>
      <c r="AZ694" s="172"/>
      <c r="BA694" s="172"/>
      <c r="BB694" s="172"/>
      <c r="BC694" s="172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  <c r="BT694" s="172"/>
      <c r="BU694" s="172"/>
      <c r="BV694" s="172"/>
      <c r="BW694" s="172"/>
      <c r="BX694" s="172"/>
      <c r="BY694" s="174"/>
      <c r="BZ694" s="172"/>
      <c r="CA694" s="172"/>
      <c r="CD694" s="194"/>
      <c r="CE694" s="194"/>
      <c r="CF694" s="194"/>
      <c r="CG694" s="194"/>
      <c r="CH694" s="195"/>
      <c r="CI694" s="194"/>
      <c r="CJ694" s="194"/>
      <c r="CK694" s="194"/>
      <c r="CL694" s="196"/>
      <c r="CM694" s="196"/>
      <c r="CN694" s="194"/>
      <c r="CO694" s="197"/>
      <c r="CP694" s="196"/>
      <c r="CQ694" s="196"/>
      <c r="CR694" s="196"/>
      <c r="CS694" s="196"/>
      <c r="CT694" s="196"/>
      <c r="CU694" s="196"/>
      <c r="CV694" s="194"/>
      <c r="CW694" s="194"/>
      <c r="CX694" s="194"/>
      <c r="CY694" s="194"/>
      <c r="CZ694" s="194"/>
      <c r="DA694" s="194"/>
      <c r="DB694" s="194"/>
      <c r="DC694" s="194"/>
      <c r="DD694" s="194"/>
      <c r="DE694" s="194"/>
      <c r="DF694" s="196"/>
      <c r="DG694" s="198"/>
      <c r="DH694" s="194"/>
      <c r="DI694" s="194"/>
    </row>
    <row r="695" spans="1:113" s="24" customFormat="1" hidden="1" x14ac:dyDescent="0.3">
      <c r="A695" s="172"/>
      <c r="B695" s="172"/>
      <c r="C695" s="172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2"/>
      <c r="AT695" s="172"/>
      <c r="AU695" s="172"/>
      <c r="AV695" s="172"/>
      <c r="AW695" s="172"/>
      <c r="AX695" s="172"/>
      <c r="AY695" s="172"/>
      <c r="AZ695" s="172"/>
      <c r="BA695" s="172"/>
      <c r="BB695" s="172"/>
      <c r="BC695" s="172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  <c r="BT695" s="172"/>
      <c r="BU695" s="172"/>
      <c r="BV695" s="172"/>
      <c r="BW695" s="172"/>
      <c r="BX695" s="172"/>
      <c r="BY695" s="174"/>
      <c r="BZ695" s="172"/>
      <c r="CA695" s="172"/>
      <c r="CD695" s="194"/>
      <c r="CE695" s="194"/>
      <c r="CF695" s="194"/>
      <c r="CG695" s="194"/>
      <c r="CH695" s="195"/>
      <c r="CI695" s="194"/>
      <c r="CJ695" s="194"/>
      <c r="CK695" s="194"/>
      <c r="CL695" s="196"/>
      <c r="CM695" s="196"/>
      <c r="CN695" s="194"/>
      <c r="CO695" s="197"/>
      <c r="CP695" s="196"/>
      <c r="CQ695" s="196"/>
      <c r="CR695" s="196"/>
      <c r="CS695" s="196"/>
      <c r="CT695" s="196"/>
      <c r="CU695" s="196"/>
      <c r="CV695" s="194"/>
      <c r="CW695" s="194"/>
      <c r="CX695" s="194"/>
      <c r="CY695" s="194"/>
      <c r="CZ695" s="194"/>
      <c r="DA695" s="194"/>
      <c r="DB695" s="194"/>
      <c r="DC695" s="194"/>
      <c r="DD695" s="194"/>
      <c r="DE695" s="194"/>
      <c r="DF695" s="196"/>
      <c r="DG695" s="198"/>
      <c r="DH695" s="194"/>
      <c r="DI695" s="194"/>
    </row>
    <row r="696" spans="1:113" s="24" customFormat="1" hidden="1" x14ac:dyDescent="0.3">
      <c r="A696" s="172"/>
      <c r="B696" s="172"/>
      <c r="C696" s="172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2"/>
      <c r="AT696" s="172"/>
      <c r="AU696" s="172"/>
      <c r="AV696" s="172"/>
      <c r="AW696" s="172"/>
      <c r="AX696" s="172"/>
      <c r="AY696" s="172"/>
      <c r="AZ696" s="172"/>
      <c r="BA696" s="172"/>
      <c r="BB696" s="172"/>
      <c r="BC696" s="172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  <c r="BT696" s="172"/>
      <c r="BU696" s="172"/>
      <c r="BV696" s="172"/>
      <c r="BW696" s="172"/>
      <c r="BX696" s="172"/>
      <c r="BY696" s="174"/>
      <c r="BZ696" s="172"/>
      <c r="CA696" s="172"/>
      <c r="CD696" s="194"/>
      <c r="CE696" s="194"/>
      <c r="CF696" s="194"/>
      <c r="CG696" s="194"/>
      <c r="CH696" s="195"/>
      <c r="CI696" s="194"/>
      <c r="CJ696" s="194"/>
      <c r="CK696" s="194"/>
      <c r="CL696" s="196"/>
      <c r="CM696" s="196"/>
      <c r="CN696" s="194"/>
      <c r="CO696" s="197"/>
      <c r="CP696" s="196"/>
      <c r="CQ696" s="196"/>
      <c r="CR696" s="196"/>
      <c r="CS696" s="196"/>
      <c r="CT696" s="196"/>
      <c r="CU696" s="196"/>
      <c r="CV696" s="194"/>
      <c r="CW696" s="194"/>
      <c r="CX696" s="194"/>
      <c r="CY696" s="194"/>
      <c r="CZ696" s="194"/>
      <c r="DA696" s="194"/>
      <c r="DB696" s="194"/>
      <c r="DC696" s="194"/>
      <c r="DD696" s="194"/>
      <c r="DE696" s="194"/>
      <c r="DF696" s="196"/>
      <c r="DG696" s="198"/>
      <c r="DH696" s="194"/>
      <c r="DI696" s="194"/>
    </row>
    <row r="697" spans="1:113" s="24" customFormat="1" hidden="1" x14ac:dyDescent="0.3">
      <c r="A697" s="172"/>
      <c r="B697" s="172"/>
      <c r="C697" s="172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2"/>
      <c r="AT697" s="172"/>
      <c r="AU697" s="172"/>
      <c r="AV697" s="172"/>
      <c r="AW697" s="172"/>
      <c r="AX697" s="172"/>
      <c r="AY697" s="172"/>
      <c r="AZ697" s="172"/>
      <c r="BA697" s="172"/>
      <c r="BB697" s="172"/>
      <c r="BC697" s="172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  <c r="BT697" s="172"/>
      <c r="BU697" s="172"/>
      <c r="BV697" s="172"/>
      <c r="BW697" s="172"/>
      <c r="BX697" s="172"/>
      <c r="BY697" s="174"/>
      <c r="BZ697" s="172"/>
      <c r="CA697" s="172"/>
      <c r="CD697" s="194"/>
      <c r="CE697" s="194"/>
      <c r="CF697" s="194"/>
      <c r="CG697" s="194"/>
      <c r="CH697" s="195"/>
      <c r="CI697" s="194"/>
      <c r="CJ697" s="194"/>
      <c r="CK697" s="194"/>
      <c r="CL697" s="196"/>
      <c r="CM697" s="196"/>
      <c r="CN697" s="194"/>
      <c r="CO697" s="197"/>
      <c r="CP697" s="196"/>
      <c r="CQ697" s="196"/>
      <c r="CR697" s="196"/>
      <c r="CS697" s="196"/>
      <c r="CT697" s="196"/>
      <c r="CU697" s="196"/>
      <c r="CV697" s="194"/>
      <c r="CW697" s="194"/>
      <c r="CX697" s="194"/>
      <c r="CY697" s="194"/>
      <c r="CZ697" s="194"/>
      <c r="DA697" s="194"/>
      <c r="DB697" s="194"/>
      <c r="DC697" s="194"/>
      <c r="DD697" s="194"/>
      <c r="DE697" s="194"/>
      <c r="DF697" s="196"/>
      <c r="DG697" s="198"/>
      <c r="DH697" s="194"/>
      <c r="DI697" s="194"/>
    </row>
    <row r="698" spans="1:113" s="24" customFormat="1" hidden="1" x14ac:dyDescent="0.3">
      <c r="A698" s="172"/>
      <c r="B698" s="172"/>
      <c r="C698" s="172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2"/>
      <c r="AT698" s="172"/>
      <c r="AU698" s="172"/>
      <c r="AV698" s="172"/>
      <c r="AW698" s="172"/>
      <c r="AX698" s="172"/>
      <c r="AY698" s="172"/>
      <c r="AZ698" s="172"/>
      <c r="BA698" s="172"/>
      <c r="BB698" s="172"/>
      <c r="BC698" s="172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  <c r="BT698" s="172"/>
      <c r="BU698" s="172"/>
      <c r="BV698" s="172"/>
      <c r="BW698" s="172"/>
      <c r="BX698" s="172"/>
      <c r="BY698" s="174"/>
      <c r="BZ698" s="172"/>
      <c r="CA698" s="172"/>
      <c r="CD698" s="194"/>
      <c r="CE698" s="194"/>
      <c r="CF698" s="194"/>
      <c r="CG698" s="194"/>
      <c r="CH698" s="195"/>
      <c r="CI698" s="194"/>
      <c r="CJ698" s="194"/>
      <c r="CK698" s="194"/>
      <c r="CL698" s="196"/>
      <c r="CM698" s="196"/>
      <c r="CN698" s="194"/>
      <c r="CO698" s="197"/>
      <c r="CP698" s="196"/>
      <c r="CQ698" s="196"/>
      <c r="CR698" s="196"/>
      <c r="CS698" s="196"/>
      <c r="CT698" s="196"/>
      <c r="CU698" s="196"/>
      <c r="CV698" s="194"/>
      <c r="CW698" s="194"/>
      <c r="CX698" s="194"/>
      <c r="CY698" s="194"/>
      <c r="CZ698" s="194"/>
      <c r="DA698" s="194"/>
      <c r="DB698" s="194"/>
      <c r="DC698" s="194"/>
      <c r="DD698" s="194"/>
      <c r="DE698" s="194"/>
      <c r="DF698" s="196"/>
      <c r="DG698" s="198"/>
      <c r="DH698" s="194"/>
      <c r="DI698" s="194"/>
    </row>
    <row r="699" spans="1:113" s="24" customFormat="1" hidden="1" x14ac:dyDescent="0.3">
      <c r="A699" s="172"/>
      <c r="B699" s="172"/>
      <c r="C699" s="172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2"/>
      <c r="AT699" s="172"/>
      <c r="AU699" s="172"/>
      <c r="AV699" s="172"/>
      <c r="AW699" s="172"/>
      <c r="AX699" s="172"/>
      <c r="AY699" s="172"/>
      <c r="AZ699" s="172"/>
      <c r="BA699" s="172"/>
      <c r="BB699" s="172"/>
      <c r="BC699" s="172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  <c r="BT699" s="172"/>
      <c r="BU699" s="172"/>
      <c r="BV699" s="172"/>
      <c r="BW699" s="172"/>
      <c r="BX699" s="172"/>
      <c r="BY699" s="174"/>
      <c r="BZ699" s="172"/>
      <c r="CA699" s="172"/>
      <c r="CD699" s="194"/>
      <c r="CE699" s="194"/>
      <c r="CF699" s="194"/>
      <c r="CG699" s="194"/>
      <c r="CH699" s="195"/>
      <c r="CI699" s="194"/>
      <c r="CJ699" s="194"/>
      <c r="CK699" s="194"/>
      <c r="CL699" s="196"/>
      <c r="CM699" s="196"/>
      <c r="CN699" s="194"/>
      <c r="CO699" s="197"/>
      <c r="CP699" s="196"/>
      <c r="CQ699" s="196"/>
      <c r="CR699" s="196"/>
      <c r="CS699" s="196"/>
      <c r="CT699" s="196"/>
      <c r="CU699" s="196"/>
      <c r="CV699" s="194"/>
      <c r="CW699" s="194"/>
      <c r="CX699" s="194"/>
      <c r="CY699" s="194"/>
      <c r="CZ699" s="194"/>
      <c r="DA699" s="194"/>
      <c r="DB699" s="194"/>
      <c r="DC699" s="194"/>
      <c r="DD699" s="194"/>
      <c r="DE699" s="194"/>
      <c r="DF699" s="196"/>
      <c r="DG699" s="198"/>
      <c r="DH699" s="194"/>
      <c r="DI699" s="194"/>
    </row>
    <row r="700" spans="1:113" s="24" customFormat="1" hidden="1" x14ac:dyDescent="0.3">
      <c r="A700" s="172"/>
      <c r="B700" s="172"/>
      <c r="C700" s="172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2"/>
      <c r="AT700" s="172"/>
      <c r="AU700" s="172"/>
      <c r="AV700" s="172"/>
      <c r="AW700" s="172"/>
      <c r="AX700" s="172"/>
      <c r="AY700" s="172"/>
      <c r="AZ700" s="172"/>
      <c r="BA700" s="172"/>
      <c r="BB700" s="172"/>
      <c r="BC700" s="172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  <c r="BT700" s="172"/>
      <c r="BU700" s="172"/>
      <c r="BV700" s="172"/>
      <c r="BW700" s="172"/>
      <c r="BX700" s="172"/>
      <c r="BY700" s="174"/>
      <c r="BZ700" s="172"/>
      <c r="CA700" s="172"/>
      <c r="CD700" s="194"/>
      <c r="CE700" s="194"/>
      <c r="CF700" s="194"/>
      <c r="CG700" s="194"/>
      <c r="CH700" s="195"/>
      <c r="CI700" s="194"/>
      <c r="CJ700" s="194"/>
      <c r="CK700" s="194"/>
      <c r="CL700" s="196"/>
      <c r="CM700" s="196"/>
      <c r="CN700" s="194"/>
      <c r="CO700" s="197"/>
      <c r="CP700" s="196"/>
      <c r="CQ700" s="196"/>
      <c r="CR700" s="196"/>
      <c r="CS700" s="196"/>
      <c r="CT700" s="196"/>
      <c r="CU700" s="196"/>
      <c r="CV700" s="194"/>
      <c r="CW700" s="194"/>
      <c r="CX700" s="194"/>
      <c r="CY700" s="194"/>
      <c r="CZ700" s="194"/>
      <c r="DA700" s="194"/>
      <c r="DB700" s="194"/>
      <c r="DC700" s="194"/>
      <c r="DD700" s="194"/>
      <c r="DE700" s="194"/>
      <c r="DF700" s="196"/>
      <c r="DG700" s="198"/>
      <c r="DH700" s="194"/>
      <c r="DI700" s="194"/>
    </row>
    <row r="701" spans="1:113" s="24" customFormat="1" hidden="1" x14ac:dyDescent="0.3">
      <c r="A701" s="172"/>
      <c r="B701" s="172"/>
      <c r="C701" s="172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2"/>
      <c r="AT701" s="172"/>
      <c r="AU701" s="172"/>
      <c r="AV701" s="172"/>
      <c r="AW701" s="172"/>
      <c r="AX701" s="172"/>
      <c r="AY701" s="172"/>
      <c r="AZ701" s="172"/>
      <c r="BA701" s="172"/>
      <c r="BB701" s="172"/>
      <c r="BC701" s="172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  <c r="BT701" s="172"/>
      <c r="BU701" s="172"/>
      <c r="BV701" s="172"/>
      <c r="BW701" s="172"/>
      <c r="BX701" s="172"/>
      <c r="BY701" s="174"/>
      <c r="BZ701" s="172"/>
      <c r="CA701" s="172"/>
      <c r="CD701" s="194"/>
      <c r="CE701" s="194"/>
      <c r="CF701" s="194"/>
      <c r="CG701" s="194"/>
      <c r="CH701" s="195"/>
      <c r="CI701" s="194"/>
      <c r="CJ701" s="194"/>
      <c r="CK701" s="194"/>
      <c r="CL701" s="196"/>
      <c r="CM701" s="196"/>
      <c r="CN701" s="194"/>
      <c r="CO701" s="197"/>
      <c r="CP701" s="196"/>
      <c r="CQ701" s="196"/>
      <c r="CR701" s="196"/>
      <c r="CS701" s="196"/>
      <c r="CT701" s="196"/>
      <c r="CU701" s="196"/>
      <c r="CV701" s="194"/>
      <c r="CW701" s="194"/>
      <c r="CX701" s="194"/>
      <c r="CY701" s="194"/>
      <c r="CZ701" s="194"/>
      <c r="DA701" s="194"/>
      <c r="DB701" s="194"/>
      <c r="DC701" s="194"/>
      <c r="DD701" s="194"/>
      <c r="DE701" s="194"/>
      <c r="DF701" s="196"/>
      <c r="DG701" s="198"/>
      <c r="DH701" s="194"/>
      <c r="DI701" s="194"/>
    </row>
    <row r="702" spans="1:113" s="24" customFormat="1" hidden="1" x14ac:dyDescent="0.3">
      <c r="A702" s="172"/>
      <c r="B702" s="172"/>
      <c r="C702" s="172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2"/>
      <c r="AT702" s="172"/>
      <c r="AU702" s="172"/>
      <c r="AV702" s="172"/>
      <c r="AW702" s="172"/>
      <c r="AX702" s="172"/>
      <c r="AY702" s="172"/>
      <c r="AZ702" s="172"/>
      <c r="BA702" s="172"/>
      <c r="BB702" s="172"/>
      <c r="BC702" s="172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  <c r="BT702" s="172"/>
      <c r="BU702" s="172"/>
      <c r="BV702" s="172"/>
      <c r="BW702" s="172"/>
      <c r="BX702" s="172"/>
      <c r="BY702" s="174"/>
      <c r="BZ702" s="172"/>
      <c r="CA702" s="172"/>
      <c r="CD702" s="194"/>
      <c r="CE702" s="194"/>
      <c r="CF702" s="194"/>
      <c r="CG702" s="194"/>
      <c r="CH702" s="195"/>
      <c r="CI702" s="194"/>
      <c r="CJ702" s="194"/>
      <c r="CK702" s="194"/>
      <c r="CL702" s="196"/>
      <c r="CM702" s="196"/>
      <c r="CN702" s="194"/>
      <c r="CO702" s="197"/>
      <c r="CP702" s="196"/>
      <c r="CQ702" s="196"/>
      <c r="CR702" s="196"/>
      <c r="CS702" s="196"/>
      <c r="CT702" s="196"/>
      <c r="CU702" s="196"/>
      <c r="CV702" s="194"/>
      <c r="CW702" s="194"/>
      <c r="CX702" s="194"/>
      <c r="CY702" s="194"/>
      <c r="CZ702" s="194"/>
      <c r="DA702" s="194"/>
      <c r="DB702" s="194"/>
      <c r="DC702" s="194"/>
      <c r="DD702" s="194"/>
      <c r="DE702" s="194"/>
      <c r="DF702" s="196"/>
      <c r="DG702" s="198"/>
      <c r="DH702" s="194"/>
      <c r="DI702" s="194"/>
    </row>
    <row r="703" spans="1:113" s="24" customFormat="1" hidden="1" x14ac:dyDescent="0.3">
      <c r="A703" s="172"/>
      <c r="B703" s="172"/>
      <c r="C703" s="172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2"/>
      <c r="AT703" s="172"/>
      <c r="AU703" s="172"/>
      <c r="AV703" s="172"/>
      <c r="AW703" s="172"/>
      <c r="AX703" s="172"/>
      <c r="AY703" s="172"/>
      <c r="AZ703" s="172"/>
      <c r="BA703" s="172"/>
      <c r="BB703" s="172"/>
      <c r="BC703" s="172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  <c r="BT703" s="172"/>
      <c r="BU703" s="172"/>
      <c r="BV703" s="172"/>
      <c r="BW703" s="172"/>
      <c r="BX703" s="172"/>
      <c r="BY703" s="174"/>
      <c r="BZ703" s="172"/>
      <c r="CA703" s="172"/>
      <c r="CD703" s="194"/>
      <c r="CE703" s="194"/>
      <c r="CF703" s="194"/>
      <c r="CG703" s="194"/>
      <c r="CH703" s="195"/>
      <c r="CI703" s="194"/>
      <c r="CJ703" s="194"/>
      <c r="CK703" s="194"/>
      <c r="CL703" s="196"/>
      <c r="CM703" s="196"/>
      <c r="CN703" s="194"/>
      <c r="CO703" s="197"/>
      <c r="CP703" s="196"/>
      <c r="CQ703" s="196"/>
      <c r="CR703" s="196"/>
      <c r="CS703" s="196"/>
      <c r="CT703" s="196"/>
      <c r="CU703" s="196"/>
      <c r="CV703" s="194"/>
      <c r="CW703" s="194"/>
      <c r="CX703" s="194"/>
      <c r="CY703" s="194"/>
      <c r="CZ703" s="194"/>
      <c r="DA703" s="194"/>
      <c r="DB703" s="194"/>
      <c r="DC703" s="194"/>
      <c r="DD703" s="194"/>
      <c r="DE703" s="194"/>
      <c r="DF703" s="196"/>
      <c r="DG703" s="198"/>
      <c r="DH703" s="194"/>
      <c r="DI703" s="194"/>
    </row>
    <row r="704" spans="1:113" s="24" customFormat="1" hidden="1" x14ac:dyDescent="0.3">
      <c r="A704" s="172"/>
      <c r="B704" s="172"/>
      <c r="C704" s="172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2"/>
      <c r="AT704" s="172"/>
      <c r="AU704" s="172"/>
      <c r="AV704" s="172"/>
      <c r="AW704" s="172"/>
      <c r="AX704" s="172"/>
      <c r="AY704" s="172"/>
      <c r="AZ704" s="172"/>
      <c r="BA704" s="172"/>
      <c r="BB704" s="172"/>
      <c r="BC704" s="172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  <c r="BT704" s="172"/>
      <c r="BU704" s="172"/>
      <c r="BV704" s="172"/>
      <c r="BW704" s="172"/>
      <c r="BX704" s="172"/>
      <c r="BY704" s="174"/>
      <c r="BZ704" s="172"/>
      <c r="CA704" s="172"/>
      <c r="CD704" s="194"/>
      <c r="CE704" s="194"/>
      <c r="CF704" s="194"/>
      <c r="CG704" s="194"/>
      <c r="CH704" s="195"/>
      <c r="CI704" s="194"/>
      <c r="CJ704" s="194"/>
      <c r="CK704" s="194"/>
      <c r="CL704" s="196"/>
      <c r="CM704" s="196"/>
      <c r="CN704" s="194"/>
      <c r="CO704" s="197"/>
      <c r="CP704" s="196"/>
      <c r="CQ704" s="196"/>
      <c r="CR704" s="196"/>
      <c r="CS704" s="196"/>
      <c r="CT704" s="196"/>
      <c r="CU704" s="196"/>
      <c r="CV704" s="194"/>
      <c r="CW704" s="194"/>
      <c r="CX704" s="194"/>
      <c r="CY704" s="194"/>
      <c r="CZ704" s="194"/>
      <c r="DA704" s="194"/>
      <c r="DB704" s="194"/>
      <c r="DC704" s="194"/>
      <c r="DD704" s="194"/>
      <c r="DE704" s="194"/>
      <c r="DF704" s="196"/>
      <c r="DG704" s="198"/>
      <c r="DH704" s="194"/>
      <c r="DI704" s="194"/>
    </row>
    <row r="705" spans="1:113" s="24" customFormat="1" hidden="1" x14ac:dyDescent="0.3">
      <c r="A705" s="172"/>
      <c r="B705" s="172"/>
      <c r="C705" s="172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2"/>
      <c r="AT705" s="172"/>
      <c r="AU705" s="172"/>
      <c r="AV705" s="172"/>
      <c r="AW705" s="172"/>
      <c r="AX705" s="172"/>
      <c r="AY705" s="172"/>
      <c r="AZ705" s="172"/>
      <c r="BA705" s="172"/>
      <c r="BB705" s="172"/>
      <c r="BC705" s="172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  <c r="BT705" s="172"/>
      <c r="BU705" s="172"/>
      <c r="BV705" s="172"/>
      <c r="BW705" s="172"/>
      <c r="BX705" s="172"/>
      <c r="BY705" s="174"/>
      <c r="BZ705" s="172"/>
      <c r="CA705" s="172"/>
      <c r="CD705" s="194"/>
      <c r="CE705" s="194"/>
      <c r="CF705" s="194"/>
      <c r="CG705" s="194"/>
      <c r="CH705" s="195"/>
      <c r="CI705" s="194"/>
      <c r="CJ705" s="194"/>
      <c r="CK705" s="194"/>
      <c r="CL705" s="196"/>
      <c r="CM705" s="196"/>
      <c r="CN705" s="194"/>
      <c r="CO705" s="197"/>
      <c r="CP705" s="196"/>
      <c r="CQ705" s="196"/>
      <c r="CR705" s="196"/>
      <c r="CS705" s="196"/>
      <c r="CT705" s="196"/>
      <c r="CU705" s="196"/>
      <c r="CV705" s="194"/>
      <c r="CW705" s="194"/>
      <c r="CX705" s="194"/>
      <c r="CY705" s="194"/>
      <c r="CZ705" s="194"/>
      <c r="DA705" s="194"/>
      <c r="DB705" s="194"/>
      <c r="DC705" s="194"/>
      <c r="DD705" s="194"/>
      <c r="DE705" s="194"/>
      <c r="DF705" s="196"/>
      <c r="DG705" s="198"/>
      <c r="DH705" s="194"/>
      <c r="DI705" s="194"/>
    </row>
    <row r="706" spans="1:113" s="24" customFormat="1" hidden="1" x14ac:dyDescent="0.3">
      <c r="A706" s="172"/>
      <c r="B706" s="172"/>
      <c r="C706" s="172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2"/>
      <c r="AT706" s="172"/>
      <c r="AU706" s="172"/>
      <c r="AV706" s="172"/>
      <c r="AW706" s="172"/>
      <c r="AX706" s="172"/>
      <c r="AY706" s="172"/>
      <c r="AZ706" s="172"/>
      <c r="BA706" s="172"/>
      <c r="BB706" s="172"/>
      <c r="BC706" s="172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  <c r="BT706" s="172"/>
      <c r="BU706" s="172"/>
      <c r="BV706" s="172"/>
      <c r="BW706" s="172"/>
      <c r="BX706" s="172"/>
      <c r="BY706" s="174"/>
      <c r="BZ706" s="172"/>
      <c r="CA706" s="172"/>
      <c r="CD706" s="194"/>
      <c r="CE706" s="194"/>
      <c r="CF706" s="194"/>
      <c r="CG706" s="194"/>
      <c r="CH706" s="195"/>
      <c r="CI706" s="194"/>
      <c r="CJ706" s="194"/>
      <c r="CK706" s="194"/>
      <c r="CL706" s="196"/>
      <c r="CM706" s="196"/>
      <c r="CN706" s="194"/>
      <c r="CO706" s="197"/>
      <c r="CP706" s="196"/>
      <c r="CQ706" s="196"/>
      <c r="CR706" s="196"/>
      <c r="CS706" s="196"/>
      <c r="CT706" s="196"/>
      <c r="CU706" s="196"/>
      <c r="CV706" s="194"/>
      <c r="CW706" s="194"/>
      <c r="CX706" s="194"/>
      <c r="CY706" s="194"/>
      <c r="CZ706" s="194"/>
      <c r="DA706" s="194"/>
      <c r="DB706" s="194"/>
      <c r="DC706" s="194"/>
      <c r="DD706" s="194"/>
      <c r="DE706" s="194"/>
      <c r="DF706" s="196"/>
      <c r="DG706" s="198"/>
      <c r="DH706" s="194"/>
      <c r="DI706" s="194"/>
    </row>
    <row r="707" spans="1:113" s="24" customFormat="1" hidden="1" x14ac:dyDescent="0.3">
      <c r="A707" s="172"/>
      <c r="B707" s="172"/>
      <c r="C707" s="172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2"/>
      <c r="AT707" s="172"/>
      <c r="AU707" s="172"/>
      <c r="AV707" s="172"/>
      <c r="AW707" s="172"/>
      <c r="AX707" s="172"/>
      <c r="AY707" s="172"/>
      <c r="AZ707" s="172"/>
      <c r="BA707" s="172"/>
      <c r="BB707" s="172"/>
      <c r="BC707" s="172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  <c r="BT707" s="172"/>
      <c r="BU707" s="172"/>
      <c r="BV707" s="172"/>
      <c r="BW707" s="172"/>
      <c r="BX707" s="172"/>
      <c r="BY707" s="174"/>
      <c r="BZ707" s="172"/>
      <c r="CA707" s="172"/>
      <c r="CD707" s="194"/>
      <c r="CE707" s="194"/>
      <c r="CF707" s="194"/>
      <c r="CG707" s="194"/>
      <c r="CH707" s="195"/>
      <c r="CI707" s="194"/>
      <c r="CJ707" s="194"/>
      <c r="CK707" s="194"/>
      <c r="CL707" s="196"/>
      <c r="CM707" s="196"/>
      <c r="CN707" s="194"/>
      <c r="CO707" s="197"/>
      <c r="CP707" s="196"/>
      <c r="CQ707" s="196"/>
      <c r="CR707" s="196"/>
      <c r="CS707" s="196"/>
      <c r="CT707" s="196"/>
      <c r="CU707" s="196"/>
      <c r="CV707" s="194"/>
      <c r="CW707" s="194"/>
      <c r="CX707" s="194"/>
      <c r="CY707" s="194"/>
      <c r="CZ707" s="194"/>
      <c r="DA707" s="194"/>
      <c r="DB707" s="194"/>
      <c r="DC707" s="194"/>
      <c r="DD707" s="194"/>
      <c r="DE707" s="194"/>
      <c r="DF707" s="196"/>
      <c r="DG707" s="198"/>
      <c r="DH707" s="194"/>
      <c r="DI707" s="194"/>
    </row>
    <row r="708" spans="1:113" s="24" customFormat="1" hidden="1" x14ac:dyDescent="0.3">
      <c r="A708" s="172"/>
      <c r="B708" s="172"/>
      <c r="C708" s="172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2"/>
      <c r="AT708" s="172"/>
      <c r="AU708" s="172"/>
      <c r="AV708" s="172"/>
      <c r="AW708" s="172"/>
      <c r="AX708" s="172"/>
      <c r="AY708" s="172"/>
      <c r="AZ708" s="172"/>
      <c r="BA708" s="172"/>
      <c r="BB708" s="172"/>
      <c r="BC708" s="172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  <c r="BT708" s="172"/>
      <c r="BU708" s="172"/>
      <c r="BV708" s="172"/>
      <c r="BW708" s="172"/>
      <c r="BX708" s="172"/>
      <c r="BY708" s="174"/>
      <c r="BZ708" s="172"/>
      <c r="CA708" s="172"/>
      <c r="CD708" s="194"/>
      <c r="CE708" s="194"/>
      <c r="CF708" s="194"/>
      <c r="CG708" s="194"/>
      <c r="CH708" s="195"/>
      <c r="CI708" s="194"/>
      <c r="CJ708" s="194"/>
      <c r="CK708" s="194"/>
      <c r="CL708" s="196"/>
      <c r="CM708" s="196"/>
      <c r="CN708" s="194"/>
      <c r="CO708" s="197"/>
      <c r="CP708" s="196"/>
      <c r="CQ708" s="196"/>
      <c r="CR708" s="196"/>
      <c r="CS708" s="196"/>
      <c r="CT708" s="196"/>
      <c r="CU708" s="196"/>
      <c r="CV708" s="194"/>
      <c r="CW708" s="194"/>
      <c r="CX708" s="194"/>
      <c r="CY708" s="194"/>
      <c r="CZ708" s="194"/>
      <c r="DA708" s="194"/>
      <c r="DB708" s="194"/>
      <c r="DC708" s="194"/>
      <c r="DD708" s="194"/>
      <c r="DE708" s="194"/>
      <c r="DF708" s="196"/>
      <c r="DG708" s="198"/>
      <c r="DH708" s="194"/>
      <c r="DI708" s="194"/>
    </row>
    <row r="709" spans="1:113" s="24" customFormat="1" hidden="1" x14ac:dyDescent="0.3">
      <c r="A709" s="172"/>
      <c r="B709" s="172"/>
      <c r="C709" s="172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  <c r="BT709" s="172"/>
      <c r="BU709" s="172"/>
      <c r="BV709" s="172"/>
      <c r="BW709" s="172"/>
      <c r="BX709" s="172"/>
      <c r="BY709" s="174"/>
      <c r="BZ709" s="172"/>
      <c r="CA709" s="172"/>
      <c r="CD709" s="194"/>
      <c r="CE709" s="194"/>
      <c r="CF709" s="194"/>
      <c r="CG709" s="194"/>
      <c r="CH709" s="195"/>
      <c r="CI709" s="194"/>
      <c r="CJ709" s="194"/>
      <c r="CK709" s="194"/>
      <c r="CL709" s="196"/>
      <c r="CM709" s="196"/>
      <c r="CN709" s="194"/>
      <c r="CO709" s="197"/>
      <c r="CP709" s="196"/>
      <c r="CQ709" s="196"/>
      <c r="CR709" s="196"/>
      <c r="CS709" s="196"/>
      <c r="CT709" s="196"/>
      <c r="CU709" s="196"/>
      <c r="CV709" s="194"/>
      <c r="CW709" s="194"/>
      <c r="CX709" s="194"/>
      <c r="CY709" s="194"/>
      <c r="CZ709" s="194"/>
      <c r="DA709" s="194"/>
      <c r="DB709" s="194"/>
      <c r="DC709" s="194"/>
      <c r="DD709" s="194"/>
      <c r="DE709" s="194"/>
      <c r="DF709" s="196"/>
      <c r="DG709" s="198"/>
      <c r="DH709" s="194"/>
      <c r="DI709" s="194"/>
    </row>
    <row r="710" spans="1:113" s="24" customFormat="1" hidden="1" x14ac:dyDescent="0.3">
      <c r="A710" s="172"/>
      <c r="B710" s="172"/>
      <c r="C710" s="172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2"/>
      <c r="AT710" s="172"/>
      <c r="AU710" s="172"/>
      <c r="AV710" s="172"/>
      <c r="AW710" s="172"/>
      <c r="AX710" s="172"/>
      <c r="AY710" s="172"/>
      <c r="AZ710" s="172"/>
      <c r="BA710" s="172"/>
      <c r="BB710" s="172"/>
      <c r="BC710" s="172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  <c r="BT710" s="172"/>
      <c r="BU710" s="172"/>
      <c r="BV710" s="172"/>
      <c r="BW710" s="172"/>
      <c r="BX710" s="172"/>
      <c r="BY710" s="174"/>
      <c r="BZ710" s="172"/>
      <c r="CA710" s="172"/>
      <c r="CD710" s="194"/>
      <c r="CE710" s="194"/>
      <c r="CF710" s="194"/>
      <c r="CG710" s="194"/>
      <c r="CH710" s="195"/>
      <c r="CI710" s="194"/>
      <c r="CJ710" s="194"/>
      <c r="CK710" s="194"/>
      <c r="CL710" s="196"/>
      <c r="CM710" s="196"/>
      <c r="CN710" s="194"/>
      <c r="CO710" s="197"/>
      <c r="CP710" s="196"/>
      <c r="CQ710" s="196"/>
      <c r="CR710" s="196"/>
      <c r="CS710" s="196"/>
      <c r="CT710" s="196"/>
      <c r="CU710" s="196"/>
      <c r="CV710" s="194"/>
      <c r="CW710" s="194"/>
      <c r="CX710" s="194"/>
      <c r="CY710" s="194"/>
      <c r="CZ710" s="194"/>
      <c r="DA710" s="194"/>
      <c r="DB710" s="194"/>
      <c r="DC710" s="194"/>
      <c r="DD710" s="194"/>
      <c r="DE710" s="194"/>
      <c r="DF710" s="196"/>
      <c r="DG710" s="198"/>
      <c r="DH710" s="194"/>
      <c r="DI710" s="194"/>
    </row>
    <row r="711" spans="1:113" s="24" customFormat="1" hidden="1" x14ac:dyDescent="0.3">
      <c r="A711" s="172"/>
      <c r="B711" s="172"/>
      <c r="C711" s="172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172"/>
      <c r="BV711" s="172"/>
      <c r="BW711" s="172"/>
      <c r="BX711" s="172"/>
      <c r="BY711" s="174"/>
      <c r="BZ711" s="172"/>
      <c r="CA711" s="172"/>
      <c r="CD711" s="194"/>
      <c r="CE711" s="194"/>
      <c r="CF711" s="194"/>
      <c r="CG711" s="194"/>
      <c r="CH711" s="195"/>
      <c r="CI711" s="194"/>
      <c r="CJ711" s="194"/>
      <c r="CK711" s="194"/>
      <c r="CL711" s="196"/>
      <c r="CM711" s="196"/>
      <c r="CN711" s="194"/>
      <c r="CO711" s="197"/>
      <c r="CP711" s="196"/>
      <c r="CQ711" s="196"/>
      <c r="CR711" s="196"/>
      <c r="CS711" s="196"/>
      <c r="CT711" s="196"/>
      <c r="CU711" s="196"/>
      <c r="CV711" s="194"/>
      <c r="CW711" s="194"/>
      <c r="CX711" s="194"/>
      <c r="CY711" s="194"/>
      <c r="CZ711" s="194"/>
      <c r="DA711" s="194"/>
      <c r="DB711" s="194"/>
      <c r="DC711" s="194"/>
      <c r="DD711" s="194"/>
      <c r="DE711" s="194"/>
      <c r="DF711" s="196"/>
      <c r="DG711" s="198"/>
      <c r="DH711" s="194"/>
      <c r="DI711" s="194"/>
    </row>
    <row r="712" spans="1:113" s="24" customFormat="1" hidden="1" x14ac:dyDescent="0.3">
      <c r="A712" s="172"/>
      <c r="B712" s="172"/>
      <c r="C712" s="172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2"/>
      <c r="AT712" s="172"/>
      <c r="AU712" s="172"/>
      <c r="AV712" s="172"/>
      <c r="AW712" s="172"/>
      <c r="AX712" s="172"/>
      <c r="AY712" s="172"/>
      <c r="AZ712" s="172"/>
      <c r="BA712" s="172"/>
      <c r="BB712" s="172"/>
      <c r="BC712" s="172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  <c r="BT712" s="172"/>
      <c r="BU712" s="172"/>
      <c r="BV712" s="172"/>
      <c r="BW712" s="172"/>
      <c r="BX712" s="172"/>
      <c r="BY712" s="174"/>
      <c r="BZ712" s="172"/>
      <c r="CA712" s="172"/>
      <c r="CD712" s="194"/>
      <c r="CE712" s="194"/>
      <c r="CF712" s="194"/>
      <c r="CG712" s="194"/>
      <c r="CH712" s="195"/>
      <c r="CI712" s="194"/>
      <c r="CJ712" s="194"/>
      <c r="CK712" s="194"/>
      <c r="CL712" s="196"/>
      <c r="CM712" s="196"/>
      <c r="CN712" s="194"/>
      <c r="CO712" s="197"/>
      <c r="CP712" s="196"/>
      <c r="CQ712" s="196"/>
      <c r="CR712" s="196"/>
      <c r="CS712" s="196"/>
      <c r="CT712" s="196"/>
      <c r="CU712" s="196"/>
      <c r="CV712" s="194"/>
      <c r="CW712" s="194"/>
      <c r="CX712" s="194"/>
      <c r="CY712" s="194"/>
      <c r="CZ712" s="194"/>
      <c r="DA712" s="194"/>
      <c r="DB712" s="194"/>
      <c r="DC712" s="194"/>
      <c r="DD712" s="194"/>
      <c r="DE712" s="194"/>
      <c r="DF712" s="196"/>
      <c r="DG712" s="198"/>
      <c r="DH712" s="194"/>
      <c r="DI712" s="194"/>
    </row>
    <row r="713" spans="1:113" s="24" customFormat="1" hidden="1" x14ac:dyDescent="0.3">
      <c r="A713" s="172"/>
      <c r="B713" s="172"/>
      <c r="C713" s="172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2"/>
      <c r="AT713" s="172"/>
      <c r="AU713" s="172"/>
      <c r="AV713" s="172"/>
      <c r="AW713" s="172"/>
      <c r="AX713" s="172"/>
      <c r="AY713" s="172"/>
      <c r="AZ713" s="172"/>
      <c r="BA713" s="172"/>
      <c r="BB713" s="172"/>
      <c r="BC713" s="172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  <c r="BT713" s="172"/>
      <c r="BU713" s="172"/>
      <c r="BV713" s="172"/>
      <c r="BW713" s="172"/>
      <c r="BX713" s="172"/>
      <c r="BY713" s="174"/>
      <c r="BZ713" s="172"/>
      <c r="CA713" s="172"/>
      <c r="CD713" s="194"/>
      <c r="CE713" s="194"/>
      <c r="CF713" s="194"/>
      <c r="CG713" s="194"/>
      <c r="CH713" s="195"/>
      <c r="CI713" s="194"/>
      <c r="CJ713" s="194"/>
      <c r="CK713" s="194"/>
      <c r="CL713" s="196"/>
      <c r="CM713" s="196"/>
      <c r="CN713" s="194"/>
      <c r="CO713" s="197"/>
      <c r="CP713" s="196"/>
      <c r="CQ713" s="196"/>
      <c r="CR713" s="196"/>
      <c r="CS713" s="196"/>
      <c r="CT713" s="196"/>
      <c r="CU713" s="196"/>
      <c r="CV713" s="194"/>
      <c r="CW713" s="194"/>
      <c r="CX713" s="194"/>
      <c r="CY713" s="194"/>
      <c r="CZ713" s="194"/>
      <c r="DA713" s="194"/>
      <c r="DB713" s="194"/>
      <c r="DC713" s="194"/>
      <c r="DD713" s="194"/>
      <c r="DE713" s="194"/>
      <c r="DF713" s="196"/>
      <c r="DG713" s="198"/>
      <c r="DH713" s="194"/>
      <c r="DI713" s="194"/>
    </row>
    <row r="714" spans="1:113" s="24" customFormat="1" hidden="1" x14ac:dyDescent="0.3">
      <c r="A714" s="172"/>
      <c r="B714" s="172"/>
      <c r="C714" s="172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2"/>
      <c r="AT714" s="172"/>
      <c r="AU714" s="172"/>
      <c r="AV714" s="172"/>
      <c r="AW714" s="172"/>
      <c r="AX714" s="172"/>
      <c r="AY714" s="172"/>
      <c r="AZ714" s="172"/>
      <c r="BA714" s="172"/>
      <c r="BB714" s="172"/>
      <c r="BC714" s="172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  <c r="BT714" s="172"/>
      <c r="BU714" s="172"/>
      <c r="BV714" s="172"/>
      <c r="BW714" s="172"/>
      <c r="BX714" s="172"/>
      <c r="BY714" s="174"/>
      <c r="BZ714" s="172"/>
      <c r="CA714" s="172"/>
      <c r="CD714" s="194"/>
      <c r="CE714" s="194"/>
      <c r="CF714" s="194"/>
      <c r="CG714" s="194"/>
      <c r="CH714" s="195"/>
      <c r="CI714" s="194"/>
      <c r="CJ714" s="194"/>
      <c r="CK714" s="194"/>
      <c r="CL714" s="196"/>
      <c r="CM714" s="196"/>
      <c r="CN714" s="194"/>
      <c r="CO714" s="197"/>
      <c r="CP714" s="196"/>
      <c r="CQ714" s="196"/>
      <c r="CR714" s="196"/>
      <c r="CS714" s="196"/>
      <c r="CT714" s="196"/>
      <c r="CU714" s="196"/>
      <c r="CV714" s="194"/>
      <c r="CW714" s="194"/>
      <c r="CX714" s="194"/>
      <c r="CY714" s="194"/>
      <c r="CZ714" s="194"/>
      <c r="DA714" s="194"/>
      <c r="DB714" s="194"/>
      <c r="DC714" s="194"/>
      <c r="DD714" s="194"/>
      <c r="DE714" s="194"/>
      <c r="DF714" s="196"/>
      <c r="DG714" s="198"/>
      <c r="DH714" s="194"/>
      <c r="DI714" s="194"/>
    </row>
    <row r="715" spans="1:113" s="24" customFormat="1" hidden="1" x14ac:dyDescent="0.3">
      <c r="A715" s="172"/>
      <c r="B715" s="172"/>
      <c r="C715" s="172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2"/>
      <c r="AT715" s="172"/>
      <c r="AU715" s="172"/>
      <c r="AV715" s="172"/>
      <c r="AW715" s="172"/>
      <c r="AX715" s="172"/>
      <c r="AY715" s="172"/>
      <c r="AZ715" s="172"/>
      <c r="BA715" s="172"/>
      <c r="BB715" s="172"/>
      <c r="BC715" s="172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  <c r="BT715" s="172"/>
      <c r="BU715" s="172"/>
      <c r="BV715" s="172"/>
      <c r="BW715" s="172"/>
      <c r="BX715" s="172"/>
      <c r="BY715" s="174"/>
      <c r="BZ715" s="172"/>
      <c r="CA715" s="172"/>
      <c r="CD715" s="194"/>
      <c r="CE715" s="194"/>
      <c r="CF715" s="194"/>
      <c r="CG715" s="194"/>
      <c r="CH715" s="195"/>
      <c r="CI715" s="194"/>
      <c r="CJ715" s="194"/>
      <c r="CK715" s="194"/>
      <c r="CL715" s="196"/>
      <c r="CM715" s="196"/>
      <c r="CN715" s="194"/>
      <c r="CO715" s="197"/>
      <c r="CP715" s="196"/>
      <c r="CQ715" s="196"/>
      <c r="CR715" s="196"/>
      <c r="CS715" s="196"/>
      <c r="CT715" s="196"/>
      <c r="CU715" s="196"/>
      <c r="CV715" s="194"/>
      <c r="CW715" s="194"/>
      <c r="CX715" s="194"/>
      <c r="CY715" s="194"/>
      <c r="CZ715" s="194"/>
      <c r="DA715" s="194"/>
      <c r="DB715" s="194"/>
      <c r="DC715" s="194"/>
      <c r="DD715" s="194"/>
      <c r="DE715" s="194"/>
      <c r="DF715" s="196"/>
      <c r="DG715" s="198"/>
      <c r="DH715" s="194"/>
      <c r="DI715" s="194"/>
    </row>
    <row r="716" spans="1:113" s="24" customFormat="1" hidden="1" x14ac:dyDescent="0.3">
      <c r="A716" s="172"/>
      <c r="B716" s="172"/>
      <c r="C716" s="172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2"/>
      <c r="AT716" s="172"/>
      <c r="AU716" s="172"/>
      <c r="AV716" s="172"/>
      <c r="AW716" s="172"/>
      <c r="AX716" s="172"/>
      <c r="AY716" s="172"/>
      <c r="AZ716" s="172"/>
      <c r="BA716" s="172"/>
      <c r="BB716" s="172"/>
      <c r="BC716" s="172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  <c r="BT716" s="172"/>
      <c r="BU716" s="172"/>
      <c r="BV716" s="172"/>
      <c r="BW716" s="172"/>
      <c r="BX716" s="172"/>
      <c r="BY716" s="174"/>
      <c r="BZ716" s="172"/>
      <c r="CA716" s="172"/>
      <c r="CD716" s="194"/>
      <c r="CE716" s="194"/>
      <c r="CF716" s="194"/>
      <c r="CG716" s="194"/>
      <c r="CH716" s="195"/>
      <c r="CI716" s="194"/>
      <c r="CJ716" s="194"/>
      <c r="CK716" s="194"/>
      <c r="CL716" s="196"/>
      <c r="CM716" s="196"/>
      <c r="CN716" s="194"/>
      <c r="CO716" s="197"/>
      <c r="CP716" s="196"/>
      <c r="CQ716" s="196"/>
      <c r="CR716" s="196"/>
      <c r="CS716" s="196"/>
      <c r="CT716" s="196"/>
      <c r="CU716" s="196"/>
      <c r="CV716" s="194"/>
      <c r="CW716" s="194"/>
      <c r="CX716" s="194"/>
      <c r="CY716" s="194"/>
      <c r="CZ716" s="194"/>
      <c r="DA716" s="194"/>
      <c r="DB716" s="194"/>
      <c r="DC716" s="194"/>
      <c r="DD716" s="194"/>
      <c r="DE716" s="194"/>
      <c r="DF716" s="196"/>
      <c r="DG716" s="198"/>
      <c r="DH716" s="194"/>
      <c r="DI716" s="194"/>
    </row>
    <row r="717" spans="1:113" s="24" customFormat="1" hidden="1" x14ac:dyDescent="0.3">
      <c r="A717" s="172"/>
      <c r="B717" s="172"/>
      <c r="C717" s="172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2"/>
      <c r="AT717" s="172"/>
      <c r="AU717" s="172"/>
      <c r="AV717" s="172"/>
      <c r="AW717" s="172"/>
      <c r="AX717" s="172"/>
      <c r="AY717" s="172"/>
      <c r="AZ717" s="172"/>
      <c r="BA717" s="172"/>
      <c r="BB717" s="172"/>
      <c r="BC717" s="172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  <c r="BT717" s="172"/>
      <c r="BU717" s="172"/>
      <c r="BV717" s="172"/>
      <c r="BW717" s="172"/>
      <c r="BX717" s="172"/>
      <c r="BY717" s="174"/>
      <c r="BZ717" s="172"/>
      <c r="CA717" s="172"/>
      <c r="CD717" s="194"/>
      <c r="CE717" s="194"/>
      <c r="CF717" s="194"/>
      <c r="CG717" s="194"/>
      <c r="CH717" s="195"/>
      <c r="CI717" s="194"/>
      <c r="CJ717" s="194"/>
      <c r="CK717" s="194"/>
      <c r="CL717" s="196"/>
      <c r="CM717" s="196"/>
      <c r="CN717" s="194"/>
      <c r="CO717" s="197"/>
      <c r="CP717" s="196"/>
      <c r="CQ717" s="196"/>
      <c r="CR717" s="196"/>
      <c r="CS717" s="196"/>
      <c r="CT717" s="196"/>
      <c r="CU717" s="196"/>
      <c r="CV717" s="194"/>
      <c r="CW717" s="194"/>
      <c r="CX717" s="194"/>
      <c r="CY717" s="194"/>
      <c r="CZ717" s="194"/>
      <c r="DA717" s="194"/>
      <c r="DB717" s="194"/>
      <c r="DC717" s="194"/>
      <c r="DD717" s="194"/>
      <c r="DE717" s="194"/>
      <c r="DF717" s="196"/>
      <c r="DG717" s="198"/>
      <c r="DH717" s="194"/>
      <c r="DI717" s="194"/>
    </row>
    <row r="718" spans="1:113" s="24" customFormat="1" hidden="1" x14ac:dyDescent="0.3">
      <c r="A718" s="172"/>
      <c r="B718" s="172"/>
      <c r="C718" s="172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2"/>
      <c r="AT718" s="172"/>
      <c r="AU718" s="172"/>
      <c r="AV718" s="172"/>
      <c r="AW718" s="172"/>
      <c r="AX718" s="172"/>
      <c r="AY718" s="172"/>
      <c r="AZ718" s="172"/>
      <c r="BA718" s="172"/>
      <c r="BB718" s="172"/>
      <c r="BC718" s="172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  <c r="BT718" s="172"/>
      <c r="BU718" s="172"/>
      <c r="BV718" s="172"/>
      <c r="BW718" s="172"/>
      <c r="BX718" s="172"/>
      <c r="BY718" s="174"/>
      <c r="BZ718" s="172"/>
      <c r="CA718" s="172"/>
      <c r="CD718" s="194"/>
      <c r="CE718" s="194"/>
      <c r="CF718" s="194"/>
      <c r="CG718" s="194"/>
      <c r="CH718" s="195"/>
      <c r="CI718" s="194"/>
      <c r="CJ718" s="194"/>
      <c r="CK718" s="194"/>
      <c r="CL718" s="196"/>
      <c r="CM718" s="196"/>
      <c r="CN718" s="194"/>
      <c r="CO718" s="197"/>
      <c r="CP718" s="196"/>
      <c r="CQ718" s="196"/>
      <c r="CR718" s="196"/>
      <c r="CS718" s="196"/>
      <c r="CT718" s="196"/>
      <c r="CU718" s="196"/>
      <c r="CV718" s="194"/>
      <c r="CW718" s="194"/>
      <c r="CX718" s="194"/>
      <c r="CY718" s="194"/>
      <c r="CZ718" s="194"/>
      <c r="DA718" s="194"/>
      <c r="DB718" s="194"/>
      <c r="DC718" s="194"/>
      <c r="DD718" s="194"/>
      <c r="DE718" s="194"/>
      <c r="DF718" s="196"/>
      <c r="DG718" s="198"/>
      <c r="DH718" s="194"/>
      <c r="DI718" s="194"/>
    </row>
    <row r="719" spans="1:113" s="24" customFormat="1" hidden="1" x14ac:dyDescent="0.3">
      <c r="A719" s="172"/>
      <c r="B719" s="172"/>
      <c r="C719" s="172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  <c r="BT719" s="172"/>
      <c r="BU719" s="172"/>
      <c r="BV719" s="172"/>
      <c r="BW719" s="172"/>
      <c r="BX719" s="172"/>
      <c r="BY719" s="174"/>
      <c r="BZ719" s="172"/>
      <c r="CA719" s="172"/>
      <c r="CD719" s="194"/>
      <c r="CE719" s="194"/>
      <c r="CF719" s="194"/>
      <c r="CG719" s="194"/>
      <c r="CH719" s="195"/>
      <c r="CI719" s="194"/>
      <c r="CJ719" s="194"/>
      <c r="CK719" s="194"/>
      <c r="CL719" s="196"/>
      <c r="CM719" s="196"/>
      <c r="CN719" s="194"/>
      <c r="CO719" s="197"/>
      <c r="CP719" s="196"/>
      <c r="CQ719" s="196"/>
      <c r="CR719" s="196"/>
      <c r="CS719" s="196"/>
      <c r="CT719" s="196"/>
      <c r="CU719" s="196"/>
      <c r="CV719" s="194"/>
      <c r="CW719" s="194"/>
      <c r="CX719" s="194"/>
      <c r="CY719" s="194"/>
      <c r="CZ719" s="194"/>
      <c r="DA719" s="194"/>
      <c r="DB719" s="194"/>
      <c r="DC719" s="194"/>
      <c r="DD719" s="194"/>
      <c r="DE719" s="194"/>
      <c r="DF719" s="196"/>
      <c r="DG719" s="198"/>
      <c r="DH719" s="194"/>
      <c r="DI719" s="194"/>
    </row>
    <row r="720" spans="1:113" s="24" customFormat="1" hidden="1" x14ac:dyDescent="0.3">
      <c r="A720" s="172"/>
      <c r="B720" s="172"/>
      <c r="C720" s="172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2"/>
      <c r="AT720" s="172"/>
      <c r="AU720" s="172"/>
      <c r="AV720" s="172"/>
      <c r="AW720" s="172"/>
      <c r="AX720" s="172"/>
      <c r="AY720" s="172"/>
      <c r="AZ720" s="172"/>
      <c r="BA720" s="172"/>
      <c r="BB720" s="172"/>
      <c r="BC720" s="172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  <c r="BT720" s="172"/>
      <c r="BU720" s="172"/>
      <c r="BV720" s="172"/>
      <c r="BW720" s="172"/>
      <c r="BX720" s="172"/>
      <c r="BY720" s="174"/>
      <c r="BZ720" s="172"/>
      <c r="CA720" s="172"/>
      <c r="CD720" s="194"/>
      <c r="CE720" s="194"/>
      <c r="CF720" s="194"/>
      <c r="CG720" s="194"/>
      <c r="CH720" s="195"/>
      <c r="CI720" s="194"/>
      <c r="CJ720" s="194"/>
      <c r="CK720" s="194"/>
      <c r="CL720" s="196"/>
      <c r="CM720" s="196"/>
      <c r="CN720" s="194"/>
      <c r="CO720" s="197"/>
      <c r="CP720" s="196"/>
      <c r="CQ720" s="196"/>
      <c r="CR720" s="196"/>
      <c r="CS720" s="196"/>
      <c r="CT720" s="196"/>
      <c r="CU720" s="196"/>
      <c r="CV720" s="194"/>
      <c r="CW720" s="194"/>
      <c r="CX720" s="194"/>
      <c r="CY720" s="194"/>
      <c r="CZ720" s="194"/>
      <c r="DA720" s="194"/>
      <c r="DB720" s="194"/>
      <c r="DC720" s="194"/>
      <c r="DD720" s="194"/>
      <c r="DE720" s="194"/>
      <c r="DF720" s="196"/>
      <c r="DG720" s="198"/>
      <c r="DH720" s="194"/>
      <c r="DI720" s="194"/>
    </row>
    <row r="721" spans="1:113" s="24" customFormat="1" hidden="1" x14ac:dyDescent="0.3">
      <c r="A721" s="172"/>
      <c r="B721" s="172"/>
      <c r="C721" s="172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2"/>
      <c r="AT721" s="172"/>
      <c r="AU721" s="172"/>
      <c r="AV721" s="172"/>
      <c r="AW721" s="172"/>
      <c r="AX721" s="172"/>
      <c r="AY721" s="172"/>
      <c r="AZ721" s="172"/>
      <c r="BA721" s="172"/>
      <c r="BB721" s="172"/>
      <c r="BC721" s="172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  <c r="BT721" s="172"/>
      <c r="BU721" s="172"/>
      <c r="BV721" s="172"/>
      <c r="BW721" s="172"/>
      <c r="BX721" s="172"/>
      <c r="BY721" s="174"/>
      <c r="BZ721" s="172"/>
      <c r="CA721" s="172"/>
      <c r="CD721" s="194"/>
      <c r="CE721" s="194"/>
      <c r="CF721" s="194"/>
      <c r="CG721" s="194"/>
      <c r="CH721" s="195"/>
      <c r="CI721" s="194"/>
      <c r="CJ721" s="194"/>
      <c r="CK721" s="194"/>
      <c r="CL721" s="196"/>
      <c r="CM721" s="196"/>
      <c r="CN721" s="194"/>
      <c r="CO721" s="197"/>
      <c r="CP721" s="196"/>
      <c r="CQ721" s="196"/>
      <c r="CR721" s="196"/>
      <c r="CS721" s="196"/>
      <c r="CT721" s="196"/>
      <c r="CU721" s="196"/>
      <c r="CV721" s="194"/>
      <c r="CW721" s="194"/>
      <c r="CX721" s="194"/>
      <c r="CY721" s="194"/>
      <c r="CZ721" s="194"/>
      <c r="DA721" s="194"/>
      <c r="DB721" s="194"/>
      <c r="DC721" s="194"/>
      <c r="DD721" s="194"/>
      <c r="DE721" s="194"/>
      <c r="DF721" s="196"/>
      <c r="DG721" s="198"/>
      <c r="DH721" s="194"/>
      <c r="DI721" s="194"/>
    </row>
    <row r="722" spans="1:113" s="24" customFormat="1" hidden="1" x14ac:dyDescent="0.3">
      <c r="A722" s="172"/>
      <c r="B722" s="172"/>
      <c r="C722" s="172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2"/>
      <c r="AT722" s="172"/>
      <c r="AU722" s="172"/>
      <c r="AV722" s="172"/>
      <c r="AW722" s="172"/>
      <c r="AX722" s="172"/>
      <c r="AY722" s="172"/>
      <c r="AZ722" s="172"/>
      <c r="BA722" s="172"/>
      <c r="BB722" s="172"/>
      <c r="BC722" s="172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  <c r="BT722" s="172"/>
      <c r="BU722" s="172"/>
      <c r="BV722" s="172"/>
      <c r="BW722" s="172"/>
      <c r="BX722" s="172"/>
      <c r="BY722" s="174"/>
      <c r="BZ722" s="172"/>
      <c r="CA722" s="172"/>
      <c r="CD722" s="194"/>
      <c r="CE722" s="194"/>
      <c r="CF722" s="194"/>
      <c r="CG722" s="194"/>
      <c r="CH722" s="195"/>
      <c r="CI722" s="194"/>
      <c r="CJ722" s="194"/>
      <c r="CK722" s="194"/>
      <c r="CL722" s="196"/>
      <c r="CM722" s="196"/>
      <c r="CN722" s="194"/>
      <c r="CO722" s="197"/>
      <c r="CP722" s="196"/>
      <c r="CQ722" s="196"/>
      <c r="CR722" s="196"/>
      <c r="CS722" s="196"/>
      <c r="CT722" s="196"/>
      <c r="CU722" s="196"/>
      <c r="CV722" s="194"/>
      <c r="CW722" s="194"/>
      <c r="CX722" s="194"/>
      <c r="CY722" s="194"/>
      <c r="CZ722" s="194"/>
      <c r="DA722" s="194"/>
      <c r="DB722" s="194"/>
      <c r="DC722" s="194"/>
      <c r="DD722" s="194"/>
      <c r="DE722" s="194"/>
      <c r="DF722" s="196"/>
      <c r="DG722" s="198"/>
      <c r="DH722" s="194"/>
      <c r="DI722" s="194"/>
    </row>
    <row r="723" spans="1:113" s="24" customFormat="1" hidden="1" x14ac:dyDescent="0.3">
      <c r="A723" s="172"/>
      <c r="B723" s="172"/>
      <c r="C723" s="172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2"/>
      <c r="AT723" s="172"/>
      <c r="AU723" s="172"/>
      <c r="AV723" s="172"/>
      <c r="AW723" s="172"/>
      <c r="AX723" s="172"/>
      <c r="AY723" s="172"/>
      <c r="AZ723" s="172"/>
      <c r="BA723" s="172"/>
      <c r="BB723" s="172"/>
      <c r="BC723" s="172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  <c r="BT723" s="172"/>
      <c r="BU723" s="172"/>
      <c r="BV723" s="172"/>
      <c r="BW723" s="172"/>
      <c r="BX723" s="172"/>
      <c r="BY723" s="174"/>
      <c r="BZ723" s="172"/>
      <c r="CA723" s="172"/>
      <c r="CD723" s="194"/>
      <c r="CE723" s="194"/>
      <c r="CF723" s="194"/>
      <c r="CG723" s="194"/>
      <c r="CH723" s="195"/>
      <c r="CI723" s="194"/>
      <c r="CJ723" s="194"/>
      <c r="CK723" s="194"/>
      <c r="CL723" s="196"/>
      <c r="CM723" s="196"/>
      <c r="CN723" s="194"/>
      <c r="CO723" s="197"/>
      <c r="CP723" s="196"/>
      <c r="CQ723" s="196"/>
      <c r="CR723" s="196"/>
      <c r="CS723" s="196"/>
      <c r="CT723" s="196"/>
      <c r="CU723" s="196"/>
      <c r="CV723" s="194"/>
      <c r="CW723" s="194"/>
      <c r="CX723" s="194"/>
      <c r="CY723" s="194"/>
      <c r="CZ723" s="194"/>
      <c r="DA723" s="194"/>
      <c r="DB723" s="194"/>
      <c r="DC723" s="194"/>
      <c r="DD723" s="194"/>
      <c r="DE723" s="194"/>
      <c r="DF723" s="196"/>
      <c r="DG723" s="198"/>
      <c r="DH723" s="194"/>
      <c r="DI723" s="194"/>
    </row>
    <row r="724" spans="1:113" s="24" customFormat="1" hidden="1" x14ac:dyDescent="0.3">
      <c r="A724" s="172"/>
      <c r="B724" s="172"/>
      <c r="C724" s="172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2"/>
      <c r="AT724" s="172"/>
      <c r="AU724" s="172"/>
      <c r="AV724" s="172"/>
      <c r="AW724" s="172"/>
      <c r="AX724" s="172"/>
      <c r="AY724" s="172"/>
      <c r="AZ724" s="172"/>
      <c r="BA724" s="172"/>
      <c r="BB724" s="172"/>
      <c r="BC724" s="172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  <c r="BT724" s="172"/>
      <c r="BU724" s="172"/>
      <c r="BV724" s="172"/>
      <c r="BW724" s="172"/>
      <c r="BX724" s="172"/>
      <c r="BY724" s="174"/>
      <c r="BZ724" s="172"/>
      <c r="CA724" s="172"/>
      <c r="CD724" s="194"/>
      <c r="CE724" s="194"/>
      <c r="CF724" s="194"/>
      <c r="CG724" s="194"/>
      <c r="CH724" s="195"/>
      <c r="CI724" s="194"/>
      <c r="CJ724" s="194"/>
      <c r="CK724" s="194"/>
      <c r="CL724" s="196"/>
      <c r="CM724" s="196"/>
      <c r="CN724" s="194"/>
      <c r="CO724" s="197"/>
      <c r="CP724" s="196"/>
      <c r="CQ724" s="196"/>
      <c r="CR724" s="196"/>
      <c r="CS724" s="196"/>
      <c r="CT724" s="196"/>
      <c r="CU724" s="196"/>
      <c r="CV724" s="194"/>
      <c r="CW724" s="194"/>
      <c r="CX724" s="194"/>
      <c r="CY724" s="194"/>
      <c r="CZ724" s="194"/>
      <c r="DA724" s="194"/>
      <c r="DB724" s="194"/>
      <c r="DC724" s="194"/>
      <c r="DD724" s="194"/>
      <c r="DE724" s="194"/>
      <c r="DF724" s="196"/>
      <c r="DG724" s="198"/>
      <c r="DH724" s="194"/>
      <c r="DI724" s="194"/>
    </row>
    <row r="725" spans="1:113" s="24" customFormat="1" hidden="1" x14ac:dyDescent="0.3">
      <c r="A725" s="172"/>
      <c r="B725" s="172"/>
      <c r="C725" s="172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2"/>
      <c r="AT725" s="172"/>
      <c r="AU725" s="172"/>
      <c r="AV725" s="172"/>
      <c r="AW725" s="172"/>
      <c r="AX725" s="172"/>
      <c r="AY725" s="172"/>
      <c r="AZ725" s="172"/>
      <c r="BA725" s="172"/>
      <c r="BB725" s="172"/>
      <c r="BC725" s="172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  <c r="BT725" s="172"/>
      <c r="BU725" s="172"/>
      <c r="BV725" s="172"/>
      <c r="BW725" s="172"/>
      <c r="BX725" s="172"/>
      <c r="BY725" s="174"/>
      <c r="BZ725" s="172"/>
      <c r="CA725" s="172"/>
      <c r="CD725" s="194"/>
      <c r="CE725" s="194"/>
      <c r="CF725" s="194"/>
      <c r="CG725" s="194"/>
      <c r="CH725" s="195"/>
      <c r="CI725" s="194"/>
      <c r="CJ725" s="194"/>
      <c r="CK725" s="194"/>
      <c r="CL725" s="196"/>
      <c r="CM725" s="196"/>
      <c r="CN725" s="194"/>
      <c r="CO725" s="197"/>
      <c r="CP725" s="196"/>
      <c r="CQ725" s="196"/>
      <c r="CR725" s="196"/>
      <c r="CS725" s="196"/>
      <c r="CT725" s="196"/>
      <c r="CU725" s="196"/>
      <c r="CV725" s="194"/>
      <c r="CW725" s="194"/>
      <c r="CX725" s="194"/>
      <c r="CY725" s="194"/>
      <c r="CZ725" s="194"/>
      <c r="DA725" s="194"/>
      <c r="DB725" s="194"/>
      <c r="DC725" s="194"/>
      <c r="DD725" s="194"/>
      <c r="DE725" s="194"/>
      <c r="DF725" s="196"/>
      <c r="DG725" s="198"/>
      <c r="DH725" s="194"/>
      <c r="DI725" s="194"/>
    </row>
    <row r="726" spans="1:113" s="24" customFormat="1" hidden="1" x14ac:dyDescent="0.3">
      <c r="A726" s="172"/>
      <c r="B726" s="172"/>
      <c r="C726" s="172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2"/>
      <c r="AT726" s="172"/>
      <c r="AU726" s="172"/>
      <c r="AV726" s="172"/>
      <c r="AW726" s="172"/>
      <c r="AX726" s="172"/>
      <c r="AY726" s="172"/>
      <c r="AZ726" s="172"/>
      <c r="BA726" s="172"/>
      <c r="BB726" s="172"/>
      <c r="BC726" s="172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  <c r="BT726" s="172"/>
      <c r="BU726" s="172"/>
      <c r="BV726" s="172"/>
      <c r="BW726" s="172"/>
      <c r="BX726" s="172"/>
      <c r="BY726" s="174"/>
      <c r="BZ726" s="172"/>
      <c r="CA726" s="172"/>
      <c r="CD726" s="194"/>
      <c r="CE726" s="194"/>
      <c r="CF726" s="194"/>
      <c r="CG726" s="194"/>
      <c r="CH726" s="195"/>
      <c r="CI726" s="194"/>
      <c r="CJ726" s="194"/>
      <c r="CK726" s="194"/>
      <c r="CL726" s="196"/>
      <c r="CM726" s="196"/>
      <c r="CN726" s="194"/>
      <c r="CO726" s="197"/>
      <c r="CP726" s="196"/>
      <c r="CQ726" s="196"/>
      <c r="CR726" s="196"/>
      <c r="CS726" s="196"/>
      <c r="CT726" s="196"/>
      <c r="CU726" s="196"/>
      <c r="CV726" s="194"/>
      <c r="CW726" s="194"/>
      <c r="CX726" s="194"/>
      <c r="CY726" s="194"/>
      <c r="CZ726" s="194"/>
      <c r="DA726" s="194"/>
      <c r="DB726" s="194"/>
      <c r="DC726" s="194"/>
      <c r="DD726" s="194"/>
      <c r="DE726" s="194"/>
      <c r="DF726" s="196"/>
      <c r="DG726" s="198"/>
      <c r="DH726" s="194"/>
      <c r="DI726" s="194"/>
    </row>
    <row r="727" spans="1:113" s="24" customFormat="1" hidden="1" x14ac:dyDescent="0.3">
      <c r="A727" s="172"/>
      <c r="B727" s="172"/>
      <c r="C727" s="172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2"/>
      <c r="AT727" s="172"/>
      <c r="AU727" s="172"/>
      <c r="AV727" s="172"/>
      <c r="AW727" s="172"/>
      <c r="AX727" s="172"/>
      <c r="AY727" s="172"/>
      <c r="AZ727" s="172"/>
      <c r="BA727" s="172"/>
      <c r="BB727" s="172"/>
      <c r="BC727" s="172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  <c r="BT727" s="172"/>
      <c r="BU727" s="172"/>
      <c r="BV727" s="172"/>
      <c r="BW727" s="172"/>
      <c r="BX727" s="172"/>
      <c r="BY727" s="174"/>
      <c r="BZ727" s="172"/>
      <c r="CA727" s="172"/>
      <c r="CD727" s="194"/>
      <c r="CE727" s="194"/>
      <c r="CF727" s="194"/>
      <c r="CG727" s="194"/>
      <c r="CH727" s="195"/>
      <c r="CI727" s="194"/>
      <c r="CJ727" s="194"/>
      <c r="CK727" s="194"/>
      <c r="CL727" s="196"/>
      <c r="CM727" s="196"/>
      <c r="CN727" s="194"/>
      <c r="CO727" s="197"/>
      <c r="CP727" s="196"/>
      <c r="CQ727" s="196"/>
      <c r="CR727" s="196"/>
      <c r="CS727" s="196"/>
      <c r="CT727" s="196"/>
      <c r="CU727" s="196"/>
      <c r="CV727" s="194"/>
      <c r="CW727" s="194"/>
      <c r="CX727" s="194"/>
      <c r="CY727" s="194"/>
      <c r="CZ727" s="194"/>
      <c r="DA727" s="194"/>
      <c r="DB727" s="194"/>
      <c r="DC727" s="194"/>
      <c r="DD727" s="194"/>
      <c r="DE727" s="194"/>
      <c r="DF727" s="196"/>
      <c r="DG727" s="198"/>
      <c r="DH727" s="194"/>
      <c r="DI727" s="194"/>
    </row>
    <row r="728" spans="1:113" s="24" customFormat="1" hidden="1" x14ac:dyDescent="0.3">
      <c r="A728" s="172"/>
      <c r="B728" s="172"/>
      <c r="C728" s="172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2"/>
      <c r="AT728" s="172"/>
      <c r="AU728" s="172"/>
      <c r="AV728" s="172"/>
      <c r="AW728" s="172"/>
      <c r="AX728" s="172"/>
      <c r="AY728" s="172"/>
      <c r="AZ728" s="172"/>
      <c r="BA728" s="172"/>
      <c r="BB728" s="172"/>
      <c r="BC728" s="172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  <c r="BT728" s="172"/>
      <c r="BU728" s="172"/>
      <c r="BV728" s="172"/>
      <c r="BW728" s="172"/>
      <c r="BX728" s="172"/>
      <c r="BY728" s="174"/>
      <c r="BZ728" s="172"/>
      <c r="CA728" s="172"/>
      <c r="CD728" s="194"/>
      <c r="CE728" s="194"/>
      <c r="CF728" s="194"/>
      <c r="CG728" s="194"/>
      <c r="CH728" s="195"/>
      <c r="CI728" s="194"/>
      <c r="CJ728" s="194"/>
      <c r="CK728" s="194"/>
      <c r="CL728" s="196"/>
      <c r="CM728" s="196"/>
      <c r="CN728" s="194"/>
      <c r="CO728" s="197"/>
      <c r="CP728" s="196"/>
      <c r="CQ728" s="196"/>
      <c r="CR728" s="196"/>
      <c r="CS728" s="196"/>
      <c r="CT728" s="196"/>
      <c r="CU728" s="196"/>
      <c r="CV728" s="194"/>
      <c r="CW728" s="194"/>
      <c r="CX728" s="194"/>
      <c r="CY728" s="194"/>
      <c r="CZ728" s="194"/>
      <c r="DA728" s="194"/>
      <c r="DB728" s="194"/>
      <c r="DC728" s="194"/>
      <c r="DD728" s="194"/>
      <c r="DE728" s="194"/>
      <c r="DF728" s="196"/>
      <c r="DG728" s="198"/>
      <c r="DH728" s="194"/>
      <c r="DI728" s="194"/>
    </row>
    <row r="729" spans="1:113" s="24" customFormat="1" hidden="1" x14ac:dyDescent="0.3">
      <c r="A729" s="172"/>
      <c r="B729" s="172"/>
      <c r="C729" s="172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2"/>
      <c r="AT729" s="172"/>
      <c r="AU729" s="172"/>
      <c r="AV729" s="172"/>
      <c r="AW729" s="172"/>
      <c r="AX729" s="172"/>
      <c r="AY729" s="172"/>
      <c r="AZ729" s="172"/>
      <c r="BA729" s="172"/>
      <c r="BB729" s="172"/>
      <c r="BC729" s="172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  <c r="BT729" s="172"/>
      <c r="BU729" s="172"/>
      <c r="BV729" s="172"/>
      <c r="BW729" s="172"/>
      <c r="BX729" s="172"/>
      <c r="BY729" s="174"/>
      <c r="BZ729" s="172"/>
      <c r="CA729" s="172"/>
      <c r="CD729" s="194"/>
      <c r="CE729" s="194"/>
      <c r="CF729" s="194"/>
      <c r="CG729" s="194"/>
      <c r="CH729" s="195"/>
      <c r="CI729" s="194"/>
      <c r="CJ729" s="194"/>
      <c r="CK729" s="194"/>
      <c r="CL729" s="196"/>
      <c r="CM729" s="196"/>
      <c r="CN729" s="194"/>
      <c r="CO729" s="197"/>
      <c r="CP729" s="196"/>
      <c r="CQ729" s="196"/>
      <c r="CR729" s="196"/>
      <c r="CS729" s="196"/>
      <c r="CT729" s="196"/>
      <c r="CU729" s="196"/>
      <c r="CV729" s="194"/>
      <c r="CW729" s="194"/>
      <c r="CX729" s="194"/>
      <c r="CY729" s="194"/>
      <c r="CZ729" s="194"/>
      <c r="DA729" s="194"/>
      <c r="DB729" s="194"/>
      <c r="DC729" s="194"/>
      <c r="DD729" s="194"/>
      <c r="DE729" s="194"/>
      <c r="DF729" s="196"/>
      <c r="DG729" s="198"/>
      <c r="DH729" s="194"/>
      <c r="DI729" s="194"/>
    </row>
    <row r="730" spans="1:113" s="24" customFormat="1" hidden="1" x14ac:dyDescent="0.3">
      <c r="A730" s="172"/>
      <c r="B730" s="172"/>
      <c r="C730" s="172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2"/>
      <c r="AT730" s="172"/>
      <c r="AU730" s="172"/>
      <c r="AV730" s="172"/>
      <c r="AW730" s="172"/>
      <c r="AX730" s="172"/>
      <c r="AY730" s="172"/>
      <c r="AZ730" s="172"/>
      <c r="BA730" s="172"/>
      <c r="BB730" s="172"/>
      <c r="BC730" s="172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  <c r="BT730" s="172"/>
      <c r="BU730" s="172"/>
      <c r="BV730" s="172"/>
      <c r="BW730" s="172"/>
      <c r="BX730" s="172"/>
      <c r="BY730" s="174"/>
      <c r="BZ730" s="172"/>
      <c r="CA730" s="172"/>
      <c r="CD730" s="194"/>
      <c r="CE730" s="194"/>
      <c r="CF730" s="194"/>
      <c r="CG730" s="194"/>
      <c r="CH730" s="195"/>
      <c r="CI730" s="194"/>
      <c r="CJ730" s="194"/>
      <c r="CK730" s="194"/>
      <c r="CL730" s="196"/>
      <c r="CM730" s="196"/>
      <c r="CN730" s="194"/>
      <c r="CO730" s="197"/>
      <c r="CP730" s="196"/>
      <c r="CQ730" s="196"/>
      <c r="CR730" s="196"/>
      <c r="CS730" s="196"/>
      <c r="CT730" s="196"/>
      <c r="CU730" s="196"/>
      <c r="CV730" s="194"/>
      <c r="CW730" s="194"/>
      <c r="CX730" s="194"/>
      <c r="CY730" s="194"/>
      <c r="CZ730" s="194"/>
      <c r="DA730" s="194"/>
      <c r="DB730" s="194"/>
      <c r="DC730" s="194"/>
      <c r="DD730" s="194"/>
      <c r="DE730" s="194"/>
      <c r="DF730" s="196"/>
      <c r="DG730" s="198"/>
      <c r="DH730" s="194"/>
      <c r="DI730" s="194"/>
    </row>
    <row r="731" spans="1:113" s="24" customFormat="1" hidden="1" x14ac:dyDescent="0.3">
      <c r="A731" s="172"/>
      <c r="B731" s="172"/>
      <c r="C731" s="172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2"/>
      <c r="AT731" s="172"/>
      <c r="AU731" s="172"/>
      <c r="AV731" s="172"/>
      <c r="AW731" s="172"/>
      <c r="AX731" s="172"/>
      <c r="AY731" s="172"/>
      <c r="AZ731" s="172"/>
      <c r="BA731" s="172"/>
      <c r="BB731" s="172"/>
      <c r="BC731" s="172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  <c r="BT731" s="172"/>
      <c r="BU731" s="172"/>
      <c r="BV731" s="172"/>
      <c r="BW731" s="172"/>
      <c r="BX731" s="172"/>
      <c r="BY731" s="174"/>
      <c r="BZ731" s="172"/>
      <c r="CA731" s="172"/>
      <c r="CD731" s="194"/>
      <c r="CE731" s="194"/>
      <c r="CF731" s="194"/>
      <c r="CG731" s="194"/>
      <c r="CH731" s="195"/>
      <c r="CI731" s="194"/>
      <c r="CJ731" s="194"/>
      <c r="CK731" s="194"/>
      <c r="CL731" s="196"/>
      <c r="CM731" s="196"/>
      <c r="CN731" s="194"/>
      <c r="CO731" s="197"/>
      <c r="CP731" s="196"/>
      <c r="CQ731" s="196"/>
      <c r="CR731" s="196"/>
      <c r="CS731" s="196"/>
      <c r="CT731" s="196"/>
      <c r="CU731" s="196"/>
      <c r="CV731" s="194"/>
      <c r="CW731" s="194"/>
      <c r="CX731" s="194"/>
      <c r="CY731" s="194"/>
      <c r="CZ731" s="194"/>
      <c r="DA731" s="194"/>
      <c r="DB731" s="194"/>
      <c r="DC731" s="194"/>
      <c r="DD731" s="194"/>
      <c r="DE731" s="194"/>
      <c r="DF731" s="196"/>
      <c r="DG731" s="198"/>
      <c r="DH731" s="194"/>
      <c r="DI731" s="194"/>
    </row>
    <row r="732" spans="1:113" s="24" customFormat="1" hidden="1" x14ac:dyDescent="0.3">
      <c r="A732" s="172"/>
      <c r="B732" s="172"/>
      <c r="C732" s="172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2"/>
      <c r="AT732" s="172"/>
      <c r="AU732" s="172"/>
      <c r="AV732" s="172"/>
      <c r="AW732" s="172"/>
      <c r="AX732" s="172"/>
      <c r="AY732" s="172"/>
      <c r="AZ732" s="172"/>
      <c r="BA732" s="172"/>
      <c r="BB732" s="172"/>
      <c r="BC732" s="172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  <c r="BT732" s="172"/>
      <c r="BU732" s="172"/>
      <c r="BV732" s="172"/>
      <c r="BW732" s="172"/>
      <c r="BX732" s="172"/>
      <c r="BY732" s="174"/>
      <c r="BZ732" s="172"/>
      <c r="CA732" s="172"/>
      <c r="CD732" s="194"/>
      <c r="CE732" s="194"/>
      <c r="CF732" s="194"/>
      <c r="CG732" s="194"/>
      <c r="CH732" s="195"/>
      <c r="CI732" s="194"/>
      <c r="CJ732" s="194"/>
      <c r="CK732" s="194"/>
      <c r="CL732" s="196"/>
      <c r="CM732" s="196"/>
      <c r="CN732" s="194"/>
      <c r="CO732" s="197"/>
      <c r="CP732" s="196"/>
      <c r="CQ732" s="196"/>
      <c r="CR732" s="196"/>
      <c r="CS732" s="196"/>
      <c r="CT732" s="196"/>
      <c r="CU732" s="196"/>
      <c r="CV732" s="194"/>
      <c r="CW732" s="194"/>
      <c r="CX732" s="194"/>
      <c r="CY732" s="194"/>
      <c r="CZ732" s="194"/>
      <c r="DA732" s="194"/>
      <c r="DB732" s="194"/>
      <c r="DC732" s="194"/>
      <c r="DD732" s="194"/>
      <c r="DE732" s="194"/>
      <c r="DF732" s="196"/>
      <c r="DG732" s="198"/>
      <c r="DH732" s="194"/>
      <c r="DI732" s="194"/>
    </row>
    <row r="733" spans="1:113" s="24" customFormat="1" hidden="1" x14ac:dyDescent="0.3">
      <c r="A733" s="172"/>
      <c r="B733" s="172"/>
      <c r="C733" s="172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2"/>
      <c r="AT733" s="172"/>
      <c r="AU733" s="172"/>
      <c r="AV733" s="172"/>
      <c r="AW733" s="172"/>
      <c r="AX733" s="172"/>
      <c r="AY733" s="172"/>
      <c r="AZ733" s="172"/>
      <c r="BA733" s="172"/>
      <c r="BB733" s="172"/>
      <c r="BC733" s="172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  <c r="BT733" s="172"/>
      <c r="BU733" s="172"/>
      <c r="BV733" s="172"/>
      <c r="BW733" s="172"/>
      <c r="BX733" s="172"/>
      <c r="BY733" s="174"/>
      <c r="BZ733" s="172"/>
      <c r="CA733" s="172"/>
      <c r="CD733" s="194"/>
      <c r="CE733" s="194"/>
      <c r="CF733" s="194"/>
      <c r="CG733" s="194"/>
      <c r="CH733" s="195"/>
      <c r="CI733" s="194"/>
      <c r="CJ733" s="194"/>
      <c r="CK733" s="194"/>
      <c r="CL733" s="196"/>
      <c r="CM733" s="196"/>
      <c r="CN733" s="194"/>
      <c r="CO733" s="197"/>
      <c r="CP733" s="196"/>
      <c r="CQ733" s="196"/>
      <c r="CR733" s="196"/>
      <c r="CS733" s="196"/>
      <c r="CT733" s="196"/>
      <c r="CU733" s="196"/>
      <c r="CV733" s="194"/>
      <c r="CW733" s="194"/>
      <c r="CX733" s="194"/>
      <c r="CY733" s="194"/>
      <c r="CZ733" s="194"/>
      <c r="DA733" s="194"/>
      <c r="DB733" s="194"/>
      <c r="DC733" s="194"/>
      <c r="DD733" s="194"/>
      <c r="DE733" s="194"/>
      <c r="DF733" s="196"/>
      <c r="DG733" s="198"/>
      <c r="DH733" s="194"/>
      <c r="DI733" s="194"/>
    </row>
    <row r="734" spans="1:113" s="24" customFormat="1" hidden="1" x14ac:dyDescent="0.3">
      <c r="A734" s="172"/>
      <c r="B734" s="172"/>
      <c r="C734" s="172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2"/>
      <c r="AT734" s="172"/>
      <c r="AU734" s="172"/>
      <c r="AV734" s="172"/>
      <c r="AW734" s="172"/>
      <c r="AX734" s="172"/>
      <c r="AY734" s="172"/>
      <c r="AZ734" s="172"/>
      <c r="BA734" s="172"/>
      <c r="BB734" s="172"/>
      <c r="BC734" s="172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  <c r="BT734" s="172"/>
      <c r="BU734" s="172"/>
      <c r="BV734" s="172"/>
      <c r="BW734" s="172"/>
      <c r="BX734" s="172"/>
      <c r="BY734" s="174"/>
      <c r="BZ734" s="172"/>
      <c r="CA734" s="172"/>
      <c r="CD734" s="194"/>
      <c r="CE734" s="194"/>
      <c r="CF734" s="194"/>
      <c r="CG734" s="194"/>
      <c r="CH734" s="195"/>
      <c r="CI734" s="194"/>
      <c r="CJ734" s="194"/>
      <c r="CK734" s="194"/>
      <c r="CL734" s="196"/>
      <c r="CM734" s="196"/>
      <c r="CN734" s="194"/>
      <c r="CO734" s="197"/>
      <c r="CP734" s="196"/>
      <c r="CQ734" s="196"/>
      <c r="CR734" s="196"/>
      <c r="CS734" s="196"/>
      <c r="CT734" s="196"/>
      <c r="CU734" s="196"/>
      <c r="CV734" s="194"/>
      <c r="CW734" s="194"/>
      <c r="CX734" s="194"/>
      <c r="CY734" s="194"/>
      <c r="CZ734" s="194"/>
      <c r="DA734" s="194"/>
      <c r="DB734" s="194"/>
      <c r="DC734" s="194"/>
      <c r="DD734" s="194"/>
      <c r="DE734" s="194"/>
      <c r="DF734" s="196"/>
      <c r="DG734" s="198"/>
      <c r="DH734" s="194"/>
      <c r="DI734" s="194"/>
    </row>
    <row r="735" spans="1:113" s="24" customFormat="1" hidden="1" x14ac:dyDescent="0.3">
      <c r="A735" s="172"/>
      <c r="B735" s="172"/>
      <c r="C735" s="172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2"/>
      <c r="AT735" s="172"/>
      <c r="AU735" s="172"/>
      <c r="AV735" s="172"/>
      <c r="AW735" s="172"/>
      <c r="AX735" s="172"/>
      <c r="AY735" s="172"/>
      <c r="AZ735" s="172"/>
      <c r="BA735" s="172"/>
      <c r="BB735" s="172"/>
      <c r="BC735" s="172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  <c r="BT735" s="172"/>
      <c r="BU735" s="172"/>
      <c r="BV735" s="172"/>
      <c r="BW735" s="172"/>
      <c r="BX735" s="172"/>
      <c r="BY735" s="174"/>
      <c r="BZ735" s="172"/>
      <c r="CA735" s="172"/>
      <c r="CD735" s="194"/>
      <c r="CE735" s="194"/>
      <c r="CF735" s="194"/>
      <c r="CG735" s="194"/>
      <c r="CH735" s="195"/>
      <c r="CI735" s="194"/>
      <c r="CJ735" s="194"/>
      <c r="CK735" s="194"/>
      <c r="CL735" s="196"/>
      <c r="CM735" s="196"/>
      <c r="CN735" s="194"/>
      <c r="CO735" s="197"/>
      <c r="CP735" s="196"/>
      <c r="CQ735" s="196"/>
      <c r="CR735" s="196"/>
      <c r="CS735" s="196"/>
      <c r="CT735" s="196"/>
      <c r="CU735" s="196"/>
      <c r="CV735" s="194"/>
      <c r="CW735" s="194"/>
      <c r="CX735" s="194"/>
      <c r="CY735" s="194"/>
      <c r="CZ735" s="194"/>
      <c r="DA735" s="194"/>
      <c r="DB735" s="194"/>
      <c r="DC735" s="194"/>
      <c r="DD735" s="194"/>
      <c r="DE735" s="194"/>
      <c r="DF735" s="196"/>
      <c r="DG735" s="198"/>
      <c r="DH735" s="194"/>
      <c r="DI735" s="194"/>
    </row>
    <row r="736" spans="1:113" s="24" customFormat="1" hidden="1" x14ac:dyDescent="0.3">
      <c r="A736" s="172"/>
      <c r="B736" s="172"/>
      <c r="C736" s="172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2"/>
      <c r="AT736" s="172"/>
      <c r="AU736" s="172"/>
      <c r="AV736" s="172"/>
      <c r="AW736" s="172"/>
      <c r="AX736" s="172"/>
      <c r="AY736" s="172"/>
      <c r="AZ736" s="172"/>
      <c r="BA736" s="172"/>
      <c r="BB736" s="172"/>
      <c r="BC736" s="172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  <c r="BT736" s="172"/>
      <c r="BU736" s="172"/>
      <c r="BV736" s="172"/>
      <c r="BW736" s="172"/>
      <c r="BX736" s="172"/>
      <c r="BY736" s="174"/>
      <c r="BZ736" s="172"/>
      <c r="CA736" s="172"/>
      <c r="CD736" s="194"/>
      <c r="CE736" s="194"/>
      <c r="CF736" s="194"/>
      <c r="CG736" s="194"/>
      <c r="CH736" s="195"/>
      <c r="CI736" s="194"/>
      <c r="CJ736" s="194"/>
      <c r="CK736" s="194"/>
      <c r="CL736" s="196"/>
      <c r="CM736" s="196"/>
      <c r="CN736" s="194"/>
      <c r="CO736" s="197"/>
      <c r="CP736" s="196"/>
      <c r="CQ736" s="196"/>
      <c r="CR736" s="196"/>
      <c r="CS736" s="196"/>
      <c r="CT736" s="196"/>
      <c r="CU736" s="196"/>
      <c r="CV736" s="194"/>
      <c r="CW736" s="194"/>
      <c r="CX736" s="194"/>
      <c r="CY736" s="194"/>
      <c r="CZ736" s="194"/>
      <c r="DA736" s="194"/>
      <c r="DB736" s="194"/>
      <c r="DC736" s="194"/>
      <c r="DD736" s="194"/>
      <c r="DE736" s="194"/>
      <c r="DF736" s="196"/>
      <c r="DG736" s="198"/>
      <c r="DH736" s="194"/>
      <c r="DI736" s="194"/>
    </row>
    <row r="737" spans="1:113" s="24" customFormat="1" hidden="1" x14ac:dyDescent="0.3">
      <c r="A737" s="172"/>
      <c r="B737" s="172"/>
      <c r="C737" s="172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2"/>
      <c r="AT737" s="172"/>
      <c r="AU737" s="172"/>
      <c r="AV737" s="172"/>
      <c r="AW737" s="172"/>
      <c r="AX737" s="172"/>
      <c r="AY737" s="172"/>
      <c r="AZ737" s="172"/>
      <c r="BA737" s="172"/>
      <c r="BB737" s="172"/>
      <c r="BC737" s="172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  <c r="BT737" s="172"/>
      <c r="BU737" s="172"/>
      <c r="BV737" s="172"/>
      <c r="BW737" s="172"/>
      <c r="BX737" s="172"/>
      <c r="BY737" s="174"/>
      <c r="BZ737" s="172"/>
      <c r="CA737" s="172"/>
      <c r="CD737" s="194"/>
      <c r="CE737" s="194"/>
      <c r="CF737" s="194"/>
      <c r="CG737" s="194"/>
      <c r="CH737" s="195"/>
      <c r="CI737" s="194"/>
      <c r="CJ737" s="194"/>
      <c r="CK737" s="194"/>
      <c r="CL737" s="196"/>
      <c r="CM737" s="196"/>
      <c r="CN737" s="194"/>
      <c r="CO737" s="197"/>
      <c r="CP737" s="196"/>
      <c r="CQ737" s="196"/>
      <c r="CR737" s="196"/>
      <c r="CS737" s="196"/>
      <c r="CT737" s="196"/>
      <c r="CU737" s="196"/>
      <c r="CV737" s="194"/>
      <c r="CW737" s="194"/>
      <c r="CX737" s="194"/>
      <c r="CY737" s="194"/>
      <c r="CZ737" s="194"/>
      <c r="DA737" s="194"/>
      <c r="DB737" s="194"/>
      <c r="DC737" s="194"/>
      <c r="DD737" s="194"/>
      <c r="DE737" s="194"/>
      <c r="DF737" s="196"/>
      <c r="DG737" s="198"/>
      <c r="DH737" s="194"/>
      <c r="DI737" s="194"/>
    </row>
    <row r="738" spans="1:113" s="24" customFormat="1" hidden="1" x14ac:dyDescent="0.3">
      <c r="A738" s="172"/>
      <c r="B738" s="172"/>
      <c r="C738" s="172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  <c r="BT738" s="172"/>
      <c r="BU738" s="172"/>
      <c r="BV738" s="172"/>
      <c r="BW738" s="172"/>
      <c r="BX738" s="172"/>
      <c r="BY738" s="174"/>
      <c r="BZ738" s="172"/>
      <c r="CA738" s="172"/>
      <c r="CD738" s="194"/>
      <c r="CE738" s="194"/>
      <c r="CF738" s="194"/>
      <c r="CG738" s="194"/>
      <c r="CH738" s="195"/>
      <c r="CI738" s="194"/>
      <c r="CJ738" s="194"/>
      <c r="CK738" s="194"/>
      <c r="CL738" s="196"/>
      <c r="CM738" s="196"/>
      <c r="CN738" s="194"/>
      <c r="CO738" s="197"/>
      <c r="CP738" s="196"/>
      <c r="CQ738" s="196"/>
      <c r="CR738" s="196"/>
      <c r="CS738" s="196"/>
      <c r="CT738" s="196"/>
      <c r="CU738" s="196"/>
      <c r="CV738" s="194"/>
      <c r="CW738" s="194"/>
      <c r="CX738" s="194"/>
      <c r="CY738" s="194"/>
      <c r="CZ738" s="194"/>
      <c r="DA738" s="194"/>
      <c r="DB738" s="194"/>
      <c r="DC738" s="194"/>
      <c r="DD738" s="194"/>
      <c r="DE738" s="194"/>
      <c r="DF738" s="196"/>
      <c r="DG738" s="198"/>
      <c r="DH738" s="194"/>
      <c r="DI738" s="194"/>
    </row>
    <row r="739" spans="1:113" s="24" customFormat="1" hidden="1" x14ac:dyDescent="0.3">
      <c r="A739" s="172"/>
      <c r="B739" s="172"/>
      <c r="C739" s="172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2"/>
      <c r="AT739" s="172"/>
      <c r="AU739" s="172"/>
      <c r="AV739" s="172"/>
      <c r="AW739" s="172"/>
      <c r="AX739" s="172"/>
      <c r="AY739" s="172"/>
      <c r="AZ739" s="172"/>
      <c r="BA739" s="172"/>
      <c r="BB739" s="172"/>
      <c r="BC739" s="172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  <c r="BT739" s="172"/>
      <c r="BU739" s="172"/>
      <c r="BV739" s="172"/>
      <c r="BW739" s="172"/>
      <c r="BX739" s="172"/>
      <c r="BY739" s="174"/>
      <c r="BZ739" s="172"/>
      <c r="CA739" s="172"/>
      <c r="CD739" s="194"/>
      <c r="CE739" s="194"/>
      <c r="CF739" s="194"/>
      <c r="CG739" s="194"/>
      <c r="CH739" s="195"/>
      <c r="CI739" s="194"/>
      <c r="CJ739" s="194"/>
      <c r="CK739" s="194"/>
      <c r="CL739" s="196"/>
      <c r="CM739" s="196"/>
      <c r="CN739" s="194"/>
      <c r="CO739" s="197"/>
      <c r="CP739" s="196"/>
      <c r="CQ739" s="196"/>
      <c r="CR739" s="196"/>
      <c r="CS739" s="196"/>
      <c r="CT739" s="196"/>
      <c r="CU739" s="196"/>
      <c r="CV739" s="194"/>
      <c r="CW739" s="194"/>
      <c r="CX739" s="194"/>
      <c r="CY739" s="194"/>
      <c r="CZ739" s="194"/>
      <c r="DA739" s="194"/>
      <c r="DB739" s="194"/>
      <c r="DC739" s="194"/>
      <c r="DD739" s="194"/>
      <c r="DE739" s="194"/>
      <c r="DF739" s="196"/>
      <c r="DG739" s="198"/>
      <c r="DH739" s="194"/>
      <c r="DI739" s="194"/>
    </row>
    <row r="740" spans="1:113" s="24" customFormat="1" hidden="1" x14ac:dyDescent="0.3">
      <c r="A740" s="172"/>
      <c r="B740" s="172"/>
      <c r="C740" s="172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2"/>
      <c r="AT740" s="172"/>
      <c r="AU740" s="172"/>
      <c r="AV740" s="172"/>
      <c r="AW740" s="172"/>
      <c r="AX740" s="172"/>
      <c r="AY740" s="172"/>
      <c r="AZ740" s="172"/>
      <c r="BA740" s="172"/>
      <c r="BB740" s="172"/>
      <c r="BC740" s="172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  <c r="BT740" s="172"/>
      <c r="BU740" s="172"/>
      <c r="BV740" s="172"/>
      <c r="BW740" s="172"/>
      <c r="BX740" s="172"/>
      <c r="BY740" s="174"/>
      <c r="BZ740" s="172"/>
      <c r="CA740" s="172"/>
      <c r="CD740" s="194"/>
      <c r="CE740" s="194"/>
      <c r="CF740" s="194"/>
      <c r="CG740" s="194"/>
      <c r="CH740" s="195"/>
      <c r="CI740" s="194"/>
      <c r="CJ740" s="194"/>
      <c r="CK740" s="194"/>
      <c r="CL740" s="196"/>
      <c r="CM740" s="196"/>
      <c r="CN740" s="194"/>
      <c r="CO740" s="197"/>
      <c r="CP740" s="196"/>
      <c r="CQ740" s="196"/>
      <c r="CR740" s="196"/>
      <c r="CS740" s="196"/>
      <c r="CT740" s="196"/>
      <c r="CU740" s="196"/>
      <c r="CV740" s="194"/>
      <c r="CW740" s="194"/>
      <c r="CX740" s="194"/>
      <c r="CY740" s="194"/>
      <c r="CZ740" s="194"/>
      <c r="DA740" s="194"/>
      <c r="DB740" s="194"/>
      <c r="DC740" s="194"/>
      <c r="DD740" s="194"/>
      <c r="DE740" s="194"/>
      <c r="DF740" s="196"/>
      <c r="DG740" s="198"/>
      <c r="DH740" s="194"/>
      <c r="DI740" s="194"/>
    </row>
    <row r="741" spans="1:113" s="24" customFormat="1" hidden="1" x14ac:dyDescent="0.3">
      <c r="A741" s="172"/>
      <c r="B741" s="172"/>
      <c r="C741" s="172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2"/>
      <c r="AT741" s="172"/>
      <c r="AU741" s="172"/>
      <c r="AV741" s="172"/>
      <c r="AW741" s="172"/>
      <c r="AX741" s="172"/>
      <c r="AY741" s="172"/>
      <c r="AZ741" s="172"/>
      <c r="BA741" s="172"/>
      <c r="BB741" s="172"/>
      <c r="BC741" s="172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  <c r="BT741" s="172"/>
      <c r="BU741" s="172"/>
      <c r="BV741" s="172"/>
      <c r="BW741" s="172"/>
      <c r="BX741" s="172"/>
      <c r="BY741" s="174"/>
      <c r="BZ741" s="172"/>
      <c r="CA741" s="172"/>
      <c r="CD741" s="194"/>
      <c r="CE741" s="194"/>
      <c r="CF741" s="194"/>
      <c r="CG741" s="194"/>
      <c r="CH741" s="195"/>
      <c r="CI741" s="194"/>
      <c r="CJ741" s="194"/>
      <c r="CK741" s="194"/>
      <c r="CL741" s="196"/>
      <c r="CM741" s="196"/>
      <c r="CN741" s="194"/>
      <c r="CO741" s="197"/>
      <c r="CP741" s="196"/>
      <c r="CQ741" s="196"/>
      <c r="CR741" s="196"/>
      <c r="CS741" s="196"/>
      <c r="CT741" s="196"/>
      <c r="CU741" s="196"/>
      <c r="CV741" s="194"/>
      <c r="CW741" s="194"/>
      <c r="CX741" s="194"/>
      <c r="CY741" s="194"/>
      <c r="CZ741" s="194"/>
      <c r="DA741" s="194"/>
      <c r="DB741" s="194"/>
      <c r="DC741" s="194"/>
      <c r="DD741" s="194"/>
      <c r="DE741" s="194"/>
      <c r="DF741" s="196"/>
      <c r="DG741" s="198"/>
      <c r="DH741" s="194"/>
      <c r="DI741" s="194"/>
    </row>
    <row r="742" spans="1:113" s="24" customFormat="1" hidden="1" x14ac:dyDescent="0.3">
      <c r="A742" s="172"/>
      <c r="B742" s="172"/>
      <c r="C742" s="172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2"/>
      <c r="AT742" s="172"/>
      <c r="AU742" s="172"/>
      <c r="AV742" s="172"/>
      <c r="AW742" s="172"/>
      <c r="AX742" s="172"/>
      <c r="AY742" s="172"/>
      <c r="AZ742" s="172"/>
      <c r="BA742" s="172"/>
      <c r="BB742" s="172"/>
      <c r="BC742" s="172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  <c r="BT742" s="172"/>
      <c r="BU742" s="172"/>
      <c r="BV742" s="172"/>
      <c r="BW742" s="172"/>
      <c r="BX742" s="172"/>
      <c r="BY742" s="174"/>
      <c r="BZ742" s="172"/>
      <c r="CA742" s="172"/>
      <c r="CD742" s="194"/>
      <c r="CE742" s="194"/>
      <c r="CF742" s="194"/>
      <c r="CG742" s="194"/>
      <c r="CH742" s="195"/>
      <c r="CI742" s="194"/>
      <c r="CJ742" s="194"/>
      <c r="CK742" s="194"/>
      <c r="CL742" s="196"/>
      <c r="CM742" s="196"/>
      <c r="CN742" s="194"/>
      <c r="CO742" s="197"/>
      <c r="CP742" s="196"/>
      <c r="CQ742" s="196"/>
      <c r="CR742" s="196"/>
      <c r="CS742" s="196"/>
      <c r="CT742" s="196"/>
      <c r="CU742" s="196"/>
      <c r="CV742" s="194"/>
      <c r="CW742" s="194"/>
      <c r="CX742" s="194"/>
      <c r="CY742" s="194"/>
      <c r="CZ742" s="194"/>
      <c r="DA742" s="194"/>
      <c r="DB742" s="194"/>
      <c r="DC742" s="194"/>
      <c r="DD742" s="194"/>
      <c r="DE742" s="194"/>
      <c r="DF742" s="196"/>
      <c r="DG742" s="198"/>
      <c r="DH742" s="194"/>
      <c r="DI742" s="194"/>
    </row>
    <row r="743" spans="1:113" s="24" customFormat="1" hidden="1" x14ac:dyDescent="0.3">
      <c r="A743" s="172"/>
      <c r="B743" s="172"/>
      <c r="C743" s="172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2"/>
      <c r="AT743" s="172"/>
      <c r="AU743" s="172"/>
      <c r="AV743" s="172"/>
      <c r="AW743" s="172"/>
      <c r="AX743" s="172"/>
      <c r="AY743" s="172"/>
      <c r="AZ743" s="172"/>
      <c r="BA743" s="172"/>
      <c r="BB743" s="172"/>
      <c r="BC743" s="172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  <c r="BT743" s="172"/>
      <c r="BU743" s="172"/>
      <c r="BV743" s="172"/>
      <c r="BW743" s="172"/>
      <c r="BX743" s="172"/>
      <c r="BY743" s="174"/>
      <c r="BZ743" s="172"/>
      <c r="CA743" s="172"/>
      <c r="CD743" s="194"/>
      <c r="CE743" s="194"/>
      <c r="CF743" s="194"/>
      <c r="CG743" s="194"/>
      <c r="CH743" s="195"/>
      <c r="CI743" s="194"/>
      <c r="CJ743" s="194"/>
      <c r="CK743" s="194"/>
      <c r="CL743" s="196"/>
      <c r="CM743" s="196"/>
      <c r="CN743" s="194"/>
      <c r="CO743" s="197"/>
      <c r="CP743" s="196"/>
      <c r="CQ743" s="196"/>
      <c r="CR743" s="196"/>
      <c r="CS743" s="196"/>
      <c r="CT743" s="196"/>
      <c r="CU743" s="196"/>
      <c r="CV743" s="194"/>
      <c r="CW743" s="194"/>
      <c r="CX743" s="194"/>
      <c r="CY743" s="194"/>
      <c r="CZ743" s="194"/>
      <c r="DA743" s="194"/>
      <c r="DB743" s="194"/>
      <c r="DC743" s="194"/>
      <c r="DD743" s="194"/>
      <c r="DE743" s="194"/>
      <c r="DF743" s="196"/>
      <c r="DG743" s="198"/>
      <c r="DH743" s="194"/>
      <c r="DI743" s="194"/>
    </row>
    <row r="744" spans="1:113" s="24" customFormat="1" hidden="1" x14ac:dyDescent="0.3">
      <c r="A744" s="172"/>
      <c r="B744" s="172"/>
      <c r="C744" s="172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2"/>
      <c r="AT744" s="172"/>
      <c r="AU744" s="172"/>
      <c r="AV744" s="172"/>
      <c r="AW744" s="172"/>
      <c r="AX744" s="172"/>
      <c r="AY744" s="172"/>
      <c r="AZ744" s="172"/>
      <c r="BA744" s="172"/>
      <c r="BB744" s="172"/>
      <c r="BC744" s="172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  <c r="BT744" s="172"/>
      <c r="BU744" s="172"/>
      <c r="BV744" s="172"/>
      <c r="BW744" s="172"/>
      <c r="BX744" s="172"/>
      <c r="BY744" s="174"/>
      <c r="BZ744" s="172"/>
      <c r="CA744" s="172"/>
      <c r="CD744" s="194"/>
      <c r="CE744" s="194"/>
      <c r="CF744" s="194"/>
      <c r="CG744" s="194"/>
      <c r="CH744" s="195"/>
      <c r="CI744" s="194"/>
      <c r="CJ744" s="194"/>
      <c r="CK744" s="194"/>
      <c r="CL744" s="196"/>
      <c r="CM744" s="196"/>
      <c r="CN744" s="194"/>
      <c r="CO744" s="197"/>
      <c r="CP744" s="196"/>
      <c r="CQ744" s="196"/>
      <c r="CR744" s="196"/>
      <c r="CS744" s="196"/>
      <c r="CT744" s="196"/>
      <c r="CU744" s="196"/>
      <c r="CV744" s="194"/>
      <c r="CW744" s="194"/>
      <c r="CX744" s="194"/>
      <c r="CY744" s="194"/>
      <c r="CZ744" s="194"/>
      <c r="DA744" s="194"/>
      <c r="DB744" s="194"/>
      <c r="DC744" s="194"/>
      <c r="DD744" s="194"/>
      <c r="DE744" s="194"/>
      <c r="DF744" s="196"/>
      <c r="DG744" s="198"/>
      <c r="DH744" s="194"/>
      <c r="DI744" s="194"/>
    </row>
    <row r="745" spans="1:113" s="24" customFormat="1" hidden="1" x14ac:dyDescent="0.3">
      <c r="A745" s="172"/>
      <c r="B745" s="172"/>
      <c r="C745" s="172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2"/>
      <c r="AT745" s="172"/>
      <c r="AU745" s="172"/>
      <c r="AV745" s="172"/>
      <c r="AW745" s="172"/>
      <c r="AX745" s="172"/>
      <c r="AY745" s="172"/>
      <c r="AZ745" s="172"/>
      <c r="BA745" s="172"/>
      <c r="BB745" s="172"/>
      <c r="BC745" s="172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  <c r="BT745" s="172"/>
      <c r="BU745" s="172"/>
      <c r="BV745" s="172"/>
      <c r="BW745" s="172"/>
      <c r="BX745" s="172"/>
      <c r="BY745" s="174"/>
      <c r="BZ745" s="172"/>
      <c r="CA745" s="172"/>
      <c r="CD745" s="194"/>
      <c r="CE745" s="194"/>
      <c r="CF745" s="194"/>
      <c r="CG745" s="194"/>
      <c r="CH745" s="195"/>
      <c r="CI745" s="194"/>
      <c r="CJ745" s="194"/>
      <c r="CK745" s="194"/>
      <c r="CL745" s="196"/>
      <c r="CM745" s="196"/>
      <c r="CN745" s="194"/>
      <c r="CO745" s="197"/>
      <c r="CP745" s="196"/>
      <c r="CQ745" s="196"/>
      <c r="CR745" s="196"/>
      <c r="CS745" s="196"/>
      <c r="CT745" s="196"/>
      <c r="CU745" s="196"/>
      <c r="CV745" s="194"/>
      <c r="CW745" s="194"/>
      <c r="CX745" s="194"/>
      <c r="CY745" s="194"/>
      <c r="CZ745" s="194"/>
      <c r="DA745" s="194"/>
      <c r="DB745" s="194"/>
      <c r="DC745" s="194"/>
      <c r="DD745" s="194"/>
      <c r="DE745" s="194"/>
      <c r="DF745" s="196"/>
      <c r="DG745" s="198"/>
      <c r="DH745" s="194"/>
      <c r="DI745" s="194"/>
    </row>
    <row r="746" spans="1:113" s="24" customFormat="1" hidden="1" x14ac:dyDescent="0.3">
      <c r="A746" s="172"/>
      <c r="B746" s="172"/>
      <c r="C746" s="172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2"/>
      <c r="AT746" s="172"/>
      <c r="AU746" s="172"/>
      <c r="AV746" s="172"/>
      <c r="AW746" s="172"/>
      <c r="AX746" s="172"/>
      <c r="AY746" s="172"/>
      <c r="AZ746" s="172"/>
      <c r="BA746" s="172"/>
      <c r="BB746" s="172"/>
      <c r="BC746" s="172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  <c r="BT746" s="172"/>
      <c r="BU746" s="172"/>
      <c r="BV746" s="172"/>
      <c r="BW746" s="172"/>
      <c r="BX746" s="172"/>
      <c r="BY746" s="174"/>
      <c r="BZ746" s="172"/>
      <c r="CA746" s="172"/>
      <c r="CD746" s="194"/>
      <c r="CE746" s="194"/>
      <c r="CF746" s="194"/>
      <c r="CG746" s="194"/>
      <c r="CH746" s="195"/>
      <c r="CI746" s="194"/>
      <c r="CJ746" s="194"/>
      <c r="CK746" s="194"/>
      <c r="CL746" s="196"/>
      <c r="CM746" s="196"/>
      <c r="CN746" s="194"/>
      <c r="CO746" s="197"/>
      <c r="CP746" s="196"/>
      <c r="CQ746" s="196"/>
      <c r="CR746" s="196"/>
      <c r="CS746" s="196"/>
      <c r="CT746" s="196"/>
      <c r="CU746" s="196"/>
      <c r="CV746" s="194"/>
      <c r="CW746" s="194"/>
      <c r="CX746" s="194"/>
      <c r="CY746" s="194"/>
      <c r="CZ746" s="194"/>
      <c r="DA746" s="194"/>
      <c r="DB746" s="194"/>
      <c r="DC746" s="194"/>
      <c r="DD746" s="194"/>
      <c r="DE746" s="194"/>
      <c r="DF746" s="196"/>
      <c r="DG746" s="198"/>
      <c r="DH746" s="194"/>
      <c r="DI746" s="194"/>
    </row>
    <row r="747" spans="1:113" s="24" customFormat="1" hidden="1" x14ac:dyDescent="0.3">
      <c r="A747" s="172"/>
      <c r="B747" s="172"/>
      <c r="C747" s="172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2"/>
      <c r="AT747" s="172"/>
      <c r="AU747" s="172"/>
      <c r="AV747" s="172"/>
      <c r="AW747" s="172"/>
      <c r="AX747" s="172"/>
      <c r="AY747" s="172"/>
      <c r="AZ747" s="172"/>
      <c r="BA747" s="172"/>
      <c r="BB747" s="172"/>
      <c r="BC747" s="172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  <c r="BT747" s="172"/>
      <c r="BU747" s="172"/>
      <c r="BV747" s="172"/>
      <c r="BW747" s="172"/>
      <c r="BX747" s="172"/>
      <c r="BY747" s="174"/>
      <c r="BZ747" s="172"/>
      <c r="CA747" s="172"/>
      <c r="CD747" s="194"/>
      <c r="CE747" s="194"/>
      <c r="CF747" s="194"/>
      <c r="CG747" s="194"/>
      <c r="CH747" s="195"/>
      <c r="CI747" s="194"/>
      <c r="CJ747" s="194"/>
      <c r="CK747" s="194"/>
      <c r="CL747" s="196"/>
      <c r="CM747" s="196"/>
      <c r="CN747" s="194"/>
      <c r="CO747" s="197"/>
      <c r="CP747" s="196"/>
      <c r="CQ747" s="196"/>
      <c r="CR747" s="196"/>
      <c r="CS747" s="196"/>
      <c r="CT747" s="196"/>
      <c r="CU747" s="196"/>
      <c r="CV747" s="194"/>
      <c r="CW747" s="194"/>
      <c r="CX747" s="194"/>
      <c r="CY747" s="194"/>
      <c r="CZ747" s="194"/>
      <c r="DA747" s="194"/>
      <c r="DB747" s="194"/>
      <c r="DC747" s="194"/>
      <c r="DD747" s="194"/>
      <c r="DE747" s="194"/>
      <c r="DF747" s="196"/>
      <c r="DG747" s="198"/>
      <c r="DH747" s="194"/>
      <c r="DI747" s="194"/>
    </row>
    <row r="748" spans="1:113" s="24" customFormat="1" hidden="1" x14ac:dyDescent="0.3">
      <c r="A748" s="172"/>
      <c r="B748" s="172"/>
      <c r="C748" s="172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2"/>
      <c r="AT748" s="172"/>
      <c r="AU748" s="172"/>
      <c r="AV748" s="172"/>
      <c r="AW748" s="172"/>
      <c r="AX748" s="172"/>
      <c r="AY748" s="172"/>
      <c r="AZ748" s="172"/>
      <c r="BA748" s="172"/>
      <c r="BB748" s="172"/>
      <c r="BC748" s="172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  <c r="BT748" s="172"/>
      <c r="BU748" s="172"/>
      <c r="BV748" s="172"/>
      <c r="BW748" s="172"/>
      <c r="BX748" s="172"/>
      <c r="BY748" s="174"/>
      <c r="BZ748" s="172"/>
      <c r="CA748" s="172"/>
      <c r="CD748" s="194"/>
      <c r="CE748" s="194"/>
      <c r="CF748" s="194"/>
      <c r="CG748" s="194"/>
      <c r="CH748" s="195"/>
      <c r="CI748" s="194"/>
      <c r="CJ748" s="194"/>
      <c r="CK748" s="194"/>
      <c r="CL748" s="196"/>
      <c r="CM748" s="196"/>
      <c r="CN748" s="194"/>
      <c r="CO748" s="197"/>
      <c r="CP748" s="196"/>
      <c r="CQ748" s="196"/>
      <c r="CR748" s="196"/>
      <c r="CS748" s="196"/>
      <c r="CT748" s="196"/>
      <c r="CU748" s="196"/>
      <c r="CV748" s="194"/>
      <c r="CW748" s="194"/>
      <c r="CX748" s="194"/>
      <c r="CY748" s="194"/>
      <c r="CZ748" s="194"/>
      <c r="DA748" s="194"/>
      <c r="DB748" s="194"/>
      <c r="DC748" s="194"/>
      <c r="DD748" s="194"/>
      <c r="DE748" s="194"/>
      <c r="DF748" s="196"/>
      <c r="DG748" s="198"/>
      <c r="DH748" s="194"/>
      <c r="DI748" s="194"/>
    </row>
    <row r="749" spans="1:113" s="24" customFormat="1" hidden="1" x14ac:dyDescent="0.3">
      <c r="A749" s="172"/>
      <c r="B749" s="172"/>
      <c r="C749" s="172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2"/>
      <c r="AT749" s="172"/>
      <c r="AU749" s="172"/>
      <c r="AV749" s="172"/>
      <c r="AW749" s="172"/>
      <c r="AX749" s="172"/>
      <c r="AY749" s="172"/>
      <c r="AZ749" s="172"/>
      <c r="BA749" s="172"/>
      <c r="BB749" s="172"/>
      <c r="BC749" s="172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  <c r="BT749" s="172"/>
      <c r="BU749" s="172"/>
      <c r="BV749" s="172"/>
      <c r="BW749" s="172"/>
      <c r="BX749" s="172"/>
      <c r="BY749" s="174"/>
      <c r="BZ749" s="172"/>
      <c r="CA749" s="172"/>
      <c r="CD749" s="194"/>
      <c r="CE749" s="194"/>
      <c r="CF749" s="194"/>
      <c r="CG749" s="194"/>
      <c r="CH749" s="195"/>
      <c r="CI749" s="194"/>
      <c r="CJ749" s="194"/>
      <c r="CK749" s="194"/>
      <c r="CL749" s="196"/>
      <c r="CM749" s="196"/>
      <c r="CN749" s="194"/>
      <c r="CO749" s="197"/>
      <c r="CP749" s="196"/>
      <c r="CQ749" s="196"/>
      <c r="CR749" s="196"/>
      <c r="CS749" s="196"/>
      <c r="CT749" s="196"/>
      <c r="CU749" s="196"/>
      <c r="CV749" s="194"/>
      <c r="CW749" s="194"/>
      <c r="CX749" s="194"/>
      <c r="CY749" s="194"/>
      <c r="CZ749" s="194"/>
      <c r="DA749" s="194"/>
      <c r="DB749" s="194"/>
      <c r="DC749" s="194"/>
      <c r="DD749" s="194"/>
      <c r="DE749" s="194"/>
      <c r="DF749" s="196"/>
      <c r="DG749" s="198"/>
      <c r="DH749" s="194"/>
      <c r="DI749" s="194"/>
    </row>
    <row r="750" spans="1:113" s="24" customFormat="1" hidden="1" x14ac:dyDescent="0.3">
      <c r="A750" s="172"/>
      <c r="B750" s="172"/>
      <c r="C750" s="172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2"/>
      <c r="AT750" s="172"/>
      <c r="AU750" s="172"/>
      <c r="AV750" s="172"/>
      <c r="AW750" s="172"/>
      <c r="AX750" s="172"/>
      <c r="AY750" s="172"/>
      <c r="AZ750" s="172"/>
      <c r="BA750" s="172"/>
      <c r="BB750" s="172"/>
      <c r="BC750" s="172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  <c r="BT750" s="172"/>
      <c r="BU750" s="172"/>
      <c r="BV750" s="172"/>
      <c r="BW750" s="172"/>
      <c r="BX750" s="172"/>
      <c r="BY750" s="174"/>
      <c r="BZ750" s="172"/>
      <c r="CA750" s="172"/>
      <c r="CD750" s="194"/>
      <c r="CE750" s="194"/>
      <c r="CF750" s="194"/>
      <c r="CG750" s="194"/>
      <c r="CH750" s="195"/>
      <c r="CI750" s="194"/>
      <c r="CJ750" s="194"/>
      <c r="CK750" s="194"/>
      <c r="CL750" s="196"/>
      <c r="CM750" s="196"/>
      <c r="CN750" s="194"/>
      <c r="CO750" s="197"/>
      <c r="CP750" s="196"/>
      <c r="CQ750" s="196"/>
      <c r="CR750" s="196"/>
      <c r="CS750" s="196"/>
      <c r="CT750" s="196"/>
      <c r="CU750" s="196"/>
      <c r="CV750" s="194"/>
      <c r="CW750" s="194"/>
      <c r="CX750" s="194"/>
      <c r="CY750" s="194"/>
      <c r="CZ750" s="194"/>
      <c r="DA750" s="194"/>
      <c r="DB750" s="194"/>
      <c r="DC750" s="194"/>
      <c r="DD750" s="194"/>
      <c r="DE750" s="194"/>
      <c r="DF750" s="196"/>
      <c r="DG750" s="198"/>
      <c r="DH750" s="194"/>
      <c r="DI750" s="194"/>
    </row>
    <row r="751" spans="1:113" s="24" customFormat="1" hidden="1" x14ac:dyDescent="0.3">
      <c r="A751" s="172"/>
      <c r="B751" s="172"/>
      <c r="C751" s="172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2"/>
      <c r="AT751" s="172"/>
      <c r="AU751" s="172"/>
      <c r="AV751" s="172"/>
      <c r="AW751" s="172"/>
      <c r="AX751" s="172"/>
      <c r="AY751" s="172"/>
      <c r="AZ751" s="172"/>
      <c r="BA751" s="172"/>
      <c r="BB751" s="172"/>
      <c r="BC751" s="172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  <c r="BT751" s="172"/>
      <c r="BU751" s="172"/>
      <c r="BV751" s="172"/>
      <c r="BW751" s="172"/>
      <c r="BX751" s="172"/>
      <c r="BY751" s="174"/>
      <c r="BZ751" s="172"/>
      <c r="CA751" s="172"/>
      <c r="CD751" s="194"/>
      <c r="CE751" s="194"/>
      <c r="CF751" s="194"/>
      <c r="CG751" s="194"/>
      <c r="CH751" s="195"/>
      <c r="CI751" s="194"/>
      <c r="CJ751" s="194"/>
      <c r="CK751" s="194"/>
      <c r="CL751" s="196"/>
      <c r="CM751" s="196"/>
      <c r="CN751" s="194"/>
      <c r="CO751" s="197"/>
      <c r="CP751" s="196"/>
      <c r="CQ751" s="196"/>
      <c r="CR751" s="196"/>
      <c r="CS751" s="196"/>
      <c r="CT751" s="196"/>
      <c r="CU751" s="196"/>
      <c r="CV751" s="194"/>
      <c r="CW751" s="194"/>
      <c r="CX751" s="194"/>
      <c r="CY751" s="194"/>
      <c r="CZ751" s="194"/>
      <c r="DA751" s="194"/>
      <c r="DB751" s="194"/>
      <c r="DC751" s="194"/>
      <c r="DD751" s="194"/>
      <c r="DE751" s="194"/>
      <c r="DF751" s="196"/>
      <c r="DG751" s="198"/>
      <c r="DH751" s="194"/>
      <c r="DI751" s="194"/>
    </row>
    <row r="752" spans="1:113" s="24" customFormat="1" hidden="1" x14ac:dyDescent="0.3">
      <c r="A752" s="172"/>
      <c r="B752" s="172"/>
      <c r="C752" s="172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2"/>
      <c r="AT752" s="172"/>
      <c r="AU752" s="172"/>
      <c r="AV752" s="172"/>
      <c r="AW752" s="172"/>
      <c r="AX752" s="172"/>
      <c r="AY752" s="172"/>
      <c r="AZ752" s="172"/>
      <c r="BA752" s="172"/>
      <c r="BB752" s="172"/>
      <c r="BC752" s="172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  <c r="BT752" s="172"/>
      <c r="BU752" s="172"/>
      <c r="BV752" s="172"/>
      <c r="BW752" s="172"/>
      <c r="BX752" s="172"/>
      <c r="BY752" s="174"/>
      <c r="BZ752" s="172"/>
      <c r="CA752" s="172"/>
      <c r="CD752" s="194"/>
      <c r="CE752" s="194"/>
      <c r="CF752" s="194"/>
      <c r="CG752" s="194"/>
      <c r="CH752" s="195"/>
      <c r="CI752" s="194"/>
      <c r="CJ752" s="194"/>
      <c r="CK752" s="194"/>
      <c r="CL752" s="196"/>
      <c r="CM752" s="196"/>
      <c r="CN752" s="194"/>
      <c r="CO752" s="197"/>
      <c r="CP752" s="196"/>
      <c r="CQ752" s="196"/>
      <c r="CR752" s="196"/>
      <c r="CS752" s="196"/>
      <c r="CT752" s="196"/>
      <c r="CU752" s="196"/>
      <c r="CV752" s="194"/>
      <c r="CW752" s="194"/>
      <c r="CX752" s="194"/>
      <c r="CY752" s="194"/>
      <c r="CZ752" s="194"/>
      <c r="DA752" s="194"/>
      <c r="DB752" s="194"/>
      <c r="DC752" s="194"/>
      <c r="DD752" s="194"/>
      <c r="DE752" s="194"/>
      <c r="DF752" s="196"/>
      <c r="DG752" s="198"/>
      <c r="DH752" s="194"/>
      <c r="DI752" s="194"/>
    </row>
    <row r="753" spans="1:113" s="24" customFormat="1" hidden="1" x14ac:dyDescent="0.3">
      <c r="A753" s="172"/>
      <c r="B753" s="172"/>
      <c r="C753" s="172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2"/>
      <c r="AT753" s="172"/>
      <c r="AU753" s="172"/>
      <c r="AV753" s="172"/>
      <c r="AW753" s="172"/>
      <c r="AX753" s="172"/>
      <c r="AY753" s="172"/>
      <c r="AZ753" s="172"/>
      <c r="BA753" s="172"/>
      <c r="BB753" s="172"/>
      <c r="BC753" s="172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  <c r="BT753" s="172"/>
      <c r="BU753" s="172"/>
      <c r="BV753" s="172"/>
      <c r="BW753" s="172"/>
      <c r="BX753" s="172"/>
      <c r="BY753" s="174"/>
      <c r="BZ753" s="172"/>
      <c r="CA753" s="172"/>
      <c r="CD753" s="194"/>
      <c r="CE753" s="194"/>
      <c r="CF753" s="194"/>
      <c r="CG753" s="194"/>
      <c r="CH753" s="195"/>
      <c r="CI753" s="194"/>
      <c r="CJ753" s="194"/>
      <c r="CK753" s="194"/>
      <c r="CL753" s="196"/>
      <c r="CM753" s="196"/>
      <c r="CN753" s="194"/>
      <c r="CO753" s="197"/>
      <c r="CP753" s="196"/>
      <c r="CQ753" s="196"/>
      <c r="CR753" s="196"/>
      <c r="CS753" s="196"/>
      <c r="CT753" s="196"/>
      <c r="CU753" s="196"/>
      <c r="CV753" s="194"/>
      <c r="CW753" s="194"/>
      <c r="CX753" s="194"/>
      <c r="CY753" s="194"/>
      <c r="CZ753" s="194"/>
      <c r="DA753" s="194"/>
      <c r="DB753" s="194"/>
      <c r="DC753" s="194"/>
      <c r="DD753" s="194"/>
      <c r="DE753" s="194"/>
      <c r="DF753" s="196"/>
      <c r="DG753" s="198"/>
      <c r="DH753" s="194"/>
      <c r="DI753" s="194"/>
    </row>
    <row r="754" spans="1:113" s="24" customFormat="1" hidden="1" x14ac:dyDescent="0.3">
      <c r="A754" s="172"/>
      <c r="B754" s="172"/>
      <c r="C754" s="172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2"/>
      <c r="AT754" s="172"/>
      <c r="AU754" s="172"/>
      <c r="AV754" s="172"/>
      <c r="AW754" s="172"/>
      <c r="AX754" s="172"/>
      <c r="AY754" s="172"/>
      <c r="AZ754" s="172"/>
      <c r="BA754" s="172"/>
      <c r="BB754" s="172"/>
      <c r="BC754" s="172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  <c r="BT754" s="172"/>
      <c r="BU754" s="172"/>
      <c r="BV754" s="172"/>
      <c r="BW754" s="172"/>
      <c r="BX754" s="172"/>
      <c r="BY754" s="174"/>
      <c r="BZ754" s="172"/>
      <c r="CA754" s="172"/>
      <c r="CD754" s="194"/>
      <c r="CE754" s="194"/>
      <c r="CF754" s="194"/>
      <c r="CG754" s="194"/>
      <c r="CH754" s="195"/>
      <c r="CI754" s="194"/>
      <c r="CJ754" s="194"/>
      <c r="CK754" s="194"/>
      <c r="CL754" s="196"/>
      <c r="CM754" s="196"/>
      <c r="CN754" s="194"/>
      <c r="CO754" s="197"/>
      <c r="CP754" s="196"/>
      <c r="CQ754" s="196"/>
      <c r="CR754" s="196"/>
      <c r="CS754" s="196"/>
      <c r="CT754" s="196"/>
      <c r="CU754" s="196"/>
      <c r="CV754" s="194"/>
      <c r="CW754" s="194"/>
      <c r="CX754" s="194"/>
      <c r="CY754" s="194"/>
      <c r="CZ754" s="194"/>
      <c r="DA754" s="194"/>
      <c r="DB754" s="194"/>
      <c r="DC754" s="194"/>
      <c r="DD754" s="194"/>
      <c r="DE754" s="194"/>
      <c r="DF754" s="196"/>
      <c r="DG754" s="198"/>
      <c r="DH754" s="194"/>
      <c r="DI754" s="194"/>
    </row>
    <row r="755" spans="1:113" s="24" customFormat="1" hidden="1" x14ac:dyDescent="0.3">
      <c r="A755" s="172"/>
      <c r="B755" s="172"/>
      <c r="C755" s="172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2"/>
      <c r="AT755" s="172"/>
      <c r="AU755" s="172"/>
      <c r="AV755" s="172"/>
      <c r="AW755" s="172"/>
      <c r="AX755" s="172"/>
      <c r="AY755" s="172"/>
      <c r="AZ755" s="172"/>
      <c r="BA755" s="172"/>
      <c r="BB755" s="172"/>
      <c r="BC755" s="172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  <c r="BT755" s="172"/>
      <c r="BU755" s="172"/>
      <c r="BV755" s="172"/>
      <c r="BW755" s="172"/>
      <c r="BX755" s="172"/>
      <c r="BY755" s="174"/>
      <c r="BZ755" s="172"/>
      <c r="CA755" s="172"/>
      <c r="CD755" s="194"/>
      <c r="CE755" s="194"/>
      <c r="CF755" s="194"/>
      <c r="CG755" s="194"/>
      <c r="CH755" s="195"/>
      <c r="CI755" s="194"/>
      <c r="CJ755" s="194"/>
      <c r="CK755" s="194"/>
      <c r="CL755" s="196"/>
      <c r="CM755" s="196"/>
      <c r="CN755" s="194"/>
      <c r="CO755" s="197"/>
      <c r="CP755" s="196"/>
      <c r="CQ755" s="196"/>
      <c r="CR755" s="196"/>
      <c r="CS755" s="196"/>
      <c r="CT755" s="196"/>
      <c r="CU755" s="196"/>
      <c r="CV755" s="194"/>
      <c r="CW755" s="194"/>
      <c r="CX755" s="194"/>
      <c r="CY755" s="194"/>
      <c r="CZ755" s="194"/>
      <c r="DA755" s="194"/>
      <c r="DB755" s="194"/>
      <c r="DC755" s="194"/>
      <c r="DD755" s="194"/>
      <c r="DE755" s="194"/>
      <c r="DF755" s="196"/>
      <c r="DG755" s="198"/>
      <c r="DH755" s="194"/>
      <c r="DI755" s="194"/>
    </row>
    <row r="756" spans="1:113" s="24" customFormat="1" hidden="1" x14ac:dyDescent="0.3">
      <c r="A756" s="172"/>
      <c r="B756" s="172"/>
      <c r="C756" s="172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2"/>
      <c r="AT756" s="172"/>
      <c r="AU756" s="172"/>
      <c r="AV756" s="172"/>
      <c r="AW756" s="172"/>
      <c r="AX756" s="172"/>
      <c r="AY756" s="172"/>
      <c r="AZ756" s="172"/>
      <c r="BA756" s="172"/>
      <c r="BB756" s="172"/>
      <c r="BC756" s="172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  <c r="BT756" s="172"/>
      <c r="BU756" s="172"/>
      <c r="BV756" s="172"/>
      <c r="BW756" s="172"/>
      <c r="BX756" s="172"/>
      <c r="BY756" s="174"/>
      <c r="BZ756" s="172"/>
      <c r="CA756" s="172"/>
      <c r="CD756" s="194"/>
      <c r="CE756" s="194"/>
      <c r="CF756" s="194"/>
      <c r="CG756" s="194"/>
      <c r="CH756" s="195"/>
      <c r="CI756" s="194"/>
      <c r="CJ756" s="194"/>
      <c r="CK756" s="194"/>
      <c r="CL756" s="196"/>
      <c r="CM756" s="196"/>
      <c r="CN756" s="194"/>
      <c r="CO756" s="197"/>
      <c r="CP756" s="196"/>
      <c r="CQ756" s="196"/>
      <c r="CR756" s="196"/>
      <c r="CS756" s="196"/>
      <c r="CT756" s="196"/>
      <c r="CU756" s="196"/>
      <c r="CV756" s="194"/>
      <c r="CW756" s="194"/>
      <c r="CX756" s="194"/>
      <c r="CY756" s="194"/>
      <c r="CZ756" s="194"/>
      <c r="DA756" s="194"/>
      <c r="DB756" s="194"/>
      <c r="DC756" s="194"/>
      <c r="DD756" s="194"/>
      <c r="DE756" s="194"/>
      <c r="DF756" s="196"/>
      <c r="DG756" s="198"/>
      <c r="DH756" s="194"/>
      <c r="DI756" s="194"/>
    </row>
    <row r="757" spans="1:113" s="24" customFormat="1" hidden="1" x14ac:dyDescent="0.3">
      <c r="A757" s="172"/>
      <c r="B757" s="172"/>
      <c r="C757" s="172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2"/>
      <c r="AT757" s="172"/>
      <c r="AU757" s="172"/>
      <c r="AV757" s="172"/>
      <c r="AW757" s="172"/>
      <c r="AX757" s="172"/>
      <c r="AY757" s="172"/>
      <c r="AZ757" s="172"/>
      <c r="BA757" s="172"/>
      <c r="BB757" s="172"/>
      <c r="BC757" s="172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  <c r="BT757" s="172"/>
      <c r="BU757" s="172"/>
      <c r="BV757" s="172"/>
      <c r="BW757" s="172"/>
      <c r="BX757" s="172"/>
      <c r="BY757" s="174"/>
      <c r="BZ757" s="172"/>
      <c r="CA757" s="172"/>
      <c r="CD757" s="194"/>
      <c r="CE757" s="194"/>
      <c r="CF757" s="194"/>
      <c r="CG757" s="194"/>
      <c r="CH757" s="195"/>
      <c r="CI757" s="194"/>
      <c r="CJ757" s="194"/>
      <c r="CK757" s="194"/>
      <c r="CL757" s="196"/>
      <c r="CM757" s="196"/>
      <c r="CN757" s="194"/>
      <c r="CO757" s="197"/>
      <c r="CP757" s="196"/>
      <c r="CQ757" s="196"/>
      <c r="CR757" s="196"/>
      <c r="CS757" s="196"/>
      <c r="CT757" s="196"/>
      <c r="CU757" s="196"/>
      <c r="CV757" s="194"/>
      <c r="CW757" s="194"/>
      <c r="CX757" s="194"/>
      <c r="CY757" s="194"/>
      <c r="CZ757" s="194"/>
      <c r="DA757" s="194"/>
      <c r="DB757" s="194"/>
      <c r="DC757" s="194"/>
      <c r="DD757" s="194"/>
      <c r="DE757" s="194"/>
      <c r="DF757" s="196"/>
      <c r="DG757" s="198"/>
      <c r="DH757" s="194"/>
      <c r="DI757" s="194"/>
    </row>
    <row r="758" spans="1:113" s="24" customFormat="1" hidden="1" x14ac:dyDescent="0.3">
      <c r="A758" s="172"/>
      <c r="B758" s="172"/>
      <c r="C758" s="172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2"/>
      <c r="AT758" s="172"/>
      <c r="AU758" s="172"/>
      <c r="AV758" s="172"/>
      <c r="AW758" s="172"/>
      <c r="AX758" s="172"/>
      <c r="AY758" s="172"/>
      <c r="AZ758" s="172"/>
      <c r="BA758" s="172"/>
      <c r="BB758" s="172"/>
      <c r="BC758" s="172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  <c r="BT758" s="172"/>
      <c r="BU758" s="172"/>
      <c r="BV758" s="172"/>
      <c r="BW758" s="172"/>
      <c r="BX758" s="172"/>
      <c r="BY758" s="174"/>
      <c r="BZ758" s="172"/>
      <c r="CA758" s="172"/>
      <c r="CD758" s="194"/>
      <c r="CE758" s="194"/>
      <c r="CF758" s="194"/>
      <c r="CG758" s="194"/>
      <c r="CH758" s="195"/>
      <c r="CI758" s="194"/>
      <c r="CJ758" s="194"/>
      <c r="CK758" s="194"/>
      <c r="CL758" s="196"/>
      <c r="CM758" s="196"/>
      <c r="CN758" s="194"/>
      <c r="CO758" s="197"/>
      <c r="CP758" s="196"/>
      <c r="CQ758" s="196"/>
      <c r="CR758" s="196"/>
      <c r="CS758" s="196"/>
      <c r="CT758" s="196"/>
      <c r="CU758" s="196"/>
      <c r="CV758" s="194"/>
      <c r="CW758" s="194"/>
      <c r="CX758" s="194"/>
      <c r="CY758" s="194"/>
      <c r="CZ758" s="194"/>
      <c r="DA758" s="194"/>
      <c r="DB758" s="194"/>
      <c r="DC758" s="194"/>
      <c r="DD758" s="194"/>
      <c r="DE758" s="194"/>
      <c r="DF758" s="196"/>
      <c r="DG758" s="198"/>
      <c r="DH758" s="194"/>
      <c r="DI758" s="194"/>
    </row>
    <row r="759" spans="1:113" s="24" customFormat="1" hidden="1" x14ac:dyDescent="0.3">
      <c r="A759" s="172"/>
      <c r="B759" s="172"/>
      <c r="C759" s="172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  <c r="BT759" s="172"/>
      <c r="BU759" s="172"/>
      <c r="BV759" s="172"/>
      <c r="BW759" s="172"/>
      <c r="BX759" s="172"/>
      <c r="BY759" s="174"/>
      <c r="BZ759" s="172"/>
      <c r="CA759" s="172"/>
      <c r="CD759" s="194"/>
      <c r="CE759" s="194"/>
      <c r="CF759" s="194"/>
      <c r="CG759" s="194"/>
      <c r="CH759" s="195"/>
      <c r="CI759" s="194"/>
      <c r="CJ759" s="194"/>
      <c r="CK759" s="194"/>
      <c r="CL759" s="196"/>
      <c r="CM759" s="196"/>
      <c r="CN759" s="194"/>
      <c r="CO759" s="197"/>
      <c r="CP759" s="196"/>
      <c r="CQ759" s="196"/>
      <c r="CR759" s="196"/>
      <c r="CS759" s="196"/>
      <c r="CT759" s="196"/>
      <c r="CU759" s="196"/>
      <c r="CV759" s="194"/>
      <c r="CW759" s="194"/>
      <c r="CX759" s="194"/>
      <c r="CY759" s="194"/>
      <c r="CZ759" s="194"/>
      <c r="DA759" s="194"/>
      <c r="DB759" s="194"/>
      <c r="DC759" s="194"/>
      <c r="DD759" s="194"/>
      <c r="DE759" s="194"/>
      <c r="DF759" s="196"/>
      <c r="DG759" s="198"/>
      <c r="DH759" s="194"/>
      <c r="DI759" s="194"/>
    </row>
    <row r="760" spans="1:113" s="24" customFormat="1" hidden="1" x14ac:dyDescent="0.3">
      <c r="A760" s="172"/>
      <c r="B760" s="172"/>
      <c r="C760" s="172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2"/>
      <c r="AT760" s="172"/>
      <c r="AU760" s="172"/>
      <c r="AV760" s="172"/>
      <c r="AW760" s="172"/>
      <c r="AX760" s="172"/>
      <c r="AY760" s="172"/>
      <c r="AZ760" s="172"/>
      <c r="BA760" s="172"/>
      <c r="BB760" s="172"/>
      <c r="BC760" s="172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  <c r="BT760" s="172"/>
      <c r="BU760" s="172"/>
      <c r="BV760" s="172"/>
      <c r="BW760" s="172"/>
      <c r="BX760" s="172"/>
      <c r="BY760" s="174"/>
      <c r="BZ760" s="172"/>
      <c r="CA760" s="172"/>
      <c r="CD760" s="194"/>
      <c r="CE760" s="194"/>
      <c r="CF760" s="194"/>
      <c r="CG760" s="194"/>
      <c r="CH760" s="195"/>
      <c r="CI760" s="194"/>
      <c r="CJ760" s="194"/>
      <c r="CK760" s="194"/>
      <c r="CL760" s="196"/>
      <c r="CM760" s="196"/>
      <c r="CN760" s="194"/>
      <c r="CO760" s="197"/>
      <c r="CP760" s="196"/>
      <c r="CQ760" s="196"/>
      <c r="CR760" s="196"/>
      <c r="CS760" s="196"/>
      <c r="CT760" s="196"/>
      <c r="CU760" s="196"/>
      <c r="CV760" s="194"/>
      <c r="CW760" s="194"/>
      <c r="CX760" s="194"/>
      <c r="CY760" s="194"/>
      <c r="CZ760" s="194"/>
      <c r="DA760" s="194"/>
      <c r="DB760" s="194"/>
      <c r="DC760" s="194"/>
      <c r="DD760" s="194"/>
      <c r="DE760" s="194"/>
      <c r="DF760" s="196"/>
      <c r="DG760" s="198"/>
      <c r="DH760" s="194"/>
      <c r="DI760" s="194"/>
    </row>
    <row r="761" spans="1:113" s="24" customFormat="1" hidden="1" x14ac:dyDescent="0.3">
      <c r="A761" s="172"/>
      <c r="B761" s="172"/>
      <c r="C761" s="172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2"/>
      <c r="AT761" s="172"/>
      <c r="AU761" s="172"/>
      <c r="AV761" s="172"/>
      <c r="AW761" s="172"/>
      <c r="AX761" s="172"/>
      <c r="AY761" s="172"/>
      <c r="AZ761" s="172"/>
      <c r="BA761" s="172"/>
      <c r="BB761" s="172"/>
      <c r="BC761" s="172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  <c r="BT761" s="172"/>
      <c r="BU761" s="172"/>
      <c r="BV761" s="172"/>
      <c r="BW761" s="172"/>
      <c r="BX761" s="172"/>
      <c r="BY761" s="174"/>
      <c r="BZ761" s="172"/>
      <c r="CA761" s="172"/>
      <c r="CD761" s="194"/>
      <c r="CE761" s="194"/>
      <c r="CF761" s="194"/>
      <c r="CG761" s="194"/>
      <c r="CH761" s="195"/>
      <c r="CI761" s="194"/>
      <c r="CJ761" s="194"/>
      <c r="CK761" s="194"/>
      <c r="CL761" s="196"/>
      <c r="CM761" s="196"/>
      <c r="CN761" s="194"/>
      <c r="CO761" s="197"/>
      <c r="CP761" s="196"/>
      <c r="CQ761" s="196"/>
      <c r="CR761" s="196"/>
      <c r="CS761" s="196"/>
      <c r="CT761" s="196"/>
      <c r="CU761" s="196"/>
      <c r="CV761" s="194"/>
      <c r="CW761" s="194"/>
      <c r="CX761" s="194"/>
      <c r="CY761" s="194"/>
      <c r="CZ761" s="194"/>
      <c r="DA761" s="194"/>
      <c r="DB761" s="194"/>
      <c r="DC761" s="194"/>
      <c r="DD761" s="194"/>
      <c r="DE761" s="194"/>
      <c r="DF761" s="196"/>
      <c r="DG761" s="198"/>
      <c r="DH761" s="194"/>
      <c r="DI761" s="194"/>
    </row>
    <row r="762" spans="1:113" s="24" customFormat="1" hidden="1" x14ac:dyDescent="0.3">
      <c r="A762" s="172"/>
      <c r="B762" s="172"/>
      <c r="C762" s="172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2"/>
      <c r="AT762" s="172"/>
      <c r="AU762" s="172"/>
      <c r="AV762" s="172"/>
      <c r="AW762" s="172"/>
      <c r="AX762" s="172"/>
      <c r="AY762" s="172"/>
      <c r="AZ762" s="172"/>
      <c r="BA762" s="172"/>
      <c r="BB762" s="172"/>
      <c r="BC762" s="172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  <c r="BT762" s="172"/>
      <c r="BU762" s="172"/>
      <c r="BV762" s="172"/>
      <c r="BW762" s="172"/>
      <c r="BX762" s="172"/>
      <c r="BY762" s="174"/>
      <c r="BZ762" s="172"/>
      <c r="CA762" s="172"/>
      <c r="CD762" s="194"/>
      <c r="CE762" s="194"/>
      <c r="CF762" s="194"/>
      <c r="CG762" s="194"/>
      <c r="CH762" s="195"/>
      <c r="CI762" s="194"/>
      <c r="CJ762" s="194"/>
      <c r="CK762" s="194"/>
      <c r="CL762" s="196"/>
      <c r="CM762" s="196"/>
      <c r="CN762" s="194"/>
      <c r="CO762" s="197"/>
      <c r="CP762" s="196"/>
      <c r="CQ762" s="196"/>
      <c r="CR762" s="196"/>
      <c r="CS762" s="196"/>
      <c r="CT762" s="196"/>
      <c r="CU762" s="196"/>
      <c r="CV762" s="194"/>
      <c r="CW762" s="194"/>
      <c r="CX762" s="194"/>
      <c r="CY762" s="194"/>
      <c r="CZ762" s="194"/>
      <c r="DA762" s="194"/>
      <c r="DB762" s="194"/>
      <c r="DC762" s="194"/>
      <c r="DD762" s="194"/>
      <c r="DE762" s="194"/>
      <c r="DF762" s="196"/>
      <c r="DG762" s="198"/>
      <c r="DH762" s="194"/>
      <c r="DI762" s="194"/>
    </row>
    <row r="763" spans="1:113" s="24" customFormat="1" hidden="1" x14ac:dyDescent="0.3">
      <c r="A763" s="172"/>
      <c r="B763" s="172"/>
      <c r="C763" s="172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2"/>
      <c r="AT763" s="172"/>
      <c r="AU763" s="172"/>
      <c r="AV763" s="172"/>
      <c r="AW763" s="172"/>
      <c r="AX763" s="172"/>
      <c r="AY763" s="172"/>
      <c r="AZ763" s="172"/>
      <c r="BA763" s="172"/>
      <c r="BB763" s="172"/>
      <c r="BC763" s="172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  <c r="BT763" s="172"/>
      <c r="BU763" s="172"/>
      <c r="BV763" s="172"/>
      <c r="BW763" s="172"/>
      <c r="BX763" s="172"/>
      <c r="BY763" s="174"/>
      <c r="BZ763" s="172"/>
      <c r="CA763" s="172"/>
      <c r="CD763" s="194"/>
      <c r="CE763" s="194"/>
      <c r="CF763" s="194"/>
      <c r="CG763" s="194"/>
      <c r="CH763" s="195"/>
      <c r="CI763" s="194"/>
      <c r="CJ763" s="194"/>
      <c r="CK763" s="194"/>
      <c r="CL763" s="196"/>
      <c r="CM763" s="196"/>
      <c r="CN763" s="194"/>
      <c r="CO763" s="197"/>
      <c r="CP763" s="196"/>
      <c r="CQ763" s="196"/>
      <c r="CR763" s="196"/>
      <c r="CS763" s="196"/>
      <c r="CT763" s="196"/>
      <c r="CU763" s="196"/>
      <c r="CV763" s="194"/>
      <c r="CW763" s="194"/>
      <c r="CX763" s="194"/>
      <c r="CY763" s="194"/>
      <c r="CZ763" s="194"/>
      <c r="DA763" s="194"/>
      <c r="DB763" s="194"/>
      <c r="DC763" s="194"/>
      <c r="DD763" s="194"/>
      <c r="DE763" s="194"/>
      <c r="DF763" s="196"/>
      <c r="DG763" s="198"/>
      <c r="DH763" s="194"/>
      <c r="DI763" s="194"/>
    </row>
    <row r="764" spans="1:113" s="24" customFormat="1" hidden="1" x14ac:dyDescent="0.3">
      <c r="A764" s="172"/>
      <c r="B764" s="172"/>
      <c r="C764" s="172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2"/>
      <c r="AT764" s="172"/>
      <c r="AU764" s="172"/>
      <c r="AV764" s="172"/>
      <c r="AW764" s="172"/>
      <c r="AX764" s="172"/>
      <c r="AY764" s="172"/>
      <c r="AZ764" s="172"/>
      <c r="BA764" s="172"/>
      <c r="BB764" s="172"/>
      <c r="BC764" s="172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  <c r="BT764" s="172"/>
      <c r="BU764" s="172"/>
      <c r="BV764" s="172"/>
      <c r="BW764" s="172"/>
      <c r="BX764" s="172"/>
      <c r="BY764" s="174"/>
      <c r="BZ764" s="172"/>
      <c r="CA764" s="172"/>
      <c r="CD764" s="194"/>
      <c r="CE764" s="194"/>
      <c r="CF764" s="194"/>
      <c r="CG764" s="194"/>
      <c r="CH764" s="195"/>
      <c r="CI764" s="194"/>
      <c r="CJ764" s="194"/>
      <c r="CK764" s="194"/>
      <c r="CL764" s="196"/>
      <c r="CM764" s="196"/>
      <c r="CN764" s="194"/>
      <c r="CO764" s="197"/>
      <c r="CP764" s="196"/>
      <c r="CQ764" s="196"/>
      <c r="CR764" s="196"/>
      <c r="CS764" s="196"/>
      <c r="CT764" s="196"/>
      <c r="CU764" s="196"/>
      <c r="CV764" s="194"/>
      <c r="CW764" s="194"/>
      <c r="CX764" s="194"/>
      <c r="CY764" s="194"/>
      <c r="CZ764" s="194"/>
      <c r="DA764" s="194"/>
      <c r="DB764" s="194"/>
      <c r="DC764" s="194"/>
      <c r="DD764" s="194"/>
      <c r="DE764" s="194"/>
      <c r="DF764" s="196"/>
      <c r="DG764" s="198"/>
      <c r="DH764" s="194"/>
      <c r="DI764" s="194"/>
    </row>
    <row r="765" spans="1:113" s="24" customFormat="1" hidden="1" x14ac:dyDescent="0.3">
      <c r="A765" s="172"/>
      <c r="B765" s="172"/>
      <c r="C765" s="172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2"/>
      <c r="AT765" s="172"/>
      <c r="AU765" s="172"/>
      <c r="AV765" s="172"/>
      <c r="AW765" s="172"/>
      <c r="AX765" s="172"/>
      <c r="AY765" s="172"/>
      <c r="AZ765" s="172"/>
      <c r="BA765" s="172"/>
      <c r="BB765" s="172"/>
      <c r="BC765" s="172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  <c r="BT765" s="172"/>
      <c r="BU765" s="172"/>
      <c r="BV765" s="172"/>
      <c r="BW765" s="172"/>
      <c r="BX765" s="172"/>
      <c r="BY765" s="174"/>
      <c r="BZ765" s="172"/>
      <c r="CA765" s="172"/>
      <c r="CD765" s="194"/>
      <c r="CE765" s="194"/>
      <c r="CF765" s="194"/>
      <c r="CG765" s="194"/>
      <c r="CH765" s="195"/>
      <c r="CI765" s="194"/>
      <c r="CJ765" s="194"/>
      <c r="CK765" s="194"/>
      <c r="CL765" s="196"/>
      <c r="CM765" s="196"/>
      <c r="CN765" s="194"/>
      <c r="CO765" s="197"/>
      <c r="CP765" s="196"/>
      <c r="CQ765" s="196"/>
      <c r="CR765" s="196"/>
      <c r="CS765" s="196"/>
      <c r="CT765" s="196"/>
      <c r="CU765" s="196"/>
      <c r="CV765" s="194"/>
      <c r="CW765" s="194"/>
      <c r="CX765" s="194"/>
      <c r="CY765" s="194"/>
      <c r="CZ765" s="194"/>
      <c r="DA765" s="194"/>
      <c r="DB765" s="194"/>
      <c r="DC765" s="194"/>
      <c r="DD765" s="194"/>
      <c r="DE765" s="194"/>
      <c r="DF765" s="196"/>
      <c r="DG765" s="198"/>
      <c r="DH765" s="194"/>
      <c r="DI765" s="194"/>
    </row>
    <row r="766" spans="1:113" s="24" customFormat="1" hidden="1" x14ac:dyDescent="0.3">
      <c r="A766" s="172"/>
      <c r="B766" s="172"/>
      <c r="C766" s="172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2"/>
      <c r="AT766" s="172"/>
      <c r="AU766" s="172"/>
      <c r="AV766" s="172"/>
      <c r="AW766" s="172"/>
      <c r="AX766" s="172"/>
      <c r="AY766" s="172"/>
      <c r="AZ766" s="172"/>
      <c r="BA766" s="172"/>
      <c r="BB766" s="172"/>
      <c r="BC766" s="172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  <c r="BT766" s="172"/>
      <c r="BU766" s="172"/>
      <c r="BV766" s="172"/>
      <c r="BW766" s="172"/>
      <c r="BX766" s="172"/>
      <c r="BY766" s="174"/>
      <c r="BZ766" s="172"/>
      <c r="CA766" s="172"/>
      <c r="CD766" s="194"/>
      <c r="CE766" s="194"/>
      <c r="CF766" s="194"/>
      <c r="CG766" s="194"/>
      <c r="CH766" s="195"/>
      <c r="CI766" s="194"/>
      <c r="CJ766" s="194"/>
      <c r="CK766" s="194"/>
      <c r="CL766" s="196"/>
      <c r="CM766" s="196"/>
      <c r="CN766" s="194"/>
      <c r="CO766" s="197"/>
      <c r="CP766" s="196"/>
      <c r="CQ766" s="196"/>
      <c r="CR766" s="196"/>
      <c r="CS766" s="196"/>
      <c r="CT766" s="196"/>
      <c r="CU766" s="196"/>
      <c r="CV766" s="194"/>
      <c r="CW766" s="194"/>
      <c r="CX766" s="194"/>
      <c r="CY766" s="194"/>
      <c r="CZ766" s="194"/>
      <c r="DA766" s="194"/>
      <c r="DB766" s="194"/>
      <c r="DC766" s="194"/>
      <c r="DD766" s="194"/>
      <c r="DE766" s="194"/>
      <c r="DF766" s="196"/>
      <c r="DG766" s="198"/>
      <c r="DH766" s="194"/>
      <c r="DI766" s="194"/>
    </row>
    <row r="767" spans="1:113" s="24" customFormat="1" hidden="1" x14ac:dyDescent="0.3">
      <c r="A767" s="172"/>
      <c r="B767" s="172"/>
      <c r="C767" s="172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2"/>
      <c r="AT767" s="172"/>
      <c r="AU767" s="172"/>
      <c r="AV767" s="172"/>
      <c r="AW767" s="172"/>
      <c r="AX767" s="172"/>
      <c r="AY767" s="172"/>
      <c r="AZ767" s="172"/>
      <c r="BA767" s="172"/>
      <c r="BB767" s="172"/>
      <c r="BC767" s="172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  <c r="BT767" s="172"/>
      <c r="BU767" s="172"/>
      <c r="BV767" s="172"/>
      <c r="BW767" s="172"/>
      <c r="BX767" s="172"/>
      <c r="BY767" s="174"/>
      <c r="BZ767" s="172"/>
      <c r="CA767" s="172"/>
      <c r="CD767" s="194"/>
      <c r="CE767" s="194"/>
      <c r="CF767" s="194"/>
      <c r="CG767" s="194"/>
      <c r="CH767" s="195"/>
      <c r="CI767" s="194"/>
      <c r="CJ767" s="194"/>
      <c r="CK767" s="194"/>
      <c r="CL767" s="196"/>
      <c r="CM767" s="196"/>
      <c r="CN767" s="194"/>
      <c r="CO767" s="197"/>
      <c r="CP767" s="196"/>
      <c r="CQ767" s="196"/>
      <c r="CR767" s="196"/>
      <c r="CS767" s="196"/>
      <c r="CT767" s="196"/>
      <c r="CU767" s="196"/>
      <c r="CV767" s="194"/>
      <c r="CW767" s="194"/>
      <c r="CX767" s="194"/>
      <c r="CY767" s="194"/>
      <c r="CZ767" s="194"/>
      <c r="DA767" s="194"/>
      <c r="DB767" s="194"/>
      <c r="DC767" s="194"/>
      <c r="DD767" s="194"/>
      <c r="DE767" s="194"/>
      <c r="DF767" s="196"/>
      <c r="DG767" s="198"/>
      <c r="DH767" s="194"/>
      <c r="DI767" s="194"/>
    </row>
    <row r="768" spans="1:113" s="24" customFormat="1" hidden="1" x14ac:dyDescent="0.3">
      <c r="A768" s="172"/>
      <c r="B768" s="172"/>
      <c r="C768" s="172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2"/>
      <c r="AT768" s="172"/>
      <c r="AU768" s="172"/>
      <c r="AV768" s="172"/>
      <c r="AW768" s="172"/>
      <c r="AX768" s="172"/>
      <c r="AY768" s="172"/>
      <c r="AZ768" s="172"/>
      <c r="BA768" s="172"/>
      <c r="BB768" s="172"/>
      <c r="BC768" s="172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  <c r="BT768" s="172"/>
      <c r="BU768" s="172"/>
      <c r="BV768" s="172"/>
      <c r="BW768" s="172"/>
      <c r="BX768" s="172"/>
      <c r="BY768" s="174"/>
      <c r="BZ768" s="172"/>
      <c r="CA768" s="172"/>
      <c r="CD768" s="194"/>
      <c r="CE768" s="194"/>
      <c r="CF768" s="194"/>
      <c r="CG768" s="194"/>
      <c r="CH768" s="195"/>
      <c r="CI768" s="194"/>
      <c r="CJ768" s="194"/>
      <c r="CK768" s="194"/>
      <c r="CL768" s="196"/>
      <c r="CM768" s="196"/>
      <c r="CN768" s="194"/>
      <c r="CO768" s="197"/>
      <c r="CP768" s="196"/>
      <c r="CQ768" s="196"/>
      <c r="CR768" s="196"/>
      <c r="CS768" s="196"/>
      <c r="CT768" s="196"/>
      <c r="CU768" s="196"/>
      <c r="CV768" s="194"/>
      <c r="CW768" s="194"/>
      <c r="CX768" s="194"/>
      <c r="CY768" s="194"/>
      <c r="CZ768" s="194"/>
      <c r="DA768" s="194"/>
      <c r="DB768" s="194"/>
      <c r="DC768" s="194"/>
      <c r="DD768" s="194"/>
      <c r="DE768" s="194"/>
      <c r="DF768" s="196"/>
      <c r="DG768" s="198"/>
      <c r="DH768" s="194"/>
      <c r="DI768" s="194"/>
    </row>
    <row r="769" spans="1:113" s="24" customFormat="1" hidden="1" x14ac:dyDescent="0.3">
      <c r="A769" s="172"/>
      <c r="B769" s="172"/>
      <c r="C769" s="172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2"/>
      <c r="AT769" s="172"/>
      <c r="AU769" s="172"/>
      <c r="AV769" s="172"/>
      <c r="AW769" s="172"/>
      <c r="AX769" s="172"/>
      <c r="AY769" s="172"/>
      <c r="AZ769" s="172"/>
      <c r="BA769" s="172"/>
      <c r="BB769" s="172"/>
      <c r="BC769" s="172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  <c r="BT769" s="172"/>
      <c r="BU769" s="172"/>
      <c r="BV769" s="172"/>
      <c r="BW769" s="172"/>
      <c r="BX769" s="172"/>
      <c r="BY769" s="174"/>
      <c r="BZ769" s="172"/>
      <c r="CA769" s="172"/>
      <c r="CD769" s="194"/>
      <c r="CE769" s="194"/>
      <c r="CF769" s="194"/>
      <c r="CG769" s="194"/>
      <c r="CH769" s="195"/>
      <c r="CI769" s="194"/>
      <c r="CJ769" s="194"/>
      <c r="CK769" s="194"/>
      <c r="CL769" s="196"/>
      <c r="CM769" s="196"/>
      <c r="CN769" s="194"/>
      <c r="CO769" s="197"/>
      <c r="CP769" s="196"/>
      <c r="CQ769" s="196"/>
      <c r="CR769" s="196"/>
      <c r="CS769" s="196"/>
      <c r="CT769" s="196"/>
      <c r="CU769" s="196"/>
      <c r="CV769" s="194"/>
      <c r="CW769" s="194"/>
      <c r="CX769" s="194"/>
      <c r="CY769" s="194"/>
      <c r="CZ769" s="194"/>
      <c r="DA769" s="194"/>
      <c r="DB769" s="194"/>
      <c r="DC769" s="194"/>
      <c r="DD769" s="194"/>
      <c r="DE769" s="194"/>
      <c r="DF769" s="196"/>
      <c r="DG769" s="198"/>
      <c r="DH769" s="194"/>
      <c r="DI769" s="194"/>
    </row>
    <row r="770" spans="1:113" s="24" customFormat="1" hidden="1" x14ac:dyDescent="0.3">
      <c r="A770" s="172"/>
      <c r="B770" s="172"/>
      <c r="C770" s="172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2"/>
      <c r="AT770" s="172"/>
      <c r="AU770" s="172"/>
      <c r="AV770" s="172"/>
      <c r="AW770" s="172"/>
      <c r="AX770" s="172"/>
      <c r="AY770" s="172"/>
      <c r="AZ770" s="172"/>
      <c r="BA770" s="172"/>
      <c r="BB770" s="172"/>
      <c r="BC770" s="172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  <c r="BT770" s="172"/>
      <c r="BU770" s="172"/>
      <c r="BV770" s="172"/>
      <c r="BW770" s="172"/>
      <c r="BX770" s="172"/>
      <c r="BY770" s="174"/>
      <c r="BZ770" s="172"/>
      <c r="CA770" s="172"/>
      <c r="CD770" s="194"/>
      <c r="CE770" s="194"/>
      <c r="CF770" s="194"/>
      <c r="CG770" s="194"/>
      <c r="CH770" s="195"/>
      <c r="CI770" s="194"/>
      <c r="CJ770" s="194"/>
      <c r="CK770" s="194"/>
      <c r="CL770" s="196"/>
      <c r="CM770" s="196"/>
      <c r="CN770" s="194"/>
      <c r="CO770" s="197"/>
      <c r="CP770" s="196"/>
      <c r="CQ770" s="196"/>
      <c r="CR770" s="196"/>
      <c r="CS770" s="196"/>
      <c r="CT770" s="196"/>
      <c r="CU770" s="196"/>
      <c r="CV770" s="194"/>
      <c r="CW770" s="194"/>
      <c r="CX770" s="194"/>
      <c r="CY770" s="194"/>
      <c r="CZ770" s="194"/>
      <c r="DA770" s="194"/>
      <c r="DB770" s="194"/>
      <c r="DC770" s="194"/>
      <c r="DD770" s="194"/>
      <c r="DE770" s="194"/>
      <c r="DF770" s="196"/>
      <c r="DG770" s="198"/>
      <c r="DH770" s="194"/>
      <c r="DI770" s="194"/>
    </row>
    <row r="771" spans="1:113" s="24" customFormat="1" hidden="1" x14ac:dyDescent="0.3">
      <c r="A771" s="172"/>
      <c r="B771" s="172"/>
      <c r="C771" s="172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2"/>
      <c r="AT771" s="172"/>
      <c r="AU771" s="172"/>
      <c r="AV771" s="172"/>
      <c r="AW771" s="172"/>
      <c r="AX771" s="172"/>
      <c r="AY771" s="172"/>
      <c r="AZ771" s="172"/>
      <c r="BA771" s="172"/>
      <c r="BB771" s="172"/>
      <c r="BC771" s="172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  <c r="BT771" s="172"/>
      <c r="BU771" s="172"/>
      <c r="BV771" s="172"/>
      <c r="BW771" s="172"/>
      <c r="BX771" s="172"/>
      <c r="BY771" s="174"/>
      <c r="BZ771" s="172"/>
      <c r="CA771" s="172"/>
      <c r="CD771" s="194"/>
      <c r="CE771" s="194"/>
      <c r="CF771" s="194"/>
      <c r="CG771" s="194"/>
      <c r="CH771" s="195"/>
      <c r="CI771" s="194"/>
      <c r="CJ771" s="194"/>
      <c r="CK771" s="194"/>
      <c r="CL771" s="196"/>
      <c r="CM771" s="196"/>
      <c r="CN771" s="194"/>
      <c r="CO771" s="197"/>
      <c r="CP771" s="196"/>
      <c r="CQ771" s="196"/>
      <c r="CR771" s="196"/>
      <c r="CS771" s="196"/>
      <c r="CT771" s="196"/>
      <c r="CU771" s="196"/>
      <c r="CV771" s="194"/>
      <c r="CW771" s="194"/>
      <c r="CX771" s="194"/>
      <c r="CY771" s="194"/>
      <c r="CZ771" s="194"/>
      <c r="DA771" s="194"/>
      <c r="DB771" s="194"/>
      <c r="DC771" s="194"/>
      <c r="DD771" s="194"/>
      <c r="DE771" s="194"/>
      <c r="DF771" s="196"/>
      <c r="DG771" s="198"/>
      <c r="DH771" s="194"/>
      <c r="DI771" s="194"/>
    </row>
    <row r="772" spans="1:113" s="24" customFormat="1" hidden="1" x14ac:dyDescent="0.3">
      <c r="A772" s="172"/>
      <c r="B772" s="172"/>
      <c r="C772" s="172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2"/>
      <c r="AT772" s="172"/>
      <c r="AU772" s="172"/>
      <c r="AV772" s="172"/>
      <c r="AW772" s="172"/>
      <c r="AX772" s="172"/>
      <c r="AY772" s="172"/>
      <c r="AZ772" s="172"/>
      <c r="BA772" s="172"/>
      <c r="BB772" s="172"/>
      <c r="BC772" s="172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  <c r="BT772" s="172"/>
      <c r="BU772" s="172"/>
      <c r="BV772" s="172"/>
      <c r="BW772" s="172"/>
      <c r="BX772" s="172"/>
      <c r="BY772" s="174"/>
      <c r="BZ772" s="172"/>
      <c r="CA772" s="172"/>
      <c r="CD772" s="194"/>
      <c r="CE772" s="194"/>
      <c r="CF772" s="194"/>
      <c r="CG772" s="194"/>
      <c r="CH772" s="195"/>
      <c r="CI772" s="194"/>
      <c r="CJ772" s="194"/>
      <c r="CK772" s="194"/>
      <c r="CL772" s="196"/>
      <c r="CM772" s="196"/>
      <c r="CN772" s="194"/>
      <c r="CO772" s="197"/>
      <c r="CP772" s="196"/>
      <c r="CQ772" s="196"/>
      <c r="CR772" s="196"/>
      <c r="CS772" s="196"/>
      <c r="CT772" s="196"/>
      <c r="CU772" s="196"/>
      <c r="CV772" s="194"/>
      <c r="CW772" s="194"/>
      <c r="CX772" s="194"/>
      <c r="CY772" s="194"/>
      <c r="CZ772" s="194"/>
      <c r="DA772" s="194"/>
      <c r="DB772" s="194"/>
      <c r="DC772" s="194"/>
      <c r="DD772" s="194"/>
      <c r="DE772" s="194"/>
      <c r="DF772" s="196"/>
      <c r="DG772" s="198"/>
      <c r="DH772" s="194"/>
      <c r="DI772" s="194"/>
    </row>
    <row r="773" spans="1:113" s="24" customFormat="1" hidden="1" x14ac:dyDescent="0.3">
      <c r="A773" s="172"/>
      <c r="B773" s="172"/>
      <c r="C773" s="172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2"/>
      <c r="AT773" s="172"/>
      <c r="AU773" s="172"/>
      <c r="AV773" s="172"/>
      <c r="AW773" s="172"/>
      <c r="AX773" s="172"/>
      <c r="AY773" s="172"/>
      <c r="AZ773" s="172"/>
      <c r="BA773" s="172"/>
      <c r="BB773" s="172"/>
      <c r="BC773" s="172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  <c r="BT773" s="172"/>
      <c r="BU773" s="172"/>
      <c r="BV773" s="172"/>
      <c r="BW773" s="172"/>
      <c r="BX773" s="172"/>
      <c r="BY773" s="174"/>
      <c r="BZ773" s="172"/>
      <c r="CA773" s="172"/>
      <c r="CD773" s="194"/>
      <c r="CE773" s="194"/>
      <c r="CF773" s="194"/>
      <c r="CG773" s="194"/>
      <c r="CH773" s="195"/>
      <c r="CI773" s="194"/>
      <c r="CJ773" s="194"/>
      <c r="CK773" s="194"/>
      <c r="CL773" s="196"/>
      <c r="CM773" s="196"/>
      <c r="CN773" s="194"/>
      <c r="CO773" s="197"/>
      <c r="CP773" s="196"/>
      <c r="CQ773" s="196"/>
      <c r="CR773" s="196"/>
      <c r="CS773" s="196"/>
      <c r="CT773" s="196"/>
      <c r="CU773" s="196"/>
      <c r="CV773" s="194"/>
      <c r="CW773" s="194"/>
      <c r="CX773" s="194"/>
      <c r="CY773" s="194"/>
      <c r="CZ773" s="194"/>
      <c r="DA773" s="194"/>
      <c r="DB773" s="194"/>
      <c r="DC773" s="194"/>
      <c r="DD773" s="194"/>
      <c r="DE773" s="194"/>
      <c r="DF773" s="196"/>
      <c r="DG773" s="198"/>
      <c r="DH773" s="194"/>
      <c r="DI773" s="194"/>
    </row>
    <row r="774" spans="1:113" s="24" customFormat="1" hidden="1" x14ac:dyDescent="0.3">
      <c r="A774" s="172"/>
      <c r="B774" s="172"/>
      <c r="C774" s="172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2"/>
      <c r="AT774" s="172"/>
      <c r="AU774" s="172"/>
      <c r="AV774" s="172"/>
      <c r="AW774" s="172"/>
      <c r="AX774" s="172"/>
      <c r="AY774" s="172"/>
      <c r="AZ774" s="172"/>
      <c r="BA774" s="172"/>
      <c r="BB774" s="172"/>
      <c r="BC774" s="172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  <c r="BT774" s="172"/>
      <c r="BU774" s="172"/>
      <c r="BV774" s="172"/>
      <c r="BW774" s="172"/>
      <c r="BX774" s="172"/>
      <c r="BY774" s="174"/>
      <c r="BZ774" s="172"/>
      <c r="CA774" s="172"/>
      <c r="CD774" s="194"/>
      <c r="CE774" s="194"/>
      <c r="CF774" s="194"/>
      <c r="CG774" s="194"/>
      <c r="CH774" s="195"/>
      <c r="CI774" s="194"/>
      <c r="CJ774" s="194"/>
      <c r="CK774" s="194"/>
      <c r="CL774" s="196"/>
      <c r="CM774" s="196"/>
      <c r="CN774" s="194"/>
      <c r="CO774" s="197"/>
      <c r="CP774" s="196"/>
      <c r="CQ774" s="196"/>
      <c r="CR774" s="196"/>
      <c r="CS774" s="196"/>
      <c r="CT774" s="196"/>
      <c r="CU774" s="196"/>
      <c r="CV774" s="194"/>
      <c r="CW774" s="194"/>
      <c r="CX774" s="194"/>
      <c r="CY774" s="194"/>
      <c r="CZ774" s="194"/>
      <c r="DA774" s="194"/>
      <c r="DB774" s="194"/>
      <c r="DC774" s="194"/>
      <c r="DD774" s="194"/>
      <c r="DE774" s="194"/>
      <c r="DF774" s="196"/>
      <c r="DG774" s="198"/>
      <c r="DH774" s="194"/>
      <c r="DI774" s="194"/>
    </row>
    <row r="775" spans="1:113" s="24" customFormat="1" hidden="1" x14ac:dyDescent="0.3">
      <c r="A775" s="172"/>
      <c r="B775" s="172"/>
      <c r="C775" s="172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2"/>
      <c r="AT775" s="172"/>
      <c r="AU775" s="172"/>
      <c r="AV775" s="172"/>
      <c r="AW775" s="172"/>
      <c r="AX775" s="172"/>
      <c r="AY775" s="172"/>
      <c r="AZ775" s="172"/>
      <c r="BA775" s="172"/>
      <c r="BB775" s="172"/>
      <c r="BC775" s="172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  <c r="BT775" s="172"/>
      <c r="BU775" s="172"/>
      <c r="BV775" s="172"/>
      <c r="BW775" s="172"/>
      <c r="BX775" s="172"/>
      <c r="BY775" s="174"/>
      <c r="BZ775" s="172"/>
      <c r="CA775" s="172"/>
      <c r="CD775" s="194"/>
      <c r="CE775" s="194"/>
      <c r="CF775" s="194"/>
      <c r="CG775" s="194"/>
      <c r="CH775" s="195"/>
      <c r="CI775" s="194"/>
      <c r="CJ775" s="194"/>
      <c r="CK775" s="194"/>
      <c r="CL775" s="196"/>
      <c r="CM775" s="196"/>
      <c r="CN775" s="194"/>
      <c r="CO775" s="197"/>
      <c r="CP775" s="196"/>
      <c r="CQ775" s="196"/>
      <c r="CR775" s="196"/>
      <c r="CS775" s="196"/>
      <c r="CT775" s="196"/>
      <c r="CU775" s="196"/>
      <c r="CV775" s="194"/>
      <c r="CW775" s="194"/>
      <c r="CX775" s="194"/>
      <c r="CY775" s="194"/>
      <c r="CZ775" s="194"/>
      <c r="DA775" s="194"/>
      <c r="DB775" s="194"/>
      <c r="DC775" s="194"/>
      <c r="DD775" s="194"/>
      <c r="DE775" s="194"/>
      <c r="DF775" s="196"/>
      <c r="DG775" s="198"/>
      <c r="DH775" s="194"/>
      <c r="DI775" s="194"/>
    </row>
    <row r="776" spans="1:113" s="24" customFormat="1" hidden="1" x14ac:dyDescent="0.3">
      <c r="A776" s="172"/>
      <c r="B776" s="172"/>
      <c r="C776" s="172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2"/>
      <c r="AT776" s="172"/>
      <c r="AU776" s="172"/>
      <c r="AV776" s="172"/>
      <c r="AW776" s="172"/>
      <c r="AX776" s="172"/>
      <c r="AY776" s="172"/>
      <c r="AZ776" s="172"/>
      <c r="BA776" s="172"/>
      <c r="BB776" s="172"/>
      <c r="BC776" s="172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  <c r="BT776" s="172"/>
      <c r="BU776" s="172"/>
      <c r="BV776" s="172"/>
      <c r="BW776" s="172"/>
      <c r="BX776" s="172"/>
      <c r="BY776" s="174"/>
      <c r="BZ776" s="172"/>
      <c r="CA776" s="172"/>
      <c r="CD776" s="194"/>
      <c r="CE776" s="194"/>
      <c r="CF776" s="194"/>
      <c r="CG776" s="194"/>
      <c r="CH776" s="195"/>
      <c r="CI776" s="194"/>
      <c r="CJ776" s="194"/>
      <c r="CK776" s="194"/>
      <c r="CL776" s="196"/>
      <c r="CM776" s="196"/>
      <c r="CN776" s="194"/>
      <c r="CO776" s="197"/>
      <c r="CP776" s="196"/>
      <c r="CQ776" s="196"/>
      <c r="CR776" s="196"/>
      <c r="CS776" s="196"/>
      <c r="CT776" s="196"/>
      <c r="CU776" s="196"/>
      <c r="CV776" s="194"/>
      <c r="CW776" s="194"/>
      <c r="CX776" s="194"/>
      <c r="CY776" s="194"/>
      <c r="CZ776" s="194"/>
      <c r="DA776" s="194"/>
      <c r="DB776" s="194"/>
      <c r="DC776" s="194"/>
      <c r="DD776" s="194"/>
      <c r="DE776" s="194"/>
      <c r="DF776" s="196"/>
      <c r="DG776" s="198"/>
      <c r="DH776" s="194"/>
      <c r="DI776" s="194"/>
    </row>
    <row r="777" spans="1:113" s="24" customFormat="1" hidden="1" x14ac:dyDescent="0.3">
      <c r="A777" s="172"/>
      <c r="B777" s="172"/>
      <c r="C777" s="172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2"/>
      <c r="AT777" s="172"/>
      <c r="AU777" s="172"/>
      <c r="AV777" s="172"/>
      <c r="AW777" s="172"/>
      <c r="AX777" s="172"/>
      <c r="AY777" s="172"/>
      <c r="AZ777" s="172"/>
      <c r="BA777" s="172"/>
      <c r="BB777" s="172"/>
      <c r="BC777" s="172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  <c r="BT777" s="172"/>
      <c r="BU777" s="172"/>
      <c r="BV777" s="172"/>
      <c r="BW777" s="172"/>
      <c r="BX777" s="172"/>
      <c r="BY777" s="174"/>
      <c r="BZ777" s="172"/>
      <c r="CA777" s="172"/>
      <c r="CD777" s="194"/>
      <c r="CE777" s="194"/>
      <c r="CF777" s="194"/>
      <c r="CG777" s="194"/>
      <c r="CH777" s="195"/>
      <c r="CI777" s="194"/>
      <c r="CJ777" s="194"/>
      <c r="CK777" s="194"/>
      <c r="CL777" s="196"/>
      <c r="CM777" s="196"/>
      <c r="CN777" s="194"/>
      <c r="CO777" s="197"/>
      <c r="CP777" s="196"/>
      <c r="CQ777" s="196"/>
      <c r="CR777" s="196"/>
      <c r="CS777" s="196"/>
      <c r="CT777" s="196"/>
      <c r="CU777" s="196"/>
      <c r="CV777" s="194"/>
      <c r="CW777" s="194"/>
      <c r="CX777" s="194"/>
      <c r="CY777" s="194"/>
      <c r="CZ777" s="194"/>
      <c r="DA777" s="194"/>
      <c r="DB777" s="194"/>
      <c r="DC777" s="194"/>
      <c r="DD777" s="194"/>
      <c r="DE777" s="194"/>
      <c r="DF777" s="196"/>
      <c r="DG777" s="198"/>
      <c r="DH777" s="194"/>
      <c r="DI777" s="194"/>
    </row>
    <row r="778" spans="1:113" s="24" customFormat="1" hidden="1" x14ac:dyDescent="0.3">
      <c r="A778" s="172"/>
      <c r="B778" s="172"/>
      <c r="C778" s="172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2"/>
      <c r="AT778" s="172"/>
      <c r="AU778" s="172"/>
      <c r="AV778" s="172"/>
      <c r="AW778" s="172"/>
      <c r="AX778" s="172"/>
      <c r="AY778" s="172"/>
      <c r="AZ778" s="172"/>
      <c r="BA778" s="172"/>
      <c r="BB778" s="172"/>
      <c r="BC778" s="172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  <c r="BT778" s="172"/>
      <c r="BU778" s="172"/>
      <c r="BV778" s="172"/>
      <c r="BW778" s="172"/>
      <c r="BX778" s="172"/>
      <c r="BY778" s="174"/>
      <c r="BZ778" s="172"/>
      <c r="CA778" s="172"/>
      <c r="CD778" s="194"/>
      <c r="CE778" s="194"/>
      <c r="CF778" s="194"/>
      <c r="CG778" s="194"/>
      <c r="CH778" s="195"/>
      <c r="CI778" s="194"/>
      <c r="CJ778" s="194"/>
      <c r="CK778" s="194"/>
      <c r="CL778" s="196"/>
      <c r="CM778" s="196"/>
      <c r="CN778" s="194"/>
      <c r="CO778" s="197"/>
      <c r="CP778" s="196"/>
      <c r="CQ778" s="196"/>
      <c r="CR778" s="196"/>
      <c r="CS778" s="196"/>
      <c r="CT778" s="196"/>
      <c r="CU778" s="196"/>
      <c r="CV778" s="194"/>
      <c r="CW778" s="194"/>
      <c r="CX778" s="194"/>
      <c r="CY778" s="194"/>
      <c r="CZ778" s="194"/>
      <c r="DA778" s="194"/>
      <c r="DB778" s="194"/>
      <c r="DC778" s="194"/>
      <c r="DD778" s="194"/>
      <c r="DE778" s="194"/>
      <c r="DF778" s="196"/>
      <c r="DG778" s="198"/>
      <c r="DH778" s="194"/>
      <c r="DI778" s="194"/>
    </row>
    <row r="779" spans="1:113" s="24" customFormat="1" hidden="1" x14ac:dyDescent="0.3">
      <c r="A779" s="172"/>
      <c r="B779" s="172"/>
      <c r="C779" s="172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2"/>
      <c r="AT779" s="172"/>
      <c r="AU779" s="172"/>
      <c r="AV779" s="172"/>
      <c r="AW779" s="172"/>
      <c r="AX779" s="172"/>
      <c r="AY779" s="172"/>
      <c r="AZ779" s="172"/>
      <c r="BA779" s="172"/>
      <c r="BB779" s="172"/>
      <c r="BC779" s="172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  <c r="BT779" s="172"/>
      <c r="BU779" s="172"/>
      <c r="BV779" s="172"/>
      <c r="BW779" s="172"/>
      <c r="BX779" s="172"/>
      <c r="BY779" s="174"/>
      <c r="BZ779" s="172"/>
      <c r="CA779" s="172"/>
      <c r="CD779" s="194"/>
      <c r="CE779" s="194"/>
      <c r="CF779" s="194"/>
      <c r="CG779" s="194"/>
      <c r="CH779" s="195"/>
      <c r="CI779" s="194"/>
      <c r="CJ779" s="194"/>
      <c r="CK779" s="194"/>
      <c r="CL779" s="196"/>
      <c r="CM779" s="196"/>
      <c r="CN779" s="194"/>
      <c r="CO779" s="197"/>
      <c r="CP779" s="196"/>
      <c r="CQ779" s="196"/>
      <c r="CR779" s="196"/>
      <c r="CS779" s="196"/>
      <c r="CT779" s="196"/>
      <c r="CU779" s="196"/>
      <c r="CV779" s="194"/>
      <c r="CW779" s="194"/>
      <c r="CX779" s="194"/>
      <c r="CY779" s="194"/>
      <c r="CZ779" s="194"/>
      <c r="DA779" s="194"/>
      <c r="DB779" s="194"/>
      <c r="DC779" s="194"/>
      <c r="DD779" s="194"/>
      <c r="DE779" s="194"/>
      <c r="DF779" s="196"/>
      <c r="DG779" s="198"/>
      <c r="DH779" s="194"/>
      <c r="DI779" s="194"/>
    </row>
    <row r="780" spans="1:113" s="24" customFormat="1" hidden="1" x14ac:dyDescent="0.3">
      <c r="A780" s="172"/>
      <c r="B780" s="172"/>
      <c r="C780" s="172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2"/>
      <c r="AT780" s="172"/>
      <c r="AU780" s="172"/>
      <c r="AV780" s="172"/>
      <c r="AW780" s="172"/>
      <c r="AX780" s="172"/>
      <c r="AY780" s="172"/>
      <c r="AZ780" s="172"/>
      <c r="BA780" s="172"/>
      <c r="BB780" s="172"/>
      <c r="BC780" s="172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  <c r="BT780" s="172"/>
      <c r="BU780" s="172"/>
      <c r="BV780" s="172"/>
      <c r="BW780" s="172"/>
      <c r="BX780" s="172"/>
      <c r="BY780" s="174"/>
      <c r="BZ780" s="172"/>
      <c r="CA780" s="172"/>
      <c r="CD780" s="194"/>
      <c r="CE780" s="194"/>
      <c r="CF780" s="194"/>
      <c r="CG780" s="194"/>
      <c r="CH780" s="195"/>
      <c r="CI780" s="194"/>
      <c r="CJ780" s="194"/>
      <c r="CK780" s="194"/>
      <c r="CL780" s="196"/>
      <c r="CM780" s="196"/>
      <c r="CN780" s="194"/>
      <c r="CO780" s="197"/>
      <c r="CP780" s="196"/>
      <c r="CQ780" s="196"/>
      <c r="CR780" s="196"/>
      <c r="CS780" s="196"/>
      <c r="CT780" s="196"/>
      <c r="CU780" s="196"/>
      <c r="CV780" s="194"/>
      <c r="CW780" s="194"/>
      <c r="CX780" s="194"/>
      <c r="CY780" s="194"/>
      <c r="CZ780" s="194"/>
      <c r="DA780" s="194"/>
      <c r="DB780" s="194"/>
      <c r="DC780" s="194"/>
      <c r="DD780" s="194"/>
      <c r="DE780" s="194"/>
      <c r="DF780" s="196"/>
      <c r="DG780" s="198"/>
      <c r="DH780" s="194"/>
      <c r="DI780" s="194"/>
    </row>
    <row r="781" spans="1:113" s="24" customFormat="1" hidden="1" x14ac:dyDescent="0.3">
      <c r="A781" s="172"/>
      <c r="B781" s="172"/>
      <c r="C781" s="172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2"/>
      <c r="AT781" s="172"/>
      <c r="AU781" s="172"/>
      <c r="AV781" s="172"/>
      <c r="AW781" s="172"/>
      <c r="AX781" s="172"/>
      <c r="AY781" s="172"/>
      <c r="AZ781" s="172"/>
      <c r="BA781" s="172"/>
      <c r="BB781" s="172"/>
      <c r="BC781" s="172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  <c r="BT781" s="172"/>
      <c r="BU781" s="172"/>
      <c r="BV781" s="172"/>
      <c r="BW781" s="172"/>
      <c r="BX781" s="172"/>
      <c r="BY781" s="174"/>
      <c r="BZ781" s="172"/>
      <c r="CA781" s="172"/>
      <c r="CD781" s="194"/>
      <c r="CE781" s="194"/>
      <c r="CF781" s="194"/>
      <c r="CG781" s="194"/>
      <c r="CH781" s="195"/>
      <c r="CI781" s="194"/>
      <c r="CJ781" s="194"/>
      <c r="CK781" s="194"/>
      <c r="CL781" s="196"/>
      <c r="CM781" s="196"/>
      <c r="CN781" s="194"/>
      <c r="CO781" s="197"/>
      <c r="CP781" s="196"/>
      <c r="CQ781" s="196"/>
      <c r="CR781" s="196"/>
      <c r="CS781" s="196"/>
      <c r="CT781" s="196"/>
      <c r="CU781" s="196"/>
      <c r="CV781" s="194"/>
      <c r="CW781" s="194"/>
      <c r="CX781" s="194"/>
      <c r="CY781" s="194"/>
      <c r="CZ781" s="194"/>
      <c r="DA781" s="194"/>
      <c r="DB781" s="194"/>
      <c r="DC781" s="194"/>
      <c r="DD781" s="194"/>
      <c r="DE781" s="194"/>
      <c r="DF781" s="196"/>
      <c r="DG781" s="198"/>
      <c r="DH781" s="194"/>
      <c r="DI781" s="194"/>
    </row>
    <row r="782" spans="1:113" s="24" customFormat="1" hidden="1" x14ac:dyDescent="0.3">
      <c r="A782" s="172"/>
      <c r="B782" s="172"/>
      <c r="C782" s="172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2"/>
      <c r="AT782" s="172"/>
      <c r="AU782" s="172"/>
      <c r="AV782" s="172"/>
      <c r="AW782" s="172"/>
      <c r="AX782" s="172"/>
      <c r="AY782" s="172"/>
      <c r="AZ782" s="172"/>
      <c r="BA782" s="172"/>
      <c r="BB782" s="172"/>
      <c r="BC782" s="172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  <c r="BT782" s="172"/>
      <c r="BU782" s="172"/>
      <c r="BV782" s="172"/>
      <c r="BW782" s="172"/>
      <c r="BX782" s="172"/>
      <c r="BY782" s="174"/>
      <c r="BZ782" s="172"/>
      <c r="CA782" s="172"/>
      <c r="CD782" s="194"/>
      <c r="CE782" s="194"/>
      <c r="CF782" s="194"/>
      <c r="CG782" s="194"/>
      <c r="CH782" s="195"/>
      <c r="CI782" s="194"/>
      <c r="CJ782" s="194"/>
      <c r="CK782" s="194"/>
      <c r="CL782" s="196"/>
      <c r="CM782" s="196"/>
      <c r="CN782" s="194"/>
      <c r="CO782" s="197"/>
      <c r="CP782" s="196"/>
      <c r="CQ782" s="196"/>
      <c r="CR782" s="196"/>
      <c r="CS782" s="196"/>
      <c r="CT782" s="196"/>
      <c r="CU782" s="196"/>
      <c r="CV782" s="194"/>
      <c r="CW782" s="194"/>
      <c r="CX782" s="194"/>
      <c r="CY782" s="194"/>
      <c r="CZ782" s="194"/>
      <c r="DA782" s="194"/>
      <c r="DB782" s="194"/>
      <c r="DC782" s="194"/>
      <c r="DD782" s="194"/>
      <c r="DE782" s="194"/>
      <c r="DF782" s="196"/>
      <c r="DG782" s="198"/>
      <c r="DH782" s="194"/>
      <c r="DI782" s="194"/>
    </row>
    <row r="783" spans="1:113" s="24" customFormat="1" hidden="1" x14ac:dyDescent="0.3">
      <c r="A783" s="172"/>
      <c r="B783" s="172"/>
      <c r="C783" s="172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2"/>
      <c r="AT783" s="172"/>
      <c r="AU783" s="172"/>
      <c r="AV783" s="172"/>
      <c r="AW783" s="172"/>
      <c r="AX783" s="172"/>
      <c r="AY783" s="172"/>
      <c r="AZ783" s="172"/>
      <c r="BA783" s="172"/>
      <c r="BB783" s="172"/>
      <c r="BC783" s="172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  <c r="BT783" s="172"/>
      <c r="BU783" s="172"/>
      <c r="BV783" s="172"/>
      <c r="BW783" s="172"/>
      <c r="BX783" s="172"/>
      <c r="BY783" s="174"/>
      <c r="BZ783" s="172"/>
      <c r="CA783" s="172"/>
      <c r="CD783" s="194"/>
      <c r="CE783" s="194"/>
      <c r="CF783" s="194"/>
      <c r="CG783" s="194"/>
      <c r="CH783" s="195"/>
      <c r="CI783" s="194"/>
      <c r="CJ783" s="194"/>
      <c r="CK783" s="194"/>
      <c r="CL783" s="196"/>
      <c r="CM783" s="196"/>
      <c r="CN783" s="194"/>
      <c r="CO783" s="197"/>
      <c r="CP783" s="196"/>
      <c r="CQ783" s="196"/>
      <c r="CR783" s="196"/>
      <c r="CS783" s="196"/>
      <c r="CT783" s="196"/>
      <c r="CU783" s="196"/>
      <c r="CV783" s="194"/>
      <c r="CW783" s="194"/>
      <c r="CX783" s="194"/>
      <c r="CY783" s="194"/>
      <c r="CZ783" s="194"/>
      <c r="DA783" s="194"/>
      <c r="DB783" s="194"/>
      <c r="DC783" s="194"/>
      <c r="DD783" s="194"/>
      <c r="DE783" s="194"/>
      <c r="DF783" s="196"/>
      <c r="DG783" s="198"/>
      <c r="DH783" s="194"/>
      <c r="DI783" s="194"/>
    </row>
    <row r="784" spans="1:113" s="24" customFormat="1" hidden="1" x14ac:dyDescent="0.3">
      <c r="A784" s="172"/>
      <c r="B784" s="172"/>
      <c r="C784" s="172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2"/>
      <c r="AT784" s="172"/>
      <c r="AU784" s="172"/>
      <c r="AV784" s="172"/>
      <c r="AW784" s="172"/>
      <c r="AX784" s="172"/>
      <c r="AY784" s="172"/>
      <c r="AZ784" s="172"/>
      <c r="BA784" s="172"/>
      <c r="BB784" s="172"/>
      <c r="BC784" s="172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  <c r="BT784" s="172"/>
      <c r="BU784" s="172"/>
      <c r="BV784" s="172"/>
      <c r="BW784" s="172"/>
      <c r="BX784" s="172"/>
      <c r="BY784" s="174"/>
      <c r="BZ784" s="172"/>
      <c r="CA784" s="172"/>
      <c r="CD784" s="194"/>
      <c r="CE784" s="194"/>
      <c r="CF784" s="194"/>
      <c r="CG784" s="194"/>
      <c r="CH784" s="195"/>
      <c r="CI784" s="194"/>
      <c r="CJ784" s="194"/>
      <c r="CK784" s="194"/>
      <c r="CL784" s="196"/>
      <c r="CM784" s="196"/>
      <c r="CN784" s="194"/>
      <c r="CO784" s="197"/>
      <c r="CP784" s="196"/>
      <c r="CQ784" s="196"/>
      <c r="CR784" s="196"/>
      <c r="CS784" s="196"/>
      <c r="CT784" s="196"/>
      <c r="CU784" s="196"/>
      <c r="CV784" s="194"/>
      <c r="CW784" s="194"/>
      <c r="CX784" s="194"/>
      <c r="CY784" s="194"/>
      <c r="CZ784" s="194"/>
      <c r="DA784" s="194"/>
      <c r="DB784" s="194"/>
      <c r="DC784" s="194"/>
      <c r="DD784" s="194"/>
      <c r="DE784" s="194"/>
      <c r="DF784" s="196"/>
      <c r="DG784" s="198"/>
      <c r="DH784" s="194"/>
      <c r="DI784" s="194"/>
    </row>
    <row r="785" spans="1:113" s="24" customFormat="1" hidden="1" x14ac:dyDescent="0.3">
      <c r="A785" s="172"/>
      <c r="B785" s="172"/>
      <c r="C785" s="172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2"/>
      <c r="AT785" s="172"/>
      <c r="AU785" s="172"/>
      <c r="AV785" s="172"/>
      <c r="AW785" s="172"/>
      <c r="AX785" s="172"/>
      <c r="AY785" s="172"/>
      <c r="AZ785" s="172"/>
      <c r="BA785" s="172"/>
      <c r="BB785" s="172"/>
      <c r="BC785" s="172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  <c r="BT785" s="172"/>
      <c r="BU785" s="172"/>
      <c r="BV785" s="172"/>
      <c r="BW785" s="172"/>
      <c r="BX785" s="172"/>
      <c r="BY785" s="174"/>
      <c r="BZ785" s="172"/>
      <c r="CA785" s="172"/>
      <c r="CD785" s="194"/>
      <c r="CE785" s="194"/>
      <c r="CF785" s="194"/>
      <c r="CG785" s="194"/>
      <c r="CH785" s="195"/>
      <c r="CI785" s="194"/>
      <c r="CJ785" s="194"/>
      <c r="CK785" s="194"/>
      <c r="CL785" s="196"/>
      <c r="CM785" s="196"/>
      <c r="CN785" s="194"/>
      <c r="CO785" s="197"/>
      <c r="CP785" s="196"/>
      <c r="CQ785" s="196"/>
      <c r="CR785" s="196"/>
      <c r="CS785" s="196"/>
      <c r="CT785" s="196"/>
      <c r="CU785" s="196"/>
      <c r="CV785" s="194"/>
      <c r="CW785" s="194"/>
      <c r="CX785" s="194"/>
      <c r="CY785" s="194"/>
      <c r="CZ785" s="194"/>
      <c r="DA785" s="194"/>
      <c r="DB785" s="194"/>
      <c r="DC785" s="194"/>
      <c r="DD785" s="194"/>
      <c r="DE785" s="194"/>
      <c r="DF785" s="196"/>
      <c r="DG785" s="198"/>
      <c r="DH785" s="194"/>
      <c r="DI785" s="194"/>
    </row>
    <row r="786" spans="1:113" s="24" customFormat="1" hidden="1" x14ac:dyDescent="0.3">
      <c r="A786" s="172"/>
      <c r="B786" s="172"/>
      <c r="C786" s="172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2"/>
      <c r="AT786" s="172"/>
      <c r="AU786" s="172"/>
      <c r="AV786" s="172"/>
      <c r="AW786" s="172"/>
      <c r="AX786" s="172"/>
      <c r="AY786" s="172"/>
      <c r="AZ786" s="172"/>
      <c r="BA786" s="172"/>
      <c r="BB786" s="172"/>
      <c r="BC786" s="172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  <c r="BT786" s="172"/>
      <c r="BU786" s="172"/>
      <c r="BV786" s="172"/>
      <c r="BW786" s="172"/>
      <c r="BX786" s="172"/>
      <c r="BY786" s="174"/>
      <c r="BZ786" s="172"/>
      <c r="CA786" s="172"/>
      <c r="CD786" s="194"/>
      <c r="CE786" s="194"/>
      <c r="CF786" s="194"/>
      <c r="CG786" s="194"/>
      <c r="CH786" s="195"/>
      <c r="CI786" s="194"/>
      <c r="CJ786" s="194"/>
      <c r="CK786" s="194"/>
      <c r="CL786" s="196"/>
      <c r="CM786" s="196"/>
      <c r="CN786" s="194"/>
      <c r="CO786" s="197"/>
      <c r="CP786" s="196"/>
      <c r="CQ786" s="196"/>
      <c r="CR786" s="196"/>
      <c r="CS786" s="196"/>
      <c r="CT786" s="196"/>
      <c r="CU786" s="196"/>
      <c r="CV786" s="194"/>
      <c r="CW786" s="194"/>
      <c r="CX786" s="194"/>
      <c r="CY786" s="194"/>
      <c r="CZ786" s="194"/>
      <c r="DA786" s="194"/>
      <c r="DB786" s="194"/>
      <c r="DC786" s="194"/>
      <c r="DD786" s="194"/>
      <c r="DE786" s="194"/>
      <c r="DF786" s="196"/>
      <c r="DG786" s="198"/>
      <c r="DH786" s="194"/>
      <c r="DI786" s="194"/>
    </row>
    <row r="787" spans="1:113" s="24" customFormat="1" hidden="1" x14ac:dyDescent="0.3">
      <c r="A787" s="172"/>
      <c r="B787" s="172"/>
      <c r="C787" s="172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2"/>
      <c r="AT787" s="172"/>
      <c r="AU787" s="172"/>
      <c r="AV787" s="172"/>
      <c r="AW787" s="172"/>
      <c r="AX787" s="172"/>
      <c r="AY787" s="172"/>
      <c r="AZ787" s="172"/>
      <c r="BA787" s="172"/>
      <c r="BB787" s="172"/>
      <c r="BC787" s="172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  <c r="BT787" s="172"/>
      <c r="BU787" s="172"/>
      <c r="BV787" s="172"/>
      <c r="BW787" s="172"/>
      <c r="BX787" s="172"/>
      <c r="BY787" s="174"/>
      <c r="BZ787" s="172"/>
      <c r="CA787" s="172"/>
      <c r="CD787" s="194"/>
      <c r="CE787" s="194"/>
      <c r="CF787" s="194"/>
      <c r="CG787" s="194"/>
      <c r="CH787" s="195"/>
      <c r="CI787" s="194"/>
      <c r="CJ787" s="194"/>
      <c r="CK787" s="194"/>
      <c r="CL787" s="196"/>
      <c r="CM787" s="196"/>
      <c r="CN787" s="194"/>
      <c r="CO787" s="197"/>
      <c r="CP787" s="196"/>
      <c r="CQ787" s="196"/>
      <c r="CR787" s="196"/>
      <c r="CS787" s="196"/>
      <c r="CT787" s="196"/>
      <c r="CU787" s="196"/>
      <c r="CV787" s="194"/>
      <c r="CW787" s="194"/>
      <c r="CX787" s="194"/>
      <c r="CY787" s="194"/>
      <c r="CZ787" s="194"/>
      <c r="DA787" s="194"/>
      <c r="DB787" s="194"/>
      <c r="DC787" s="194"/>
      <c r="DD787" s="194"/>
      <c r="DE787" s="194"/>
      <c r="DF787" s="196"/>
      <c r="DG787" s="198"/>
      <c r="DH787" s="194"/>
      <c r="DI787" s="194"/>
    </row>
    <row r="788" spans="1:113" s="24" customFormat="1" hidden="1" x14ac:dyDescent="0.3">
      <c r="A788" s="172"/>
      <c r="B788" s="172"/>
      <c r="C788" s="172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2"/>
      <c r="AT788" s="172"/>
      <c r="AU788" s="172"/>
      <c r="AV788" s="172"/>
      <c r="AW788" s="172"/>
      <c r="AX788" s="172"/>
      <c r="AY788" s="172"/>
      <c r="AZ788" s="172"/>
      <c r="BA788" s="172"/>
      <c r="BB788" s="172"/>
      <c r="BC788" s="172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  <c r="BT788" s="172"/>
      <c r="BU788" s="172"/>
      <c r="BV788" s="172"/>
      <c r="BW788" s="172"/>
      <c r="BX788" s="172"/>
      <c r="BY788" s="174"/>
      <c r="BZ788" s="172"/>
      <c r="CA788" s="172"/>
      <c r="CD788" s="194"/>
      <c r="CE788" s="194"/>
      <c r="CF788" s="194"/>
      <c r="CG788" s="194"/>
      <c r="CH788" s="195"/>
      <c r="CI788" s="194"/>
      <c r="CJ788" s="194"/>
      <c r="CK788" s="194"/>
      <c r="CL788" s="196"/>
      <c r="CM788" s="196"/>
      <c r="CN788" s="194"/>
      <c r="CO788" s="197"/>
      <c r="CP788" s="196"/>
      <c r="CQ788" s="196"/>
      <c r="CR788" s="196"/>
      <c r="CS788" s="196"/>
      <c r="CT788" s="196"/>
      <c r="CU788" s="196"/>
      <c r="CV788" s="194"/>
      <c r="CW788" s="194"/>
      <c r="CX788" s="194"/>
      <c r="CY788" s="194"/>
      <c r="CZ788" s="194"/>
      <c r="DA788" s="194"/>
      <c r="DB788" s="194"/>
      <c r="DC788" s="194"/>
      <c r="DD788" s="194"/>
      <c r="DE788" s="194"/>
      <c r="DF788" s="196"/>
      <c r="DG788" s="198"/>
      <c r="DH788" s="194"/>
      <c r="DI788" s="194"/>
    </row>
    <row r="789" spans="1:113" hidden="1" x14ac:dyDescent="0.3">
      <c r="A789" s="172"/>
      <c r="B789" s="172"/>
      <c r="C789" s="172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2"/>
      <c r="AT789" s="172"/>
      <c r="AU789" s="172"/>
      <c r="AV789" s="172"/>
      <c r="AW789" s="172"/>
      <c r="AX789" s="172"/>
      <c r="AY789" s="172"/>
      <c r="AZ789" s="172"/>
      <c r="BA789" s="172"/>
      <c r="BB789" s="172"/>
      <c r="BC789" s="172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  <c r="BT789" s="172"/>
      <c r="BU789" s="172"/>
      <c r="BV789" s="172"/>
      <c r="BW789" s="172"/>
      <c r="BX789" s="172"/>
      <c r="BY789" s="174"/>
      <c r="BZ789" s="172"/>
      <c r="CA789" s="172"/>
      <c r="CH789" s="195"/>
      <c r="CI789" s="194"/>
    </row>
    <row r="790" spans="1:113" hidden="1" x14ac:dyDescent="0.3">
      <c r="A790" s="172"/>
      <c r="B790" s="172"/>
      <c r="C790" s="172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2"/>
      <c r="AT790" s="172"/>
      <c r="AU790" s="172"/>
      <c r="AV790" s="172"/>
      <c r="AW790" s="172"/>
      <c r="AX790" s="172"/>
      <c r="AY790" s="172"/>
      <c r="AZ790" s="172"/>
      <c r="BA790" s="172"/>
      <c r="BB790" s="172"/>
      <c r="BC790" s="172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  <c r="BT790" s="172"/>
      <c r="BU790" s="172"/>
      <c r="BV790" s="172"/>
      <c r="BW790" s="172"/>
      <c r="BX790" s="172"/>
      <c r="BY790" s="174"/>
      <c r="BZ790" s="172"/>
      <c r="CA790" s="172"/>
    </row>
    <row r="791" spans="1:113" hidden="1" x14ac:dyDescent="0.3">
      <c r="A791" s="172"/>
      <c r="B791" s="172"/>
      <c r="C791" s="172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2"/>
      <c r="AT791" s="172"/>
      <c r="AU791" s="172"/>
      <c r="AV791" s="172"/>
      <c r="AW791" s="172"/>
      <c r="AX791" s="172"/>
      <c r="AY791" s="172"/>
      <c r="AZ791" s="172"/>
      <c r="BA791" s="172"/>
      <c r="BB791" s="172"/>
      <c r="BC791" s="172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  <c r="BT791" s="172"/>
      <c r="BU791" s="172"/>
      <c r="BV791" s="172"/>
      <c r="BW791" s="172"/>
      <c r="BX791" s="172"/>
      <c r="BY791" s="174"/>
      <c r="BZ791" s="172"/>
      <c r="CA791" s="172"/>
    </row>
    <row r="792" spans="1:113" hidden="1" x14ac:dyDescent="0.3">
      <c r="A792" s="172"/>
      <c r="B792" s="172"/>
      <c r="C792" s="172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2"/>
      <c r="AT792" s="172"/>
      <c r="AU792" s="172"/>
      <c r="AV792" s="172"/>
      <c r="AW792" s="172"/>
      <c r="AX792" s="172"/>
      <c r="AY792" s="172"/>
      <c r="AZ792" s="172"/>
      <c r="BA792" s="172"/>
      <c r="BB792" s="172"/>
      <c r="BC792" s="172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  <c r="BT792" s="172"/>
      <c r="BU792" s="172"/>
      <c r="BV792" s="172"/>
      <c r="BW792" s="172"/>
      <c r="BX792" s="172"/>
      <c r="BY792" s="174"/>
      <c r="BZ792" s="172"/>
      <c r="CA792" s="172"/>
    </row>
    <row r="793" spans="1:113" hidden="1" x14ac:dyDescent="0.3">
      <c r="A793" s="172"/>
      <c r="B793" s="172"/>
      <c r="C793" s="172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2"/>
      <c r="AT793" s="172"/>
      <c r="AU793" s="172"/>
      <c r="AV793" s="172"/>
      <c r="AW793" s="172"/>
      <c r="AX793" s="172"/>
      <c r="AY793" s="172"/>
      <c r="AZ793" s="172"/>
      <c r="BA793" s="172"/>
      <c r="BB793" s="172"/>
      <c r="BC793" s="172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  <c r="BT793" s="172"/>
      <c r="BU793" s="172"/>
      <c r="BV793" s="172"/>
      <c r="BW793" s="172"/>
      <c r="BX793" s="172"/>
      <c r="BY793" s="174"/>
      <c r="BZ793" s="172"/>
      <c r="CA793" s="172"/>
    </row>
    <row r="794" spans="1:113" hidden="1" x14ac:dyDescent="0.3">
      <c r="A794" s="172"/>
      <c r="B794" s="172"/>
      <c r="C794" s="172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2"/>
      <c r="AT794" s="172"/>
      <c r="AU794" s="172"/>
      <c r="AV794" s="172"/>
      <c r="AW794" s="172"/>
      <c r="AX794" s="172"/>
      <c r="AY794" s="172"/>
      <c r="AZ794" s="172"/>
      <c r="BA794" s="172"/>
      <c r="BB794" s="172"/>
      <c r="BC794" s="172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  <c r="BT794" s="172"/>
      <c r="BU794" s="172"/>
      <c r="BV794" s="172"/>
      <c r="BW794" s="172"/>
      <c r="BX794" s="172"/>
      <c r="BY794" s="174"/>
      <c r="BZ794" s="172"/>
      <c r="CA794" s="172"/>
    </row>
    <row r="795" spans="1:113" hidden="1" x14ac:dyDescent="0.3">
      <c r="A795" s="172"/>
      <c r="B795" s="172"/>
      <c r="C795" s="172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2"/>
      <c r="AT795" s="172"/>
      <c r="AU795" s="172"/>
      <c r="AV795" s="172"/>
      <c r="AW795" s="172"/>
      <c r="AX795" s="172"/>
      <c r="AY795" s="172"/>
      <c r="AZ795" s="172"/>
      <c r="BA795" s="172"/>
      <c r="BB795" s="172"/>
      <c r="BC795" s="172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  <c r="BT795" s="172"/>
      <c r="BU795" s="172"/>
      <c r="BV795" s="172"/>
      <c r="BW795" s="172"/>
      <c r="BX795" s="172"/>
      <c r="BY795" s="174"/>
      <c r="BZ795" s="172"/>
      <c r="CA795" s="172"/>
    </row>
    <row r="796" spans="1:113" hidden="1" x14ac:dyDescent="0.3">
      <c r="A796" s="172"/>
      <c r="B796" s="172"/>
      <c r="C796" s="172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2"/>
      <c r="AT796" s="172"/>
      <c r="AU796" s="172"/>
      <c r="AV796" s="172"/>
      <c r="AW796" s="172"/>
      <c r="AX796" s="172"/>
      <c r="AY796" s="172"/>
      <c r="AZ796" s="172"/>
      <c r="BA796" s="172"/>
      <c r="BB796" s="172"/>
      <c r="BC796" s="172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  <c r="BT796" s="172"/>
      <c r="BU796" s="172"/>
      <c r="BV796" s="172"/>
      <c r="BW796" s="172"/>
      <c r="BX796" s="172"/>
      <c r="BY796" s="174"/>
      <c r="BZ796" s="172"/>
      <c r="CA796" s="172"/>
    </row>
    <row r="797" spans="1:113" hidden="1" x14ac:dyDescent="0.3">
      <c r="A797" s="172"/>
      <c r="B797" s="172"/>
      <c r="C797" s="172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2"/>
      <c r="AT797" s="172"/>
      <c r="AU797" s="172"/>
      <c r="AV797" s="172"/>
      <c r="AW797" s="172"/>
      <c r="AX797" s="172"/>
      <c r="AY797" s="172"/>
      <c r="AZ797" s="172"/>
      <c r="BA797" s="172"/>
      <c r="BB797" s="172"/>
      <c r="BC797" s="172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  <c r="BT797" s="172"/>
      <c r="BU797" s="172"/>
      <c r="BV797" s="172"/>
      <c r="BW797" s="172"/>
      <c r="BX797" s="172"/>
      <c r="BY797" s="174"/>
      <c r="BZ797" s="172"/>
      <c r="CA797" s="172"/>
    </row>
    <row r="798" spans="1:113" hidden="1" x14ac:dyDescent="0.3">
      <c r="A798" s="172"/>
      <c r="B798" s="172"/>
      <c r="C798" s="172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</row>
    <row r="799" spans="1:113" hidden="1" x14ac:dyDescent="0.3">
      <c r="B799" s="172"/>
      <c r="C799" s="172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  <c r="AE799" s="173"/>
      <c r="AF799" s="173"/>
      <c r="AG799" s="173"/>
      <c r="AH799" s="173"/>
      <c r="AI799" s="173"/>
      <c r="AJ799" s="173"/>
      <c r="AK799" s="173"/>
      <c r="AL799" s="173"/>
      <c r="AM799" s="173"/>
      <c r="AN799" s="173"/>
      <c r="AO799" s="173"/>
      <c r="AP799" s="173"/>
      <c r="AQ799" s="173"/>
      <c r="AR799" s="173"/>
    </row>
    <row r="800" spans="1:113" hidden="1" x14ac:dyDescent="0.3"/>
  </sheetData>
  <mergeCells count="163">
    <mergeCell ref="AU13:BC13"/>
    <mergeCell ref="F11:J11"/>
    <mergeCell ref="K11:T11"/>
    <mergeCell ref="AA11:AF11"/>
    <mergeCell ref="AT16:BC16"/>
    <mergeCell ref="Z16:AF16"/>
    <mergeCell ref="AG16:AP16"/>
    <mergeCell ref="AG9:AP9"/>
    <mergeCell ref="AT9:BC9"/>
    <mergeCell ref="AT15:BC15"/>
    <mergeCell ref="Z14:AF14"/>
    <mergeCell ref="AU12:BC12"/>
    <mergeCell ref="E15:J15"/>
    <mergeCell ref="K15:T15"/>
    <mergeCell ref="Z15:AF15"/>
    <mergeCell ref="AG18:AM18"/>
    <mergeCell ref="F13:J13"/>
    <mergeCell ref="K13:T13"/>
    <mergeCell ref="AA13:AF13"/>
    <mergeCell ref="F12:J12"/>
    <mergeCell ref="K12:T12"/>
    <mergeCell ref="AA12:AF12"/>
    <mergeCell ref="AG12:AP12"/>
    <mergeCell ref="E16:J16"/>
    <mergeCell ref="K16:T16"/>
    <mergeCell ref="E18:J18"/>
    <mergeCell ref="K18:T18"/>
    <mergeCell ref="E17:J17"/>
    <mergeCell ref="K17:T17"/>
    <mergeCell ref="Y17:AE17"/>
    <mergeCell ref="AF17:AK17"/>
    <mergeCell ref="AL17:AP17"/>
    <mergeCell ref="AN18:AP18"/>
    <mergeCell ref="BY23:BZ23"/>
    <mergeCell ref="L20:Q20"/>
    <mergeCell ref="BK20:BW20"/>
    <mergeCell ref="BQ23:BW23"/>
    <mergeCell ref="BY19:BZ19"/>
    <mergeCell ref="BY22:BZ22"/>
    <mergeCell ref="BK24:BP24"/>
    <mergeCell ref="BQ24:BW24"/>
    <mergeCell ref="BK23:BP23"/>
    <mergeCell ref="BD22:BW22"/>
    <mergeCell ref="BQ19:BW19"/>
    <mergeCell ref="D24:AC24"/>
    <mergeCell ref="AT22:BC22"/>
    <mergeCell ref="D19:J19"/>
    <mergeCell ref="K19:T19"/>
    <mergeCell ref="D20:K20"/>
    <mergeCell ref="BD23:BJ23"/>
    <mergeCell ref="D34:H35"/>
    <mergeCell ref="D36:H37"/>
    <mergeCell ref="C39:R39"/>
    <mergeCell ref="X39:AQ39"/>
    <mergeCell ref="AT30:BC30"/>
    <mergeCell ref="BD30:BL30"/>
    <mergeCell ref="BM30:BW30"/>
    <mergeCell ref="AT29:BC29"/>
    <mergeCell ref="BD29:BW29"/>
    <mergeCell ref="AT31:BC31"/>
    <mergeCell ref="J37:AO37"/>
    <mergeCell ref="AT37:BC37"/>
    <mergeCell ref="BD37:BW37"/>
    <mergeCell ref="J35:AO35"/>
    <mergeCell ref="J36:AO36"/>
    <mergeCell ref="J34:AO34"/>
    <mergeCell ref="AT32:BC32"/>
    <mergeCell ref="BD32:BW32"/>
    <mergeCell ref="BD31:BW31"/>
    <mergeCell ref="D33:AC33"/>
    <mergeCell ref="D32:AP32"/>
    <mergeCell ref="D31:AO31"/>
    <mergeCell ref="AT39:BC39"/>
    <mergeCell ref="AT17:BC17"/>
    <mergeCell ref="AT19:BC20"/>
    <mergeCell ref="BD19:BJ20"/>
    <mergeCell ref="BK19:BP19"/>
    <mergeCell ref="BD16:BJ16"/>
    <mergeCell ref="BK16:BP16"/>
    <mergeCell ref="BQ16:BW16"/>
    <mergeCell ref="BN18:BO18"/>
    <mergeCell ref="BP18:BW18"/>
    <mergeCell ref="BD18:BM18"/>
    <mergeCell ref="BD17:BM17"/>
    <mergeCell ref="BN17:BO17"/>
    <mergeCell ref="BP17:BW17"/>
    <mergeCell ref="AT18:BC18"/>
    <mergeCell ref="AT25:BC25"/>
    <mergeCell ref="BD25:BM25"/>
    <mergeCell ref="AT24:BC24"/>
    <mergeCell ref="BD24:BJ24"/>
    <mergeCell ref="BN25:BO25"/>
    <mergeCell ref="BP25:BW25"/>
    <mergeCell ref="AT23:BC23"/>
    <mergeCell ref="AT28:BC28"/>
    <mergeCell ref="BD28:BW28"/>
    <mergeCell ref="AT27:BC27"/>
    <mergeCell ref="BD27:BW27"/>
    <mergeCell ref="AT26:BC26"/>
    <mergeCell ref="BD26:BJ26"/>
    <mergeCell ref="BK26:BP26"/>
    <mergeCell ref="BQ26:BW26"/>
    <mergeCell ref="BD15:BM15"/>
    <mergeCell ref="E14:J14"/>
    <mergeCell ref="K14:T14"/>
    <mergeCell ref="BY9:BZ9"/>
    <mergeCell ref="AG15:AP15"/>
    <mergeCell ref="AU11:BC11"/>
    <mergeCell ref="BD11:BW11"/>
    <mergeCell ref="BY11:BZ11"/>
    <mergeCell ref="F10:J10"/>
    <mergeCell ref="K10:T10"/>
    <mergeCell ref="AG10:AP10"/>
    <mergeCell ref="AU10:BC10"/>
    <mergeCell ref="BD10:BW10"/>
    <mergeCell ref="Z10:AF10"/>
    <mergeCell ref="AG11:AP11"/>
    <mergeCell ref="AT14:BC14"/>
    <mergeCell ref="BD14:BW14"/>
    <mergeCell ref="AG14:AP14"/>
    <mergeCell ref="AG13:AP13"/>
    <mergeCell ref="BD13:BW13"/>
    <mergeCell ref="BK12:BP12"/>
    <mergeCell ref="BQ12:BW12"/>
    <mergeCell ref="BD12:BJ12"/>
    <mergeCell ref="BN15:BW15"/>
    <mergeCell ref="AT8:BC8"/>
    <mergeCell ref="BD8:BJ8"/>
    <mergeCell ref="BK8:BP8"/>
    <mergeCell ref="BQ8:BW8"/>
    <mergeCell ref="BD9:BW9"/>
    <mergeCell ref="BY10:BZ10"/>
    <mergeCell ref="BY4:BZ4"/>
    <mergeCell ref="C1:AQ1"/>
    <mergeCell ref="C2:V2"/>
    <mergeCell ref="X2:AQ2"/>
    <mergeCell ref="BY8:BZ8"/>
    <mergeCell ref="D9:J9"/>
    <mergeCell ref="K9:T9"/>
    <mergeCell ref="Z9:AF9"/>
    <mergeCell ref="C3:AQ3"/>
    <mergeCell ref="D5:P5"/>
    <mergeCell ref="AI5:AP5"/>
    <mergeCell ref="AI6:AP6"/>
    <mergeCell ref="AF7:AI7"/>
    <mergeCell ref="AJ7:AP7"/>
    <mergeCell ref="D8:T8"/>
    <mergeCell ref="Z8:AP8"/>
    <mergeCell ref="CW5:DD5"/>
    <mergeCell ref="AT6:BC6"/>
    <mergeCell ref="BD6:BW6"/>
    <mergeCell ref="BY6:BZ6"/>
    <mergeCell ref="CW3:DG3"/>
    <mergeCell ref="AT4:BC4"/>
    <mergeCell ref="BD4:BW4"/>
    <mergeCell ref="CW4:CX4"/>
    <mergeCell ref="AT7:BC7"/>
    <mergeCell ref="BD7:BJ7"/>
    <mergeCell ref="BK7:BP7"/>
    <mergeCell ref="BQ7:BW7"/>
    <mergeCell ref="AT5:BC5"/>
    <mergeCell ref="BD5:BW5"/>
    <mergeCell ref="BY5:BZ5"/>
  </mergeCells>
  <phoneticPr fontId="2" type="noConversion"/>
  <conditionalFormatting sqref="BK12:BP12">
    <cfRule type="expression" dxfId="108" priority="22">
      <formula>$CE$11</formula>
    </cfRule>
  </conditionalFormatting>
  <conditionalFormatting sqref="BQ12:BW12">
    <cfRule type="expression" dxfId="107" priority="21">
      <formula>$CE$12</formula>
    </cfRule>
  </conditionalFormatting>
  <conditionalFormatting sqref="BK19:BP19">
    <cfRule type="expression" dxfId="106" priority="16">
      <formula>$CE$18</formula>
    </cfRule>
  </conditionalFormatting>
  <conditionalFormatting sqref="BQ19:BW19">
    <cfRule type="expression" dxfId="105" priority="15">
      <formula>$CE$19</formula>
    </cfRule>
  </conditionalFormatting>
  <conditionalFormatting sqref="BK20:BW20">
    <cfRule type="expression" dxfId="104" priority="14">
      <formula>$CE$20</formula>
    </cfRule>
  </conditionalFormatting>
  <conditionalFormatting sqref="BK23:BP23">
    <cfRule type="expression" dxfId="103" priority="9">
      <formula>$CE$23</formula>
    </cfRule>
  </conditionalFormatting>
  <conditionalFormatting sqref="BQ23:BW23">
    <cfRule type="expression" dxfId="102" priority="8">
      <formula>$CF$23</formula>
    </cfRule>
  </conditionalFormatting>
  <conditionalFormatting sqref="BQ24:BW24">
    <cfRule type="expression" dxfId="101" priority="6">
      <formula>$CE$26</formula>
    </cfRule>
  </conditionalFormatting>
  <conditionalFormatting sqref="BK24:BP24">
    <cfRule type="expression" dxfId="100" priority="5">
      <formula>$CF$26</formula>
    </cfRule>
  </conditionalFormatting>
  <conditionalFormatting sqref="BZ26">
    <cfRule type="expression" dxfId="99" priority="1">
      <formula>$CE$8</formula>
    </cfRule>
  </conditionalFormatting>
  <dataValidations count="16">
    <dataValidation type="list" allowBlank="1" showInputMessage="1" showErrorMessage="1" sqref="BD26:BJ26">
      <formula1>"리스료포함,미포함(별도청구)"</formula1>
    </dataValidation>
    <dataValidation type="list" allowBlank="1" showInputMessage="1" showErrorMessage="1" sqref="BD19:BJ20">
      <formula1>"자동반영,비율입력,감면액입력,금액입력"</formula1>
    </dataValidation>
    <dataValidation type="list" allowBlank="1" showInputMessage="1" showErrorMessage="1" sqref="BQ7:BW7">
      <formula1>"DB자동연결,승용일반,승용SUV(~5인),승용SUV(7~10인),승합(11~15인),화물(1000cc 미만),화물(0.6톤 미만),화물(0.6~1톤 미만),화물(1~2.5톤 미만),화물(2.5~4.6톤 미만),화물(4.6톤 이상)"</formula1>
    </dataValidation>
    <dataValidation type="list" allowBlank="1" showInputMessage="1" showErrorMessage="1" sqref="BD12:BJ12">
      <formula1>"비율입력,금액입력"</formula1>
    </dataValidation>
    <dataValidation type="whole" allowBlank="1" showInputMessage="1" showErrorMessage="1" errorTitle="상한 확인" error="상한 확인" sqref="BD17:BM18">
      <formula1>0</formula1>
      <formula2>BP17</formula2>
    </dataValidation>
    <dataValidation type="list" allowBlank="1" showInputMessage="1" showErrorMessage="1" errorTitle="12,24,36,48,60개월만 가능" error="12,24,36,48,60개월만 가능" sqref="BD22:BW22">
      <formula1>"12,24,36,48,60"</formula1>
    </dataValidation>
    <dataValidation type="list" allowBlank="1" showInputMessage="1" showErrorMessage="1" sqref="BN15:BW15">
      <formula1>"서울,부산,대구,인천,대전,광주,울산/강원/전남,제주,세종/경북,경기,충남,충북,전북,경남"</formula1>
    </dataValidation>
    <dataValidation type="list" allowBlank="1" showInputMessage="1" showErrorMessage="1" sqref="BD15:BM15">
      <formula1>"당사명의,이용자명의"</formula1>
    </dataValidation>
    <dataValidation type="list" allowBlank="1" showInputMessage="1" showErrorMessage="1" sqref="BD6:BW6">
      <formula1>INDIRECT($BD$5)</formula1>
    </dataValidation>
    <dataValidation type="list" allowBlank="1" showInputMessage="1" showErrorMessage="1" sqref="BD5:BW5">
      <formula1>Brand</formula1>
    </dataValidation>
    <dataValidation type="list" allowBlank="1" showInputMessage="1" showErrorMessage="1" sqref="BD23:BJ23">
      <formula1>"총구매비용비율,차량가비율,선수금액입력,리스원금입력"</formula1>
    </dataValidation>
    <dataValidation type="list" allowBlank="1" showInputMessage="1" showErrorMessage="1" sqref="BD24:BJ24">
      <formula1>"리스원금비율,금액입력"</formula1>
    </dataValidation>
    <dataValidation type="decimal" allowBlank="1" showInputMessage="1" showErrorMessage="1" errorTitle="수수료 상한 확인" error="수수료 상한 확인" sqref="BM25 BD25:BK25">
      <formula1>0</formula1>
      <formula2>BP25</formula2>
    </dataValidation>
    <dataValidation type="decimal" allowBlank="1" showInputMessage="1" showErrorMessage="1" errorTitle="수수료 상한 확인" error="수수료 상한 확인" sqref="BL25">
      <formula1>0</formula1>
      <formula2>BX30</formula2>
    </dataValidation>
    <dataValidation type="list" allowBlank="1" showInputMessage="1" showErrorMessage="1" sqref="BD29:BW29">
      <formula1>부가서비스</formula1>
    </dataValidation>
    <dataValidation type="list" allowBlank="1" showInputMessage="1" showErrorMessage="1" sqref="BY5:BZ5">
      <formula1>제휴사</formula1>
    </dataValidation>
  </dataValidations>
  <pageMargins left="0.31496062992125984" right="0.15748031496062992" top="0.39370078740157483" bottom="0.74803149606299213" header="0" footer="0"/>
  <pageSetup paperSize="9" scale="12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4" name="Check Box 5">
              <controlPr locked="0" defaultSize="0" autoFill="0" autoLine="0" autoPict="0">
                <anchor moveWithCells="1" sizeWithCells="1">
                  <from>
                    <xdr:col>76</xdr:col>
                    <xdr:colOff>19050</xdr:colOff>
                    <xdr:row>6</xdr:row>
                    <xdr:rowOff>19050</xdr:rowOff>
                  </from>
                  <to>
                    <xdr:col>76</xdr:col>
                    <xdr:colOff>285750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InputMessage="1" showErrorMessage="1" errorTitle="상한 확인" error="상한 확인">
          <x14:formula1>
            <xm:f>0</xm:f>
          </x14:formula1>
          <x14:formula2>
            <xm:f>견적관리자용!T37</xm:f>
          </x14:formula2>
          <xm:sqref>BD16:BJ16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">
    <tabColor theme="3"/>
  </sheetPr>
  <dimension ref="A1:KL798"/>
  <sheetViews>
    <sheetView showGridLines="0" zoomScale="85" zoomScaleNormal="85" workbookViewId="0">
      <selection activeCell="BY11" sqref="BY11:BZ11"/>
    </sheetView>
  </sheetViews>
  <sheetFormatPr defaultColWidth="0" defaultRowHeight="13.5" zeroHeight="1" x14ac:dyDescent="0.3"/>
  <cols>
    <col min="1" max="3" width="1.625" style="22" customWidth="1"/>
    <col min="4" max="42" width="1.625" style="32" customWidth="1"/>
    <col min="43" max="43" width="1" style="32" customWidth="1"/>
    <col min="44" max="44" width="0.375" style="32" hidden="1" customWidth="1"/>
    <col min="45" max="52" width="1.625" style="22" customWidth="1"/>
    <col min="53" max="53" width="1.5" style="22" customWidth="1"/>
    <col min="54" max="75" width="1.625" style="22" customWidth="1"/>
    <col min="76" max="76" width="1.375" style="22" customWidth="1"/>
    <col min="77" max="77" width="12.625" style="168" customWidth="1"/>
    <col min="78" max="78" width="18.375" style="22" customWidth="1"/>
    <col min="79" max="79" width="1.625" style="22" customWidth="1"/>
    <col min="80" max="80" width="3.625" style="24" hidden="1" customWidth="1"/>
    <col min="81" max="81" width="1.625" style="25" hidden="1" customWidth="1"/>
    <col min="82" max="82" width="15.125" style="26" hidden="1" customWidth="1"/>
    <col min="83" max="83" width="12.375" style="26" hidden="1" customWidth="1"/>
    <col min="84" max="84" width="8.625" style="26" hidden="1" customWidth="1"/>
    <col min="85" max="85" width="2.25" style="26" hidden="1" customWidth="1"/>
    <col min="86" max="86" width="20.5" style="27" hidden="1" customWidth="1"/>
    <col min="87" max="87" width="21.125" style="26" hidden="1" customWidth="1"/>
    <col min="88" max="88" width="10.25" style="26" hidden="1" customWidth="1"/>
    <col min="89" max="89" width="2.375" style="26" hidden="1" customWidth="1"/>
    <col min="90" max="90" width="11.875" style="28" hidden="1" customWidth="1"/>
    <col min="91" max="91" width="16.75" style="28" hidden="1" customWidth="1"/>
    <col min="92" max="92" width="3" style="26" hidden="1" customWidth="1"/>
    <col min="93" max="93" width="19.625" style="29" hidden="1" customWidth="1"/>
    <col min="94" max="95" width="14" style="28" hidden="1" customWidth="1"/>
    <col min="96" max="96" width="1.25" style="28" hidden="1" customWidth="1"/>
    <col min="97" max="99" width="14" style="28" hidden="1" customWidth="1"/>
    <col min="100" max="100" width="2.125" style="26" hidden="1" customWidth="1"/>
    <col min="101" max="101" width="5.25" style="26" hidden="1" customWidth="1"/>
    <col min="102" max="102" width="16.5" style="26" hidden="1" customWidth="1"/>
    <col min="103" max="107" width="9.625" style="26" hidden="1" customWidth="1"/>
    <col min="108" max="108" width="11.75" style="26" hidden="1" customWidth="1"/>
    <col min="109" max="109" width="5.125" style="26" hidden="1" customWidth="1"/>
    <col min="110" max="110" width="12.75" style="28" hidden="1" customWidth="1"/>
    <col min="111" max="111" width="12.875" style="30" hidden="1" customWidth="1"/>
    <col min="112" max="112" width="8.625" style="26" hidden="1" customWidth="1"/>
    <col min="113" max="113" width="8.75" style="26" hidden="1" customWidth="1"/>
    <col min="114" max="116" width="8.625" style="25" hidden="1" customWidth="1"/>
    <col min="117" max="117" width="3.625" style="24" hidden="1" customWidth="1"/>
    <col min="118" max="136" width="8.625" style="24" hidden="1" customWidth="1"/>
    <col min="137" max="298" width="9" style="24" hidden="1" customWidth="1"/>
    <col min="299" max="16384" width="8.75" style="25" hidden="1"/>
  </cols>
  <sheetData>
    <row r="1" spans="1:298" s="26" customFormat="1" ht="15.95" customHeight="1" x14ac:dyDescent="0.3">
      <c r="A1" s="22"/>
      <c r="B1" s="23"/>
      <c r="C1" s="681"/>
      <c r="D1" s="681"/>
      <c r="E1" s="681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  <c r="Q1" s="681"/>
      <c r="R1" s="681"/>
      <c r="S1" s="681"/>
      <c r="T1" s="681"/>
      <c r="U1" s="681"/>
      <c r="V1" s="681"/>
      <c r="W1" s="681"/>
      <c r="X1" s="681"/>
      <c r="Y1" s="681"/>
      <c r="Z1" s="681"/>
      <c r="AA1" s="681"/>
      <c r="AB1" s="681"/>
      <c r="AC1" s="681"/>
      <c r="AD1" s="681"/>
      <c r="AE1" s="681"/>
      <c r="AF1" s="681"/>
      <c r="AG1" s="681"/>
      <c r="AH1" s="681"/>
      <c r="AI1" s="681"/>
      <c r="AJ1" s="681"/>
      <c r="AK1" s="681"/>
      <c r="AL1" s="681"/>
      <c r="AM1" s="681"/>
      <c r="AN1" s="681"/>
      <c r="AO1" s="681"/>
      <c r="AP1" s="681"/>
      <c r="AQ1" s="681"/>
      <c r="AR1" s="23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4"/>
      <c r="CC1" s="25"/>
      <c r="CH1" s="27"/>
      <c r="CL1" s="28"/>
      <c r="CM1" s="28"/>
      <c r="CO1" s="29"/>
      <c r="CP1" s="28"/>
      <c r="CQ1" s="28"/>
      <c r="CR1" s="28"/>
      <c r="CS1" s="28"/>
      <c r="CT1" s="28"/>
      <c r="CU1" s="28"/>
      <c r="DF1" s="28"/>
      <c r="DG1" s="30"/>
      <c r="DJ1" s="25"/>
      <c r="DK1" s="25"/>
      <c r="DL1" s="25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</row>
    <row r="2" spans="1:298" s="26" customFormat="1" ht="24.75" customHeight="1" x14ac:dyDescent="0.3">
      <c r="A2" s="22"/>
      <c r="B2" s="311"/>
      <c r="C2" s="703" t="s">
        <v>411</v>
      </c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  <c r="Y2" s="703"/>
      <c r="Z2" s="703"/>
      <c r="AA2" s="703"/>
      <c r="AB2" s="703"/>
      <c r="AC2" s="703"/>
      <c r="AD2" s="703"/>
      <c r="AE2" s="703"/>
      <c r="AF2" s="703"/>
      <c r="AG2" s="703"/>
      <c r="AH2" s="703"/>
      <c r="AI2" s="703"/>
      <c r="AJ2" s="703"/>
      <c r="AK2" s="703"/>
      <c r="AL2" s="703"/>
      <c r="AM2" s="703"/>
      <c r="AN2" s="703"/>
      <c r="AO2" s="703"/>
      <c r="AP2" s="703"/>
      <c r="AQ2" s="703"/>
      <c r="AR2" s="703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4"/>
      <c r="CC2" s="25"/>
      <c r="CH2" s="27"/>
      <c r="CL2" s="28"/>
      <c r="CM2" s="28"/>
      <c r="CO2" s="29"/>
      <c r="CP2" s="28"/>
      <c r="CQ2" s="28"/>
      <c r="CR2" s="28"/>
      <c r="CS2" s="28"/>
      <c r="CT2" s="28"/>
      <c r="CU2" s="28"/>
      <c r="DF2" s="28"/>
      <c r="DG2" s="30"/>
      <c r="DJ2" s="25"/>
      <c r="DK2" s="25"/>
      <c r="DL2" s="25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</row>
    <row r="3" spans="1:298" s="26" customFormat="1" ht="13.9" customHeight="1" x14ac:dyDescent="0.3">
      <c r="A3" s="22"/>
      <c r="B3" s="311"/>
      <c r="C3" s="316"/>
      <c r="D3" s="317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318"/>
      <c r="AB3" s="318"/>
      <c r="AC3" s="318"/>
      <c r="AD3" s="318"/>
      <c r="AE3" s="318"/>
      <c r="AF3" s="318"/>
      <c r="AG3" s="318"/>
      <c r="AH3" s="318"/>
      <c r="AI3" s="318"/>
      <c r="AJ3" s="587">
        <f>운용리스!AJ4</f>
        <v>0</v>
      </c>
      <c r="AK3" s="587"/>
      <c r="AL3" s="587"/>
      <c r="AM3" s="587"/>
      <c r="AN3" s="587"/>
      <c r="AO3" s="587"/>
      <c r="AP3" s="587"/>
      <c r="AQ3" s="318"/>
      <c r="AR3" s="316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33"/>
      <c r="BZ3" s="34"/>
      <c r="CA3" s="22"/>
      <c r="CB3" s="24"/>
      <c r="CC3" s="25"/>
      <c r="CH3" s="27"/>
      <c r="CL3" s="28"/>
      <c r="CM3" s="28"/>
      <c r="CO3" s="29"/>
      <c r="CP3" s="28"/>
      <c r="CQ3" s="28"/>
      <c r="CR3" s="28"/>
      <c r="CS3" s="199"/>
      <c r="CT3" s="199"/>
      <c r="CU3" s="199"/>
      <c r="CW3" s="708" t="s">
        <v>112</v>
      </c>
      <c r="CX3" s="709"/>
      <c r="CY3" s="709"/>
      <c r="CZ3" s="709"/>
      <c r="DA3" s="709"/>
      <c r="DB3" s="709"/>
      <c r="DC3" s="709"/>
      <c r="DD3" s="709"/>
      <c r="DE3" s="709"/>
      <c r="DF3" s="709"/>
      <c r="DG3" s="710"/>
      <c r="DJ3" s="25"/>
      <c r="DK3" s="25"/>
      <c r="DL3" s="25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</row>
    <row r="4" spans="1:298" s="26" customFormat="1" ht="15.95" customHeight="1" thickBot="1" x14ac:dyDescent="0.35">
      <c r="A4" s="22"/>
      <c r="B4" s="311"/>
      <c r="C4" s="316"/>
      <c r="D4" s="920" t="str">
        <f>IF($BD$4="","VVIP 고객님",$BD$4&amp;" 고객님")</f>
        <v>VVIP 고객님</v>
      </c>
      <c r="E4" s="920"/>
      <c r="F4" s="920"/>
      <c r="G4" s="920"/>
      <c r="H4" s="920"/>
      <c r="I4" s="920"/>
      <c r="J4" s="920"/>
      <c r="K4" s="920"/>
      <c r="L4" s="920"/>
      <c r="M4" s="920"/>
      <c r="N4" s="920"/>
      <c r="O4" s="920"/>
      <c r="P4" s="920"/>
      <c r="Q4" s="319"/>
      <c r="R4" s="319"/>
      <c r="S4" s="319"/>
      <c r="U4" s="319"/>
      <c r="V4" s="318"/>
      <c r="W4" s="318"/>
      <c r="X4" s="318"/>
      <c r="Y4" s="318"/>
      <c r="Z4" s="323" t="s">
        <v>378</v>
      </c>
      <c r="AA4" s="323"/>
      <c r="AB4" s="323"/>
      <c r="AC4" s="324"/>
      <c r="AD4" s="323"/>
      <c r="AE4" s="325"/>
      <c r="AF4" s="323"/>
      <c r="AG4" s="325"/>
      <c r="AH4" s="323"/>
      <c r="AI4" s="921">
        <f ca="1">TODAY()</f>
        <v>45946</v>
      </c>
      <c r="AJ4" s="921"/>
      <c r="AK4" s="921"/>
      <c r="AL4" s="921"/>
      <c r="AM4" s="921"/>
      <c r="AN4" s="921"/>
      <c r="AO4" s="921"/>
      <c r="AP4" s="921"/>
      <c r="AQ4" s="318"/>
      <c r="AR4" s="316"/>
      <c r="AS4" s="22"/>
      <c r="AT4" s="744" t="s">
        <v>204</v>
      </c>
      <c r="AU4" s="744"/>
      <c r="AV4" s="744"/>
      <c r="AW4" s="744"/>
      <c r="AX4" s="744"/>
      <c r="AY4" s="744"/>
      <c r="AZ4" s="744"/>
      <c r="BA4" s="744"/>
      <c r="BB4" s="744"/>
      <c r="BC4" s="745"/>
      <c r="BD4" s="746" t="s">
        <v>205</v>
      </c>
      <c r="BE4" s="747"/>
      <c r="BF4" s="747"/>
      <c r="BG4" s="747"/>
      <c r="BH4" s="747"/>
      <c r="BI4" s="747"/>
      <c r="BJ4" s="747"/>
      <c r="BK4" s="747"/>
      <c r="BL4" s="747"/>
      <c r="BM4" s="747"/>
      <c r="BN4" s="747"/>
      <c r="BO4" s="747"/>
      <c r="BP4" s="747"/>
      <c r="BQ4" s="747"/>
      <c r="BR4" s="747"/>
      <c r="BS4" s="747"/>
      <c r="BT4" s="747"/>
      <c r="BU4" s="747"/>
      <c r="BV4" s="747"/>
      <c r="BW4" s="747"/>
      <c r="BX4" s="22"/>
      <c r="BY4" s="943"/>
      <c r="BZ4" s="943"/>
      <c r="CA4" s="22"/>
      <c r="CB4" s="24"/>
      <c r="CC4" s="25"/>
      <c r="CH4" s="35" t="s">
        <v>83</v>
      </c>
      <c r="CI4" s="36" t="str">
        <f>IF($BD$15="할부사명의(부산등록)","부산",$BN$15)</f>
        <v>서울</v>
      </c>
      <c r="CL4" s="37" t="s">
        <v>206</v>
      </c>
      <c r="CM4" s="38" t="e">
        <f>IRR($CM$5:$CM$65,0)*12</f>
        <v>#VALUE!</v>
      </c>
      <c r="CO4" s="39" t="s">
        <v>279</v>
      </c>
      <c r="CP4" s="40">
        <f>$CI$24</f>
        <v>48</v>
      </c>
      <c r="CQ4" s="41">
        <f>$CP$4</f>
        <v>48</v>
      </c>
      <c r="CR4" s="42"/>
      <c r="CS4" s="200"/>
      <c r="CT4" s="201"/>
      <c r="CU4" s="202"/>
      <c r="CW4" s="670" t="s">
        <v>82</v>
      </c>
      <c r="CX4" s="671"/>
      <c r="CY4" s="43">
        <v>0</v>
      </c>
      <c r="CZ4" s="43">
        <v>1000</v>
      </c>
      <c r="DA4" s="43">
        <v>1500</v>
      </c>
      <c r="DB4" s="43">
        <v>1600</v>
      </c>
      <c r="DC4" s="43">
        <v>2000</v>
      </c>
      <c r="DD4" s="44"/>
      <c r="DE4" s="45">
        <v>1</v>
      </c>
      <c r="DF4" s="46"/>
      <c r="DG4" s="47"/>
      <c r="DJ4" s="25"/>
      <c r="DK4" s="25"/>
      <c r="DL4" s="25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  <c r="KD4" s="24"/>
      <c r="KE4" s="24"/>
      <c r="KF4" s="24"/>
      <c r="KG4" s="24"/>
      <c r="KH4" s="24"/>
      <c r="KI4" s="24"/>
      <c r="KJ4" s="24"/>
      <c r="KK4" s="24"/>
      <c r="KL4" s="24"/>
    </row>
    <row r="5" spans="1:298" s="26" customFormat="1" ht="15.95" customHeight="1" thickTop="1" thickBot="1" x14ac:dyDescent="0.25">
      <c r="A5" s="22"/>
      <c r="B5" s="311"/>
      <c r="C5" s="167"/>
      <c r="D5" s="330"/>
      <c r="E5" s="320"/>
      <c r="F5" s="320"/>
      <c r="G5" s="320"/>
      <c r="H5" s="322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20" t="s">
        <v>376</v>
      </c>
      <c r="AA5" s="320"/>
      <c r="AB5" s="320"/>
      <c r="AC5" s="321"/>
      <c r="AD5" s="320"/>
      <c r="AE5" s="319"/>
      <c r="AF5" s="320"/>
      <c r="AG5" s="319"/>
      <c r="AH5" s="320"/>
      <c r="AI5" s="922">
        <f ca="1">AI4+7</f>
        <v>45953</v>
      </c>
      <c r="AJ5" s="922"/>
      <c r="AK5" s="922"/>
      <c r="AL5" s="922"/>
      <c r="AM5" s="922"/>
      <c r="AN5" s="922"/>
      <c r="AO5" s="922"/>
      <c r="AP5" s="922"/>
      <c r="AQ5" s="313"/>
      <c r="AR5" s="315"/>
      <c r="AS5" s="22"/>
      <c r="AT5" s="827" t="s">
        <v>43</v>
      </c>
      <c r="AU5" s="828"/>
      <c r="AV5" s="828"/>
      <c r="AW5" s="828"/>
      <c r="AX5" s="828"/>
      <c r="AY5" s="828"/>
      <c r="AZ5" s="828"/>
      <c r="BA5" s="828"/>
      <c r="BB5" s="828"/>
      <c r="BC5" s="828"/>
      <c r="BD5" s="832" t="s">
        <v>1108</v>
      </c>
      <c r="BE5" s="832"/>
      <c r="BF5" s="832"/>
      <c r="BG5" s="832"/>
      <c r="BH5" s="832"/>
      <c r="BI5" s="832"/>
      <c r="BJ5" s="832"/>
      <c r="BK5" s="832"/>
      <c r="BL5" s="832"/>
      <c r="BM5" s="832"/>
      <c r="BN5" s="832"/>
      <c r="BO5" s="832"/>
      <c r="BP5" s="832"/>
      <c r="BQ5" s="832"/>
      <c r="BR5" s="832"/>
      <c r="BS5" s="832"/>
      <c r="BT5" s="832"/>
      <c r="BU5" s="832"/>
      <c r="BV5" s="832"/>
      <c r="BW5" s="833"/>
      <c r="BX5" s="22"/>
      <c r="BY5" s="815" t="s">
        <v>646</v>
      </c>
      <c r="BZ5" s="816"/>
      <c r="CA5" s="22"/>
      <c r="CB5" s="24"/>
      <c r="CC5" s="25"/>
      <c r="CH5" s="35" t="s">
        <v>46</v>
      </c>
      <c r="CI5" s="48" t="str">
        <f>IF($BQ$7="DB자동연결",$BD$7,$BQ$7)</f>
        <v>승용일반</v>
      </c>
      <c r="CL5" s="49">
        <v>0</v>
      </c>
      <c r="CM5" s="50" t="e">
        <f>-$CP$17+$CP$22</f>
        <v>#N/A</v>
      </c>
      <c r="CO5" s="51" t="s">
        <v>128</v>
      </c>
      <c r="CP5" s="52">
        <f>$CI$25</f>
        <v>6.5000000000000002E-2</v>
      </c>
      <c r="CQ5" s="53">
        <f>$CP$5</f>
        <v>6.5000000000000002E-2</v>
      </c>
      <c r="CR5" s="54"/>
      <c r="CS5" s="203"/>
      <c r="CT5" s="204"/>
      <c r="CU5" s="205"/>
      <c r="CW5" s="672"/>
      <c r="CX5" s="673"/>
      <c r="CY5" s="673"/>
      <c r="CZ5" s="673"/>
      <c r="DA5" s="673"/>
      <c r="DB5" s="673"/>
      <c r="DC5" s="673"/>
      <c r="DD5" s="674"/>
      <c r="DE5" s="56">
        <v>2</v>
      </c>
      <c r="DF5" s="46"/>
      <c r="DG5" s="47">
        <f>IF($CI$4="서울",$DG$6,IF($CI$4="부산",$DG$16,IF($CI$4="대구",$DG$26,IF($CI$4="인천",$DG$36,IF($CI$4="대전",$DG$46,IF($CI$4="광주",$DG$56,IF($CI$4="울산/강원/전남",$DG$66,IF($CI$4="제주",$DG$76,IF($CI$4="세종/경북",$DG$86,IF($CI$4="경기",$DG$96,IF($CI$4="충남",$DG$106,IF($CI$4="충북",$DG$116,IF($CI$4="전북",$DG$126,IF($CI$4="경남",$DG$136,0))))))))))))))</f>
        <v>0</v>
      </c>
      <c r="DJ5" s="25"/>
      <c r="DK5" s="25"/>
      <c r="DL5" s="25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  <c r="EY5" s="24"/>
      <c r="EZ5" s="24"/>
      <c r="FA5" s="24"/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  <c r="FN5" s="24"/>
      <c r="FO5" s="24"/>
      <c r="FP5" s="24"/>
      <c r="FQ5" s="24"/>
      <c r="FR5" s="24"/>
      <c r="FS5" s="24"/>
      <c r="FT5" s="24"/>
      <c r="FU5" s="24"/>
      <c r="FV5" s="24"/>
      <c r="FW5" s="24"/>
      <c r="FX5" s="24"/>
      <c r="FY5" s="24"/>
      <c r="FZ5" s="24"/>
      <c r="GA5" s="24"/>
      <c r="GB5" s="24"/>
      <c r="GC5" s="24"/>
      <c r="GD5" s="24"/>
      <c r="GE5" s="24"/>
      <c r="GF5" s="24"/>
      <c r="GG5" s="24"/>
      <c r="GH5" s="24"/>
      <c r="GI5" s="24"/>
      <c r="GJ5" s="24"/>
      <c r="GK5" s="24"/>
      <c r="GL5" s="24"/>
      <c r="GM5" s="24"/>
      <c r="GN5" s="24"/>
      <c r="GO5" s="24"/>
      <c r="GP5" s="24"/>
      <c r="GQ5" s="24"/>
      <c r="GR5" s="24"/>
      <c r="GS5" s="24"/>
      <c r="GT5" s="24"/>
      <c r="GU5" s="24"/>
      <c r="GV5" s="24"/>
      <c r="GW5" s="24"/>
      <c r="GX5" s="24"/>
      <c r="GY5" s="24"/>
      <c r="GZ5" s="24"/>
      <c r="HA5" s="24"/>
      <c r="HB5" s="24"/>
      <c r="HC5" s="24"/>
      <c r="HD5" s="24"/>
      <c r="HE5" s="24"/>
      <c r="HF5" s="24"/>
      <c r="HG5" s="24"/>
      <c r="HH5" s="24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/>
      <c r="IB5" s="24"/>
      <c r="IC5" s="24"/>
      <c r="ID5" s="24"/>
      <c r="IE5" s="24"/>
      <c r="IF5" s="24"/>
      <c r="IG5" s="24"/>
      <c r="IH5" s="24"/>
      <c r="II5" s="24"/>
      <c r="IJ5" s="24"/>
      <c r="IK5" s="24"/>
      <c r="IL5" s="24"/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  <c r="KD5" s="24"/>
      <c r="KE5" s="24"/>
      <c r="KF5" s="24"/>
      <c r="KG5" s="24"/>
      <c r="KH5" s="24"/>
      <c r="KI5" s="24"/>
      <c r="KJ5" s="24"/>
      <c r="KK5" s="24"/>
      <c r="KL5" s="24"/>
    </row>
    <row r="6" spans="1:298" s="26" customFormat="1" ht="15.95" customHeight="1" thickBot="1" x14ac:dyDescent="0.25">
      <c r="A6" s="22"/>
      <c r="B6" s="311"/>
      <c r="C6" s="167"/>
      <c r="D6" s="330"/>
      <c r="E6" s="319"/>
      <c r="F6" s="319"/>
      <c r="G6" s="319"/>
      <c r="H6" s="319"/>
      <c r="I6" s="319"/>
      <c r="J6" s="319"/>
      <c r="K6" s="319"/>
      <c r="L6" s="319"/>
      <c r="M6" s="319"/>
      <c r="N6" s="319"/>
      <c r="O6" s="319"/>
      <c r="P6" s="319"/>
      <c r="Q6" s="319"/>
      <c r="R6" s="319"/>
      <c r="S6" s="319"/>
      <c r="T6" s="319"/>
      <c r="U6" s="319"/>
      <c r="V6" s="319"/>
      <c r="W6" s="319"/>
      <c r="X6" s="319"/>
      <c r="Y6" s="319"/>
      <c r="Z6" s="326" t="s">
        <v>375</v>
      </c>
      <c r="AA6" s="326"/>
      <c r="AB6" s="326"/>
      <c r="AC6" s="339"/>
      <c r="AD6" s="326"/>
      <c r="AE6" s="328"/>
      <c r="AF6" s="924" t="str">
        <f>BD29</f>
        <v>OOO</v>
      </c>
      <c r="AG6" s="924"/>
      <c r="AH6" s="924"/>
      <c r="AI6" s="924"/>
      <c r="AJ6" s="925" t="str">
        <f>BM29</f>
        <v>010-000-0000</v>
      </c>
      <c r="AK6" s="925"/>
      <c r="AL6" s="925"/>
      <c r="AM6" s="925"/>
      <c r="AN6" s="925"/>
      <c r="AO6" s="925"/>
      <c r="AP6" s="925"/>
      <c r="AQ6" s="313"/>
      <c r="AR6" s="315"/>
      <c r="AS6" s="22"/>
      <c r="AT6" s="748" t="s">
        <v>44</v>
      </c>
      <c r="AU6" s="749"/>
      <c r="AV6" s="749"/>
      <c r="AW6" s="749"/>
      <c r="AX6" s="749"/>
      <c r="AY6" s="749"/>
      <c r="AZ6" s="749"/>
      <c r="BA6" s="749"/>
      <c r="BB6" s="749"/>
      <c r="BC6" s="749"/>
      <c r="BD6" s="880" t="s">
        <v>1106</v>
      </c>
      <c r="BE6" s="880"/>
      <c r="BF6" s="880"/>
      <c r="BG6" s="880"/>
      <c r="BH6" s="880"/>
      <c r="BI6" s="880"/>
      <c r="BJ6" s="880"/>
      <c r="BK6" s="880"/>
      <c r="BL6" s="880"/>
      <c r="BM6" s="880"/>
      <c r="BN6" s="880"/>
      <c r="BO6" s="880"/>
      <c r="BP6" s="880"/>
      <c r="BQ6" s="880"/>
      <c r="BR6" s="880"/>
      <c r="BS6" s="880"/>
      <c r="BT6" s="880"/>
      <c r="BU6" s="880"/>
      <c r="BV6" s="880"/>
      <c r="BW6" s="881"/>
      <c r="BX6" s="22"/>
      <c r="BY6" s="817" t="s">
        <v>701</v>
      </c>
      <c r="BZ6" s="817"/>
      <c r="CA6" s="22"/>
      <c r="CB6" s="24"/>
      <c r="CC6" s="25"/>
      <c r="CD6" s="301" t="s">
        <v>334</v>
      </c>
      <c r="CE6" s="302" t="b">
        <v>0</v>
      </c>
      <c r="CH6" s="35" t="s">
        <v>35</v>
      </c>
      <c r="CI6" s="57">
        <f>IF($BQ$8&gt;0,$BQ$8,$BD$8)</f>
        <v>1</v>
      </c>
      <c r="CL6" s="49">
        <v>1</v>
      </c>
      <c r="CM6" s="50" t="e">
        <f>IF(CL6&lt;$CQ$4,$CQ$28,IF(CL6=$CQ$4,$CQ$28+$CQ$24,0))</f>
        <v>#N/A</v>
      </c>
      <c r="CO6" s="29"/>
      <c r="CP6" s="28"/>
      <c r="CQ6" s="28"/>
      <c r="CR6" s="28"/>
      <c r="CS6" s="199"/>
      <c r="CT6" s="199"/>
      <c r="CU6" s="199"/>
      <c r="CW6" s="58" t="s">
        <v>81</v>
      </c>
      <c r="CX6" s="59" t="str">
        <f>견적관리자용!$S$8</f>
        <v>승용일반</v>
      </c>
      <c r="CY6" s="60">
        <v>0</v>
      </c>
      <c r="CZ6" s="61">
        <v>0.09</v>
      </c>
      <c r="DA6" s="61">
        <v>0.09</v>
      </c>
      <c r="DB6" s="61">
        <v>0.12</v>
      </c>
      <c r="DC6" s="61">
        <v>0.2</v>
      </c>
      <c r="DD6" s="62">
        <f>HLOOKUP($CI$6,$CY$4:$DC$145,DE6,TRUE)</f>
        <v>0</v>
      </c>
      <c r="DE6" s="63">
        <v>3</v>
      </c>
      <c r="DF6" s="62">
        <f t="shared" ref="DF6:DF69" si="0">IF($CI$5=CX6,DD6,0)</f>
        <v>0</v>
      </c>
      <c r="DG6" s="64">
        <f>SUM(DF6:DF15)</f>
        <v>0</v>
      </c>
      <c r="DJ6" s="25"/>
      <c r="DK6" s="25"/>
      <c r="DL6" s="25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</row>
    <row r="7" spans="1:298" s="26" customFormat="1" ht="15.95" customHeight="1" thickTop="1" x14ac:dyDescent="0.3">
      <c r="A7" s="22"/>
      <c r="B7" s="311"/>
      <c r="C7" s="167"/>
      <c r="D7" s="167"/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20"/>
      <c r="AA7" s="320"/>
      <c r="AB7" s="320"/>
      <c r="AC7" s="321"/>
      <c r="AD7" s="320"/>
      <c r="AE7" s="319"/>
      <c r="AF7" s="320"/>
      <c r="AG7" s="319"/>
      <c r="AH7" s="320"/>
      <c r="AI7" s="329"/>
      <c r="AJ7" s="329"/>
      <c r="AK7" s="329"/>
      <c r="AL7" s="329"/>
      <c r="AM7" s="329"/>
      <c r="AN7" s="329"/>
      <c r="AO7" s="329"/>
      <c r="AP7" s="329"/>
      <c r="AQ7" s="313"/>
      <c r="AR7" s="315"/>
      <c r="AS7" s="22"/>
      <c r="AT7" s="896" t="s">
        <v>46</v>
      </c>
      <c r="AU7" s="897"/>
      <c r="AV7" s="897"/>
      <c r="AW7" s="897"/>
      <c r="AX7" s="897"/>
      <c r="AY7" s="897"/>
      <c r="AZ7" s="897"/>
      <c r="BA7" s="897"/>
      <c r="BB7" s="897"/>
      <c r="BC7" s="897"/>
      <c r="BD7" s="939" t="str">
        <f>VLOOKUP($BD$6,차량DB!$F$5:$P$88845,3,FALSE)</f>
        <v>승용일반</v>
      </c>
      <c r="BE7" s="939"/>
      <c r="BF7" s="939"/>
      <c r="BG7" s="939"/>
      <c r="BH7" s="939"/>
      <c r="BI7" s="939"/>
      <c r="BJ7" s="940"/>
      <c r="BK7" s="884" t="s">
        <v>49</v>
      </c>
      <c r="BL7" s="885"/>
      <c r="BM7" s="885"/>
      <c r="BN7" s="885"/>
      <c r="BO7" s="885"/>
      <c r="BP7" s="885"/>
      <c r="BQ7" s="892" t="s">
        <v>60</v>
      </c>
      <c r="BR7" s="892"/>
      <c r="BS7" s="892"/>
      <c r="BT7" s="892"/>
      <c r="BU7" s="892"/>
      <c r="BV7" s="892"/>
      <c r="BW7" s="893"/>
      <c r="BX7" s="22"/>
      <c r="BY7" s="300" t="s">
        <v>667</v>
      </c>
      <c r="BZ7" s="307"/>
      <c r="CA7" s="22"/>
      <c r="CB7" s="24"/>
      <c r="CC7" s="25"/>
      <c r="CD7" s="548" t="s">
        <v>664</v>
      </c>
      <c r="CE7" s="549" t="b">
        <v>0</v>
      </c>
      <c r="CH7" s="183" t="s">
        <v>327</v>
      </c>
      <c r="CI7" s="67">
        <f>+VLOOKUP(BD6,차량DB!F:Q,12,0)</f>
        <v>0</v>
      </c>
      <c r="CL7" s="49">
        <v>2</v>
      </c>
      <c r="CM7" s="50" t="e">
        <f t="shared" ref="CM7:CM65" si="1">IF(CL7&lt;$CQ$4,$CQ$28,IF(CL7=$CQ$4,$CQ$28+$CQ$24,0))</f>
        <v>#N/A</v>
      </c>
      <c r="CO7" s="39"/>
      <c r="CP7" s="40" t="s">
        <v>178</v>
      </c>
      <c r="CQ7" s="41" t="s">
        <v>179</v>
      </c>
      <c r="CR7" s="42"/>
      <c r="CS7" s="200"/>
      <c r="CT7" s="201"/>
      <c r="CU7" s="202"/>
      <c r="CW7" s="68"/>
      <c r="CX7" s="69" t="str">
        <f>견적관리자용!$S$9</f>
        <v>승용SUV(~5인)</v>
      </c>
      <c r="CY7" s="70">
        <v>0</v>
      </c>
      <c r="CZ7" s="71">
        <v>0.05</v>
      </c>
      <c r="DA7" s="71">
        <v>0.05</v>
      </c>
      <c r="DB7" s="71">
        <v>0.05</v>
      </c>
      <c r="DC7" s="71">
        <v>0.05</v>
      </c>
      <c r="DD7" s="72">
        <f>HLOOKUP($CI$6,$CY$4:$DC$145,DE7,TRUE)</f>
        <v>0</v>
      </c>
      <c r="DE7" s="73">
        <v>4</v>
      </c>
      <c r="DF7" s="72">
        <f t="shared" si="0"/>
        <v>0</v>
      </c>
      <c r="DG7" s="74"/>
      <c r="DJ7" s="25"/>
      <c r="DK7" s="25"/>
      <c r="DL7" s="25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/>
      <c r="DX7" s="24"/>
      <c r="DY7" s="24"/>
      <c r="DZ7" s="24"/>
      <c r="EA7" s="24"/>
      <c r="EB7" s="24"/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/>
      <c r="FH7" s="24"/>
      <c r="FI7" s="24"/>
      <c r="FJ7" s="24"/>
      <c r="FK7" s="24"/>
      <c r="FL7" s="24"/>
      <c r="FM7" s="24"/>
      <c r="FN7" s="24"/>
      <c r="FO7" s="24"/>
      <c r="FP7" s="24"/>
      <c r="FQ7" s="24"/>
      <c r="FR7" s="24"/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/>
      <c r="HD7" s="24"/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  <c r="KD7" s="24"/>
      <c r="KE7" s="24"/>
      <c r="KF7" s="24"/>
      <c r="KG7" s="24"/>
      <c r="KH7" s="24"/>
      <c r="KI7" s="24"/>
      <c r="KJ7" s="24"/>
      <c r="KK7" s="24"/>
      <c r="KL7" s="24"/>
    </row>
    <row r="8" spans="1:298" s="26" customFormat="1" ht="15.95" customHeight="1" x14ac:dyDescent="0.3">
      <c r="A8" s="22"/>
      <c r="B8" s="314"/>
      <c r="C8" s="361"/>
      <c r="D8" s="920" t="str">
        <f>IF(CE6=FALSE,$BD$6,BZ7)</f>
        <v>SPECTRE</v>
      </c>
      <c r="E8" s="920"/>
      <c r="F8" s="920"/>
      <c r="G8" s="920"/>
      <c r="H8" s="920"/>
      <c r="I8" s="920"/>
      <c r="J8" s="920"/>
      <c r="K8" s="920"/>
      <c r="L8" s="920"/>
      <c r="M8" s="920"/>
      <c r="N8" s="920"/>
      <c r="O8" s="920"/>
      <c r="P8" s="920"/>
      <c r="Q8" s="920"/>
      <c r="R8" s="920"/>
      <c r="S8" s="920"/>
      <c r="T8" s="920"/>
      <c r="U8" s="75"/>
      <c r="V8" s="75"/>
      <c r="W8" s="75"/>
      <c r="X8" s="75"/>
      <c r="Y8" s="75"/>
      <c r="Z8" s="944"/>
      <c r="AA8" s="944"/>
      <c r="AB8" s="944"/>
      <c r="AC8" s="944"/>
      <c r="AD8" s="944"/>
      <c r="AE8" s="944"/>
      <c r="AF8" s="944"/>
      <c r="AG8" s="944"/>
      <c r="AH8" s="944"/>
      <c r="AI8" s="944"/>
      <c r="AJ8" s="944"/>
      <c r="AK8" s="944"/>
      <c r="AL8" s="944"/>
      <c r="AM8" s="944"/>
      <c r="AN8" s="944"/>
      <c r="AO8" s="944"/>
      <c r="AP8" s="944"/>
      <c r="AQ8" s="315"/>
      <c r="AR8" s="315"/>
      <c r="AS8" s="22"/>
      <c r="AT8" s="933" t="s">
        <v>35</v>
      </c>
      <c r="AU8" s="934"/>
      <c r="AV8" s="934"/>
      <c r="AW8" s="934"/>
      <c r="AX8" s="934"/>
      <c r="AY8" s="934"/>
      <c r="AZ8" s="934"/>
      <c r="BA8" s="934"/>
      <c r="BB8" s="934"/>
      <c r="BC8" s="934"/>
      <c r="BD8" s="941">
        <f>VLOOKUP($BD$6,차량DB!$F$5:$P$88845,2,FALSE)</f>
        <v>1</v>
      </c>
      <c r="BE8" s="941"/>
      <c r="BF8" s="941"/>
      <c r="BG8" s="941"/>
      <c r="BH8" s="941"/>
      <c r="BI8" s="941"/>
      <c r="BJ8" s="942"/>
      <c r="BK8" s="886" t="s">
        <v>50</v>
      </c>
      <c r="BL8" s="887"/>
      <c r="BM8" s="887"/>
      <c r="BN8" s="887"/>
      <c r="BO8" s="887"/>
      <c r="BP8" s="887"/>
      <c r="BQ8" s="898">
        <v>0</v>
      </c>
      <c r="BR8" s="898"/>
      <c r="BS8" s="898"/>
      <c r="BT8" s="898"/>
      <c r="BU8" s="898"/>
      <c r="BV8" s="898"/>
      <c r="BW8" s="899"/>
      <c r="BX8" s="22"/>
      <c r="BY8" s="817" t="s">
        <v>666</v>
      </c>
      <c r="BZ8" s="817"/>
      <c r="CA8" s="22"/>
      <c r="CB8" s="24"/>
      <c r="CC8" s="25"/>
      <c r="CE8" s="28"/>
      <c r="CH8" s="35" t="s">
        <v>80</v>
      </c>
      <c r="CI8" s="76" t="str">
        <f>IFERROR(IF($CJ$8="모두가능","Y",IF($CJ$8="모두불가","",VLOOKUP($BD$6,차량DB!$F$5:$P$88845,11,FALSE))),"")</f>
        <v>Y</v>
      </c>
      <c r="CJ8" s="77" t="str">
        <f>견적관리자용!$Q$30</f>
        <v>DB적용</v>
      </c>
      <c r="CK8" s="78"/>
      <c r="CL8" s="49">
        <v>3</v>
      </c>
      <c r="CM8" s="50" t="e">
        <f t="shared" si="1"/>
        <v>#N/A</v>
      </c>
      <c r="CN8" s="78"/>
      <c r="CO8" s="79" t="s">
        <v>280</v>
      </c>
      <c r="CP8" s="42">
        <f>$CI$23</f>
        <v>74130000</v>
      </c>
      <c r="CQ8" s="50">
        <f>$CP$8</f>
        <v>74130000</v>
      </c>
      <c r="CR8" s="42"/>
      <c r="CS8" s="206"/>
      <c r="CT8" s="207"/>
      <c r="CU8" s="202"/>
      <c r="CW8" s="68"/>
      <c r="CX8" s="69" t="str">
        <f>견적관리자용!$S$10</f>
        <v>승용SUV(7~10인)</v>
      </c>
      <c r="CY8" s="70">
        <v>0</v>
      </c>
      <c r="CZ8" s="70">
        <v>390000</v>
      </c>
      <c r="DA8" s="80">
        <v>390000</v>
      </c>
      <c r="DB8" s="80">
        <v>390000</v>
      </c>
      <c r="DC8" s="80">
        <v>390000</v>
      </c>
      <c r="DD8" s="72">
        <f t="shared" ref="DD8:DD71" si="2">HLOOKUP($CI$6,$CY$4:$DC$145,DE8,TRUE)</f>
        <v>0</v>
      </c>
      <c r="DE8" s="73">
        <v>5</v>
      </c>
      <c r="DF8" s="72">
        <f t="shared" si="0"/>
        <v>0</v>
      </c>
      <c r="DG8" s="74"/>
      <c r="DJ8" s="25"/>
      <c r="DK8" s="25"/>
      <c r="DL8" s="25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</row>
    <row r="9" spans="1:298" s="26" customFormat="1" ht="15.95" customHeight="1" thickBot="1" x14ac:dyDescent="0.35">
      <c r="A9" s="22"/>
      <c r="B9" s="311"/>
      <c r="C9" s="314"/>
      <c r="D9" s="686" t="s">
        <v>379</v>
      </c>
      <c r="E9" s="687"/>
      <c r="F9" s="687"/>
      <c r="G9" s="687"/>
      <c r="H9" s="687"/>
      <c r="I9" s="687"/>
      <c r="J9" s="687"/>
      <c r="K9" s="900">
        <f>$CI$6</f>
        <v>1</v>
      </c>
      <c r="L9" s="900"/>
      <c r="M9" s="900"/>
      <c r="N9" s="900"/>
      <c r="O9" s="900"/>
      <c r="P9" s="900"/>
      <c r="Q9" s="900"/>
      <c r="R9" s="900"/>
      <c r="S9" s="900"/>
      <c r="T9" s="901"/>
      <c r="U9" s="65"/>
      <c r="V9" s="65"/>
      <c r="W9" s="65"/>
      <c r="X9" s="65"/>
      <c r="Y9" s="65"/>
      <c r="Z9" s="682" t="s">
        <v>280</v>
      </c>
      <c r="AA9" s="683"/>
      <c r="AB9" s="683"/>
      <c r="AC9" s="683"/>
      <c r="AD9" s="683"/>
      <c r="AE9" s="683"/>
      <c r="AF9" s="683"/>
      <c r="AG9" s="988">
        <f>$CI$23</f>
        <v>74130000</v>
      </c>
      <c r="AH9" s="988"/>
      <c r="AI9" s="988"/>
      <c r="AJ9" s="988"/>
      <c r="AK9" s="988"/>
      <c r="AL9" s="988"/>
      <c r="AM9" s="988"/>
      <c r="AN9" s="988"/>
      <c r="AO9" s="988"/>
      <c r="AP9" s="989"/>
      <c r="AQ9" s="315"/>
      <c r="AR9" s="315"/>
      <c r="AS9" s="22"/>
      <c r="AT9" s="829" t="s">
        <v>594</v>
      </c>
      <c r="AU9" s="830"/>
      <c r="AV9" s="830"/>
      <c r="AW9" s="830"/>
      <c r="AX9" s="830"/>
      <c r="AY9" s="830"/>
      <c r="AZ9" s="830"/>
      <c r="BA9" s="830"/>
      <c r="BB9" s="830"/>
      <c r="BC9" s="830"/>
      <c r="BD9" s="894">
        <v>70400000</v>
      </c>
      <c r="BE9" s="895"/>
      <c r="BF9" s="895"/>
      <c r="BG9" s="895"/>
      <c r="BH9" s="895"/>
      <c r="BI9" s="895"/>
      <c r="BJ9" s="895"/>
      <c r="BK9" s="895"/>
      <c r="BL9" s="895"/>
      <c r="BM9" s="895"/>
      <c r="BN9" s="895"/>
      <c r="BO9" s="895"/>
      <c r="BP9" s="895"/>
      <c r="BQ9" s="895"/>
      <c r="BR9" s="895"/>
      <c r="BS9" s="895"/>
      <c r="BT9" s="895"/>
      <c r="BU9" s="895"/>
      <c r="BV9" s="895"/>
      <c r="BW9" s="895"/>
      <c r="BX9" s="22"/>
      <c r="BY9" s="676"/>
      <c r="BZ9" s="676"/>
      <c r="CA9" s="22"/>
      <c r="CB9" s="24"/>
      <c r="CC9" s="25"/>
      <c r="CH9" s="35" t="s">
        <v>54</v>
      </c>
      <c r="CI9" s="57">
        <f>$BD$14</f>
        <v>70400000</v>
      </c>
      <c r="CL9" s="49">
        <v>4</v>
      </c>
      <c r="CM9" s="50" t="e">
        <f t="shared" si="1"/>
        <v>#N/A</v>
      </c>
      <c r="CO9" s="79" t="s">
        <v>180</v>
      </c>
      <c r="CP9" s="42" t="e">
        <f>$CI$56</f>
        <v>#N/A</v>
      </c>
      <c r="CQ9" s="50" t="e">
        <f>$CP$9</f>
        <v>#N/A</v>
      </c>
      <c r="CR9" s="42"/>
      <c r="CS9" s="206"/>
      <c r="CT9" s="207"/>
      <c r="CU9" s="202"/>
      <c r="CW9" s="68"/>
      <c r="CX9" s="69" t="str">
        <f>견적관리자용!$S$11</f>
        <v>승합(11~15인)</v>
      </c>
      <c r="CY9" s="70">
        <v>0</v>
      </c>
      <c r="CZ9" s="70">
        <v>390000</v>
      </c>
      <c r="DA9" s="80">
        <v>390000</v>
      </c>
      <c r="DB9" s="80">
        <v>390000</v>
      </c>
      <c r="DC9" s="80">
        <v>390000</v>
      </c>
      <c r="DD9" s="72">
        <f t="shared" si="2"/>
        <v>0</v>
      </c>
      <c r="DE9" s="73">
        <v>6</v>
      </c>
      <c r="DF9" s="72">
        <f t="shared" si="0"/>
        <v>0</v>
      </c>
      <c r="DG9" s="74"/>
      <c r="DJ9" s="25"/>
      <c r="DK9" s="25"/>
      <c r="DL9" s="25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</row>
    <row r="10" spans="1:298" s="26" customFormat="1" ht="15.95" customHeight="1" thickTop="1" thickBot="1" x14ac:dyDescent="0.35">
      <c r="A10" s="22"/>
      <c r="B10" s="311"/>
      <c r="C10" s="312"/>
      <c r="D10" s="332"/>
      <c r="E10" s="342"/>
      <c r="F10" s="688" t="s">
        <v>380</v>
      </c>
      <c r="G10" s="688"/>
      <c r="H10" s="688"/>
      <c r="I10" s="688"/>
      <c r="J10" s="688"/>
      <c r="K10" s="706">
        <f>$BD$10</f>
        <v>70400000</v>
      </c>
      <c r="L10" s="706"/>
      <c r="M10" s="706"/>
      <c r="N10" s="706"/>
      <c r="O10" s="706"/>
      <c r="P10" s="706"/>
      <c r="Q10" s="706"/>
      <c r="R10" s="706"/>
      <c r="S10" s="706"/>
      <c r="T10" s="707"/>
      <c r="U10" s="65"/>
      <c r="V10" s="65"/>
      <c r="W10" s="65"/>
      <c r="X10" s="65"/>
      <c r="Y10" s="65"/>
      <c r="Z10" s="1004" t="s">
        <v>279</v>
      </c>
      <c r="AA10" s="1005"/>
      <c r="AB10" s="1005"/>
      <c r="AC10" s="1005"/>
      <c r="AD10" s="1005"/>
      <c r="AE10" s="1005"/>
      <c r="AF10" s="1005"/>
      <c r="AG10" s="991">
        <f>$CI$24</f>
        <v>48</v>
      </c>
      <c r="AH10" s="991"/>
      <c r="AI10" s="991"/>
      <c r="AJ10" s="991"/>
      <c r="AK10" s="991"/>
      <c r="AL10" s="991"/>
      <c r="AM10" s="991"/>
      <c r="AN10" s="991"/>
      <c r="AO10" s="991"/>
      <c r="AP10" s="992"/>
      <c r="AQ10" s="315"/>
      <c r="AR10" s="312"/>
      <c r="AS10" s="22"/>
      <c r="AT10" s="503"/>
      <c r="AU10" s="813" t="s">
        <v>48</v>
      </c>
      <c r="AV10" s="813"/>
      <c r="AW10" s="813"/>
      <c r="AX10" s="813"/>
      <c r="AY10" s="813"/>
      <c r="AZ10" s="813"/>
      <c r="BA10" s="813"/>
      <c r="BB10" s="813"/>
      <c r="BC10" s="813"/>
      <c r="BD10" s="820">
        <f>BD9</f>
        <v>70400000</v>
      </c>
      <c r="BE10" s="820"/>
      <c r="BF10" s="820"/>
      <c r="BG10" s="820"/>
      <c r="BH10" s="820"/>
      <c r="BI10" s="820"/>
      <c r="BJ10" s="820"/>
      <c r="BK10" s="820"/>
      <c r="BL10" s="820"/>
      <c r="BM10" s="820"/>
      <c r="BN10" s="820"/>
      <c r="BO10" s="820"/>
      <c r="BP10" s="820"/>
      <c r="BQ10" s="820"/>
      <c r="BR10" s="820"/>
      <c r="BS10" s="820"/>
      <c r="BT10" s="820"/>
      <c r="BU10" s="820"/>
      <c r="BV10" s="820"/>
      <c r="BW10" s="821"/>
      <c r="BX10" s="22"/>
      <c r="BY10" s="676"/>
      <c r="BZ10" s="676"/>
      <c r="CA10" s="22"/>
      <c r="CB10" s="24"/>
      <c r="CC10" s="25"/>
      <c r="CH10" s="81" t="s">
        <v>84</v>
      </c>
      <c r="CI10" s="82">
        <f>IF($DG$5&gt;1,$DG$5,$CI$9/1.1*$DG$5)</f>
        <v>0</v>
      </c>
      <c r="CL10" s="49">
        <v>5</v>
      </c>
      <c r="CM10" s="50" t="e">
        <f t="shared" si="1"/>
        <v>#N/A</v>
      </c>
      <c r="CO10" s="79" t="s">
        <v>158</v>
      </c>
      <c r="CP10" s="42">
        <f>$CI$61</f>
        <v>0</v>
      </c>
      <c r="CQ10" s="50">
        <f>$CP$10</f>
        <v>0</v>
      </c>
      <c r="CR10" s="42"/>
      <c r="CS10" s="206"/>
      <c r="CT10" s="207"/>
      <c r="CU10" s="202"/>
      <c r="CW10" s="68"/>
      <c r="CX10" s="69" t="str">
        <f>견적관리자용!$S$12</f>
        <v>화물(1000cc 미만)</v>
      </c>
      <c r="CY10" s="70">
        <v>0</v>
      </c>
      <c r="CZ10" s="70">
        <v>0</v>
      </c>
      <c r="DA10" s="80">
        <v>0</v>
      </c>
      <c r="DB10" s="80">
        <v>0</v>
      </c>
      <c r="DC10" s="80">
        <v>0</v>
      </c>
      <c r="DD10" s="72">
        <f t="shared" si="2"/>
        <v>0</v>
      </c>
      <c r="DE10" s="73">
        <v>7</v>
      </c>
      <c r="DF10" s="72">
        <f t="shared" si="0"/>
        <v>0</v>
      </c>
      <c r="DG10" s="74"/>
      <c r="DJ10" s="25"/>
      <c r="DK10" s="25"/>
      <c r="DL10" s="25"/>
      <c r="DM10" s="24"/>
      <c r="DN10" s="24"/>
      <c r="DO10" s="24"/>
      <c r="DP10" s="24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4"/>
      <c r="EC10" s="24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4"/>
      <c r="EP10" s="24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4"/>
      <c r="FC10" s="24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4"/>
      <c r="FP10" s="24"/>
      <c r="FQ10" s="24"/>
      <c r="FR10" s="24"/>
      <c r="FS10" s="24"/>
      <c r="FT10" s="24"/>
      <c r="FU10" s="24"/>
      <c r="FV10" s="24"/>
      <c r="FW10" s="24"/>
      <c r="FX10" s="24"/>
      <c r="FY10" s="24"/>
      <c r="FZ10" s="24"/>
      <c r="GA10" s="24"/>
      <c r="GB10" s="24"/>
      <c r="GC10" s="24"/>
      <c r="GD10" s="24"/>
      <c r="GE10" s="24"/>
      <c r="GF10" s="24"/>
      <c r="GG10" s="24"/>
      <c r="GH10" s="24"/>
      <c r="GI10" s="24"/>
      <c r="GJ10" s="24"/>
      <c r="GK10" s="24"/>
      <c r="GL10" s="24"/>
      <c r="GM10" s="24"/>
      <c r="GN10" s="24"/>
      <c r="GO10" s="24"/>
      <c r="GP10" s="24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/>
      <c r="HD10" s="24"/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  <c r="KD10" s="24"/>
      <c r="KE10" s="24"/>
      <c r="KF10" s="24"/>
      <c r="KG10" s="24"/>
      <c r="KH10" s="24"/>
      <c r="KI10" s="24"/>
      <c r="KJ10" s="24"/>
      <c r="KK10" s="24"/>
      <c r="KL10" s="24"/>
    </row>
    <row r="11" spans="1:298" s="26" customFormat="1" ht="15.95" customHeight="1" thickBot="1" x14ac:dyDescent="0.35">
      <c r="A11" s="22"/>
      <c r="B11" s="22"/>
      <c r="C11" s="312"/>
      <c r="D11" s="334"/>
      <c r="E11" s="341"/>
      <c r="F11" s="689" t="s">
        <v>381</v>
      </c>
      <c r="G11" s="689"/>
      <c r="H11" s="689"/>
      <c r="I11" s="689"/>
      <c r="J11" s="689"/>
      <c r="K11" s="914">
        <f>$BD$11</f>
        <v>0</v>
      </c>
      <c r="L11" s="914"/>
      <c r="M11" s="914"/>
      <c r="N11" s="914"/>
      <c r="O11" s="914"/>
      <c r="P11" s="914"/>
      <c r="Q11" s="914"/>
      <c r="R11" s="914"/>
      <c r="S11" s="914"/>
      <c r="T11" s="915"/>
      <c r="U11" s="65"/>
      <c r="V11" s="65"/>
      <c r="W11" s="65"/>
      <c r="X11" s="65"/>
      <c r="Y11" s="65"/>
      <c r="Z11" s="911" t="s">
        <v>386</v>
      </c>
      <c r="AA11" s="912"/>
      <c r="AB11" s="912"/>
      <c r="AC11" s="912"/>
      <c r="AD11" s="912"/>
      <c r="AE11" s="912"/>
      <c r="AF11" s="912"/>
      <c r="AG11" s="1001" t="e">
        <f>IF(BD30&gt;19.5%,"금리기준초과",ROUNDUP(IF($CE$34&gt;0,"ERROR",$CQ$28),-2))</f>
        <v>#N/A</v>
      </c>
      <c r="AH11" s="1002"/>
      <c r="AI11" s="1002"/>
      <c r="AJ11" s="1002"/>
      <c r="AK11" s="1002"/>
      <c r="AL11" s="1002"/>
      <c r="AM11" s="1002"/>
      <c r="AN11" s="1002"/>
      <c r="AO11" s="1002"/>
      <c r="AP11" s="1003"/>
      <c r="AQ11" s="312"/>
      <c r="AR11" s="312"/>
      <c r="AS11" s="22"/>
      <c r="AT11" s="504"/>
      <c r="AU11" s="814" t="s">
        <v>51</v>
      </c>
      <c r="AV11" s="814"/>
      <c r="AW11" s="814"/>
      <c r="AX11" s="814"/>
      <c r="AY11" s="814"/>
      <c r="AZ11" s="814"/>
      <c r="BA11" s="814"/>
      <c r="BB11" s="814"/>
      <c r="BC11" s="814"/>
      <c r="BD11" s="888">
        <v>0</v>
      </c>
      <c r="BE11" s="888"/>
      <c r="BF11" s="888"/>
      <c r="BG11" s="888"/>
      <c r="BH11" s="888"/>
      <c r="BI11" s="888"/>
      <c r="BJ11" s="888"/>
      <c r="BK11" s="888"/>
      <c r="BL11" s="888"/>
      <c r="BM11" s="888"/>
      <c r="BN11" s="888"/>
      <c r="BO11" s="888"/>
      <c r="BP11" s="888"/>
      <c r="BQ11" s="888"/>
      <c r="BR11" s="888"/>
      <c r="BS11" s="888"/>
      <c r="BT11" s="888"/>
      <c r="BU11" s="888"/>
      <c r="BV11" s="888"/>
      <c r="BW11" s="889"/>
      <c r="BX11" s="22"/>
      <c r="BY11" s="676"/>
      <c r="BZ11" s="676"/>
      <c r="CA11" s="22"/>
      <c r="CB11" s="24"/>
      <c r="CC11" s="25"/>
      <c r="CD11" s="83" t="s">
        <v>72</v>
      </c>
      <c r="CE11" s="84" t="b">
        <f>IF($BD$12="비율입력",TRUE,FALSE)</f>
        <v>0</v>
      </c>
      <c r="CH11" s="35" t="s">
        <v>85</v>
      </c>
      <c r="CI11" s="57">
        <f>IF($BQ$16&gt;0,$BQ$16,ROUNDDOWN($CI$10*$BD$16,-2))</f>
        <v>0</v>
      </c>
      <c r="CL11" s="49">
        <v>6</v>
      </c>
      <c r="CM11" s="50" t="e">
        <f t="shared" si="1"/>
        <v>#N/A</v>
      </c>
      <c r="CO11" s="79" t="s">
        <v>182</v>
      </c>
      <c r="CP11" s="42">
        <f>$CI$70</f>
        <v>0</v>
      </c>
      <c r="CQ11" s="50">
        <f>IF(견적관리자용!$O$9="반영",$CP$11,0)</f>
        <v>0</v>
      </c>
      <c r="CR11" s="42"/>
      <c r="CS11" s="206"/>
      <c r="CT11" s="207"/>
      <c r="CU11" s="202"/>
      <c r="CW11" s="85"/>
      <c r="CX11" s="69" t="str">
        <f>견적관리자용!$S$13</f>
        <v>화물(0.6톤 미만)</v>
      </c>
      <c r="CY11" s="70">
        <v>0</v>
      </c>
      <c r="CZ11" s="70">
        <v>195000</v>
      </c>
      <c r="DA11" s="70">
        <v>195000</v>
      </c>
      <c r="DB11" s="70">
        <v>195000</v>
      </c>
      <c r="DC11" s="86">
        <v>195000</v>
      </c>
      <c r="DD11" s="72">
        <f t="shared" si="2"/>
        <v>0</v>
      </c>
      <c r="DE11" s="73">
        <v>8</v>
      </c>
      <c r="DF11" s="72">
        <f t="shared" si="0"/>
        <v>0</v>
      </c>
      <c r="DG11" s="74"/>
      <c r="DJ11" s="25"/>
      <c r="DK11" s="25"/>
      <c r="DL11" s="25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24"/>
      <c r="DX11" s="24"/>
      <c r="DY11" s="24"/>
      <c r="DZ11" s="24"/>
      <c r="EA11" s="24"/>
      <c r="EB11" s="24"/>
      <c r="EC11" s="24"/>
      <c r="ED11" s="24"/>
      <c r="EE11" s="24"/>
      <c r="EF11" s="24"/>
      <c r="EG11" s="24"/>
      <c r="EH11" s="24"/>
      <c r="EI11" s="24"/>
      <c r="EJ11" s="24"/>
      <c r="EK11" s="24"/>
      <c r="EL11" s="24"/>
      <c r="EM11" s="24"/>
      <c r="EN11" s="24"/>
      <c r="EO11" s="24"/>
      <c r="EP11" s="24"/>
      <c r="EQ11" s="24"/>
      <c r="ER11" s="24"/>
      <c r="ES11" s="24"/>
      <c r="ET11" s="24"/>
      <c r="EU11" s="24"/>
      <c r="EV11" s="24"/>
      <c r="EW11" s="24"/>
      <c r="EX11" s="24"/>
      <c r="EY11" s="24"/>
      <c r="EZ11" s="24"/>
      <c r="FA11" s="24"/>
      <c r="FB11" s="24"/>
      <c r="FC11" s="24"/>
      <c r="FD11" s="24"/>
      <c r="FE11" s="24"/>
      <c r="FF11" s="24"/>
      <c r="FG11" s="24"/>
      <c r="FH11" s="24"/>
      <c r="FI11" s="24"/>
      <c r="FJ11" s="24"/>
      <c r="FK11" s="24"/>
      <c r="FL11" s="24"/>
      <c r="FM11" s="24"/>
      <c r="FN11" s="24"/>
      <c r="FO11" s="24"/>
      <c r="FP11" s="24"/>
      <c r="FQ11" s="24"/>
      <c r="FR11" s="24"/>
      <c r="FS11" s="24"/>
      <c r="FT11" s="24"/>
      <c r="FU11" s="24"/>
      <c r="FV11" s="24"/>
      <c r="FW11" s="24"/>
      <c r="FX11" s="24"/>
      <c r="FY11" s="24"/>
      <c r="FZ11" s="24"/>
      <c r="GA11" s="24"/>
      <c r="GB11" s="24"/>
      <c r="GC11" s="24"/>
      <c r="GD11" s="24"/>
      <c r="GE11" s="24"/>
      <c r="GF11" s="24"/>
      <c r="GG11" s="24"/>
      <c r="GH11" s="24"/>
      <c r="GI11" s="24"/>
      <c r="GJ11" s="24"/>
      <c r="GK11" s="24"/>
      <c r="GL11" s="24"/>
      <c r="GM11" s="24"/>
      <c r="GN11" s="24"/>
      <c r="GO11" s="24"/>
      <c r="GP11" s="24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24"/>
      <c r="HP11" s="24"/>
      <c r="HQ11" s="24"/>
      <c r="HR11" s="24"/>
      <c r="HS11" s="24"/>
      <c r="HT11" s="24"/>
      <c r="HU11" s="24"/>
      <c r="HV11" s="24"/>
      <c r="HW11" s="24"/>
      <c r="HX11" s="24"/>
      <c r="HY11" s="24"/>
      <c r="HZ11" s="24"/>
      <c r="IA11" s="24"/>
      <c r="IB11" s="24"/>
      <c r="IC11" s="24"/>
      <c r="ID11" s="24"/>
      <c r="IE11" s="24"/>
      <c r="IF11" s="24"/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/>
      <c r="IT11" s="24"/>
      <c r="IU11" s="24"/>
      <c r="IV11" s="24"/>
      <c r="IW11" s="24"/>
      <c r="IX11" s="24"/>
      <c r="IY11" s="24"/>
      <c r="IZ11" s="24"/>
      <c r="JA11" s="24"/>
      <c r="JB11" s="24"/>
      <c r="JC11" s="24"/>
      <c r="JD11" s="24"/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  <c r="KD11" s="24"/>
      <c r="KE11" s="24"/>
      <c r="KF11" s="24"/>
      <c r="KG11" s="24"/>
      <c r="KH11" s="24"/>
      <c r="KI11" s="24"/>
      <c r="KJ11" s="24"/>
      <c r="KK11" s="24"/>
      <c r="KL11" s="24"/>
    </row>
    <row r="12" spans="1:298" s="26" customFormat="1" ht="15.95" customHeight="1" x14ac:dyDescent="0.3">
      <c r="A12" s="22"/>
      <c r="B12" s="22"/>
      <c r="C12" s="167"/>
      <c r="D12" s="334"/>
      <c r="E12" s="341"/>
      <c r="F12" s="689" t="s">
        <v>209</v>
      </c>
      <c r="G12" s="689"/>
      <c r="H12" s="689"/>
      <c r="I12" s="689"/>
      <c r="J12" s="689"/>
      <c r="K12" s="914">
        <f>-$CE$13</f>
        <v>0</v>
      </c>
      <c r="L12" s="914"/>
      <c r="M12" s="914"/>
      <c r="N12" s="914"/>
      <c r="O12" s="914"/>
      <c r="P12" s="914"/>
      <c r="Q12" s="914"/>
      <c r="R12" s="914"/>
      <c r="S12" s="914"/>
      <c r="T12" s="915"/>
      <c r="U12" s="65"/>
      <c r="V12" s="65"/>
      <c r="W12" s="65"/>
      <c r="X12" s="65"/>
      <c r="Y12" s="65"/>
      <c r="Z12" s="990" t="s">
        <v>387</v>
      </c>
      <c r="AA12" s="990"/>
      <c r="AB12" s="990"/>
      <c r="AC12" s="990"/>
      <c r="AD12" s="990"/>
      <c r="AE12" s="990"/>
      <c r="AF12" s="949"/>
      <c r="AG12" s="945">
        <f>CI36</f>
        <v>0</v>
      </c>
      <c r="AH12" s="946"/>
      <c r="AI12" s="946"/>
      <c r="AJ12" s="946"/>
      <c r="AK12" s="946"/>
      <c r="AL12" s="946"/>
      <c r="AM12" s="946"/>
      <c r="AN12" s="946"/>
      <c r="AO12" s="946"/>
      <c r="AP12" s="946"/>
      <c r="AQ12" s="65"/>
      <c r="AR12" s="65"/>
      <c r="AS12" s="22"/>
      <c r="AT12" s="504"/>
      <c r="AU12" s="814" t="s">
        <v>52</v>
      </c>
      <c r="AV12" s="814"/>
      <c r="AW12" s="814"/>
      <c r="AX12" s="814"/>
      <c r="AY12" s="814"/>
      <c r="AZ12" s="814"/>
      <c r="BA12" s="814"/>
      <c r="BB12" s="814"/>
      <c r="BC12" s="814"/>
      <c r="BD12" s="951" t="s">
        <v>74</v>
      </c>
      <c r="BE12" s="952"/>
      <c r="BF12" s="952"/>
      <c r="BG12" s="952"/>
      <c r="BH12" s="952"/>
      <c r="BI12" s="952"/>
      <c r="BJ12" s="952"/>
      <c r="BK12" s="718">
        <v>0</v>
      </c>
      <c r="BL12" s="718"/>
      <c r="BM12" s="718"/>
      <c r="BN12" s="718"/>
      <c r="BO12" s="718"/>
      <c r="BP12" s="718"/>
      <c r="BQ12" s="719">
        <v>0</v>
      </c>
      <c r="BR12" s="719"/>
      <c r="BS12" s="719"/>
      <c r="BT12" s="719"/>
      <c r="BU12" s="719"/>
      <c r="BV12" s="719"/>
      <c r="BW12" s="720"/>
      <c r="BX12" s="22"/>
      <c r="BY12" s="676"/>
      <c r="BZ12" s="676"/>
      <c r="CA12" s="22"/>
      <c r="CB12" s="24"/>
      <c r="CC12" s="25"/>
      <c r="CD12" s="83" t="s">
        <v>73</v>
      </c>
      <c r="CE12" s="84" t="b">
        <f>IF($BD$12="금액입력",TRUE,FALSE)</f>
        <v>1</v>
      </c>
      <c r="CH12" s="81" t="s">
        <v>99</v>
      </c>
      <c r="CI12" s="87" t="str">
        <f>LEFT($CI$5,2)</f>
        <v>승용</v>
      </c>
      <c r="CL12" s="49">
        <v>7</v>
      </c>
      <c r="CM12" s="50" t="e">
        <f t="shared" si="1"/>
        <v>#N/A</v>
      </c>
      <c r="CO12" s="79" t="s">
        <v>183</v>
      </c>
      <c r="CP12" s="42">
        <f>$CI$79</f>
        <v>0</v>
      </c>
      <c r="CQ12" s="50">
        <f>IF(견적관리자용!$O$17="반영",$CP$12,0)</f>
        <v>0</v>
      </c>
      <c r="CR12" s="42"/>
      <c r="CS12" s="206"/>
      <c r="CT12" s="207"/>
      <c r="CU12" s="202"/>
      <c r="CW12" s="85"/>
      <c r="CX12" s="69" t="str">
        <f>견적관리자용!$S$14</f>
        <v>화물(0.6~1톤 미만)</v>
      </c>
      <c r="CY12" s="70">
        <v>0</v>
      </c>
      <c r="CZ12" s="70">
        <v>195000</v>
      </c>
      <c r="DA12" s="70">
        <v>195000</v>
      </c>
      <c r="DB12" s="70">
        <v>195000</v>
      </c>
      <c r="DC12" s="86">
        <v>195000</v>
      </c>
      <c r="DD12" s="72">
        <f t="shared" si="2"/>
        <v>0</v>
      </c>
      <c r="DE12" s="73">
        <v>9</v>
      </c>
      <c r="DF12" s="72">
        <f t="shared" si="0"/>
        <v>0</v>
      </c>
      <c r="DG12" s="74"/>
      <c r="DJ12" s="25"/>
      <c r="DK12" s="25"/>
      <c r="DL12" s="25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</row>
    <row r="13" spans="1:298" s="26" customFormat="1" ht="15.95" customHeight="1" x14ac:dyDescent="0.3">
      <c r="A13" s="22"/>
      <c r="B13" s="22"/>
      <c r="C13" s="167"/>
      <c r="D13" s="334"/>
      <c r="E13" s="341"/>
      <c r="F13" s="690" t="str">
        <f>IF($BD$13&gt;0,"탁송료","")</f>
        <v/>
      </c>
      <c r="G13" s="690"/>
      <c r="H13" s="690"/>
      <c r="I13" s="690"/>
      <c r="J13" s="690"/>
      <c r="K13" s="916" t="str">
        <f>IF($BD$13&gt;0,$BD$13,"")</f>
        <v/>
      </c>
      <c r="L13" s="916"/>
      <c r="M13" s="916"/>
      <c r="N13" s="916"/>
      <c r="O13" s="916"/>
      <c r="P13" s="916"/>
      <c r="Q13" s="916"/>
      <c r="R13" s="916"/>
      <c r="S13" s="916"/>
      <c r="T13" s="917"/>
      <c r="U13" s="65"/>
      <c r="V13" s="65"/>
      <c r="W13" s="65"/>
      <c r="X13" s="65"/>
      <c r="Y13" s="65"/>
      <c r="Z13" s="334"/>
      <c r="AA13" s="689" t="s">
        <v>374</v>
      </c>
      <c r="AB13" s="689"/>
      <c r="AC13" s="689"/>
      <c r="AD13" s="689"/>
      <c r="AE13" s="689"/>
      <c r="AF13" s="689"/>
      <c r="AG13" s="704">
        <f>$CI$31</f>
        <v>0</v>
      </c>
      <c r="AH13" s="704"/>
      <c r="AI13" s="704"/>
      <c r="AJ13" s="704"/>
      <c r="AK13" s="704"/>
      <c r="AL13" s="704"/>
      <c r="AM13" s="704"/>
      <c r="AN13" s="704"/>
      <c r="AO13" s="704"/>
      <c r="AP13" s="705"/>
      <c r="AQ13" s="65"/>
      <c r="AR13" s="65"/>
      <c r="AS13" s="22"/>
      <c r="AT13" s="504"/>
      <c r="AU13" s="981" t="s">
        <v>53</v>
      </c>
      <c r="AV13" s="981"/>
      <c r="AW13" s="981"/>
      <c r="AX13" s="981"/>
      <c r="AY13" s="981"/>
      <c r="AZ13" s="981"/>
      <c r="BA13" s="981"/>
      <c r="BB13" s="981"/>
      <c r="BC13" s="981"/>
      <c r="BD13" s="734">
        <v>0</v>
      </c>
      <c r="BE13" s="734"/>
      <c r="BF13" s="734"/>
      <c r="BG13" s="734"/>
      <c r="BH13" s="734"/>
      <c r="BI13" s="734"/>
      <c r="BJ13" s="734"/>
      <c r="BK13" s="734"/>
      <c r="BL13" s="734"/>
      <c r="BM13" s="734"/>
      <c r="BN13" s="734"/>
      <c r="BO13" s="734"/>
      <c r="BP13" s="734"/>
      <c r="BQ13" s="734"/>
      <c r="BR13" s="734"/>
      <c r="BS13" s="734"/>
      <c r="BT13" s="734"/>
      <c r="BU13" s="734"/>
      <c r="BV13" s="734"/>
      <c r="BW13" s="735"/>
      <c r="BX13" s="22"/>
      <c r="BY13" s="676"/>
      <c r="BZ13" s="676"/>
      <c r="CA13" s="22"/>
      <c r="CB13" s="24"/>
      <c r="CC13" s="25"/>
      <c r="CD13" s="83" t="s">
        <v>78</v>
      </c>
      <c r="CE13" s="82">
        <f>IF($BD$12="금액입력",$BQ$12,TRUNC(($BD$10+$BD$11)*$BK$12,-1))</f>
        <v>0</v>
      </c>
      <c r="CH13" s="66" t="s">
        <v>122</v>
      </c>
      <c r="CI13" s="88">
        <f>IF($CI$12="승용",7%,IF($CI$12="승합",5%,IF($CI$12="화물",5%,7%)))</f>
        <v>7.0000000000000007E-2</v>
      </c>
      <c r="CL13" s="49">
        <v>8</v>
      </c>
      <c r="CM13" s="50" t="e">
        <f t="shared" si="1"/>
        <v>#N/A</v>
      </c>
      <c r="CO13" s="79" t="s">
        <v>184</v>
      </c>
      <c r="CP13" s="42">
        <f>$CI$84</f>
        <v>0</v>
      </c>
      <c r="CQ13" s="50">
        <f>$CP$13</f>
        <v>0</v>
      </c>
      <c r="CR13" s="42"/>
      <c r="CS13" s="206"/>
      <c r="CT13" s="207"/>
      <c r="CU13" s="202"/>
      <c r="CW13" s="85"/>
      <c r="CX13" s="69" t="str">
        <f>견적관리자용!$S$15</f>
        <v>화물(1~2.5톤 미만)</v>
      </c>
      <c r="CY13" s="70">
        <v>0</v>
      </c>
      <c r="CZ13" s="70">
        <v>390000</v>
      </c>
      <c r="DA13" s="80">
        <v>390000</v>
      </c>
      <c r="DB13" s="80">
        <v>390000</v>
      </c>
      <c r="DC13" s="80">
        <v>390000</v>
      </c>
      <c r="DD13" s="72">
        <f t="shared" si="2"/>
        <v>0</v>
      </c>
      <c r="DE13" s="73">
        <v>10</v>
      </c>
      <c r="DF13" s="72">
        <f t="shared" si="0"/>
        <v>0</v>
      </c>
      <c r="DG13" s="74"/>
      <c r="DJ13" s="25"/>
      <c r="DK13" s="25"/>
      <c r="DL13" s="25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</row>
    <row r="14" spans="1:298" s="26" customFormat="1" ht="15.95" customHeight="1" thickBot="1" x14ac:dyDescent="0.35">
      <c r="A14" s="22"/>
      <c r="B14" s="22"/>
      <c r="C14" s="167"/>
      <c r="D14" s="331"/>
      <c r="E14" s="691" t="s">
        <v>382</v>
      </c>
      <c r="F14" s="692"/>
      <c r="G14" s="692"/>
      <c r="H14" s="692"/>
      <c r="I14" s="692"/>
      <c r="J14" s="692"/>
      <c r="K14" s="937">
        <f>$CI$9</f>
        <v>70400000</v>
      </c>
      <c r="L14" s="937"/>
      <c r="M14" s="937"/>
      <c r="N14" s="937"/>
      <c r="O14" s="937"/>
      <c r="P14" s="937"/>
      <c r="Q14" s="937"/>
      <c r="R14" s="937"/>
      <c r="S14" s="937"/>
      <c r="T14" s="938"/>
      <c r="U14" s="65"/>
      <c r="V14" s="65"/>
      <c r="W14" s="65"/>
      <c r="X14" s="65"/>
      <c r="Y14" s="65"/>
      <c r="Z14" s="334"/>
      <c r="AA14" s="690" t="s">
        <v>403</v>
      </c>
      <c r="AB14" s="690"/>
      <c r="AC14" s="690"/>
      <c r="AD14" s="690"/>
      <c r="AE14" s="690"/>
      <c r="AF14" s="690"/>
      <c r="AG14" s="930">
        <f>CI80</f>
        <v>35000</v>
      </c>
      <c r="AH14" s="930"/>
      <c r="AI14" s="930"/>
      <c r="AJ14" s="930"/>
      <c r="AK14" s="930"/>
      <c r="AL14" s="930"/>
      <c r="AM14" s="930"/>
      <c r="AN14" s="930"/>
      <c r="AO14" s="930"/>
      <c r="AP14" s="931"/>
      <c r="AQ14" s="65"/>
      <c r="AR14" s="65"/>
      <c r="AS14" s="22"/>
      <c r="AT14" s="677" t="s">
        <v>54</v>
      </c>
      <c r="AU14" s="678"/>
      <c r="AV14" s="678"/>
      <c r="AW14" s="678"/>
      <c r="AX14" s="678"/>
      <c r="AY14" s="678"/>
      <c r="AZ14" s="678"/>
      <c r="BA14" s="678"/>
      <c r="BB14" s="678"/>
      <c r="BC14" s="679"/>
      <c r="BD14" s="822">
        <f>$BD$10+$BD$11-$CE$13+$BD$13</f>
        <v>70400000</v>
      </c>
      <c r="BE14" s="822"/>
      <c r="BF14" s="822"/>
      <c r="BG14" s="822"/>
      <c r="BH14" s="822"/>
      <c r="BI14" s="822"/>
      <c r="BJ14" s="822"/>
      <c r="BK14" s="822"/>
      <c r="BL14" s="822"/>
      <c r="BM14" s="822"/>
      <c r="BN14" s="822"/>
      <c r="BO14" s="822"/>
      <c r="BP14" s="822"/>
      <c r="BQ14" s="822"/>
      <c r="BR14" s="822"/>
      <c r="BS14" s="822"/>
      <c r="BT14" s="822"/>
      <c r="BU14" s="822"/>
      <c r="BV14" s="822"/>
      <c r="BW14" s="823"/>
      <c r="BX14" s="22"/>
      <c r="BY14" s="676"/>
      <c r="BZ14" s="676"/>
      <c r="CA14" s="22"/>
      <c r="CB14" s="24"/>
      <c r="CC14" s="25"/>
      <c r="CD14" s="253"/>
      <c r="CE14" s="254"/>
      <c r="CH14" s="89" t="s">
        <v>120</v>
      </c>
      <c r="CI14" s="50">
        <f>ROUNDDOWN($CI$9/1.1*$CI$13,-1)</f>
        <v>4480000</v>
      </c>
      <c r="CL14" s="49">
        <v>9</v>
      </c>
      <c r="CM14" s="50" t="e">
        <f t="shared" si="1"/>
        <v>#N/A</v>
      </c>
      <c r="CO14" s="208"/>
      <c r="CP14" s="202"/>
      <c r="CQ14" s="207"/>
      <c r="CR14" s="42"/>
      <c r="CS14" s="206"/>
      <c r="CT14" s="207"/>
      <c r="CU14" s="202"/>
      <c r="CW14" s="85"/>
      <c r="CX14" s="69" t="str">
        <f>견적관리자용!$S$16</f>
        <v>화물(2.5~4.6톤 미만)</v>
      </c>
      <c r="CY14" s="70">
        <v>0</v>
      </c>
      <c r="CZ14" s="70">
        <v>390000</v>
      </c>
      <c r="DA14" s="80">
        <v>390000</v>
      </c>
      <c r="DB14" s="80">
        <v>390000</v>
      </c>
      <c r="DC14" s="80">
        <v>390000</v>
      </c>
      <c r="DD14" s="72">
        <f t="shared" si="2"/>
        <v>0</v>
      </c>
      <c r="DE14" s="73">
        <v>11</v>
      </c>
      <c r="DF14" s="72">
        <f t="shared" si="0"/>
        <v>0</v>
      </c>
      <c r="DG14" s="74"/>
      <c r="DJ14" s="25"/>
      <c r="DK14" s="25"/>
      <c r="DL14" s="25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</row>
    <row r="15" spans="1:298" s="26" customFormat="1" ht="15.95" customHeight="1" thickTop="1" x14ac:dyDescent="0.3">
      <c r="A15" s="22"/>
      <c r="B15" s="22"/>
      <c r="C15" s="167"/>
      <c r="D15" s="331"/>
      <c r="E15" s="926" t="s">
        <v>383</v>
      </c>
      <c r="F15" s="926"/>
      <c r="G15" s="926"/>
      <c r="H15" s="926"/>
      <c r="I15" s="926"/>
      <c r="J15" s="926"/>
      <c r="K15" s="878">
        <f>$CI$21</f>
        <v>3730000</v>
      </c>
      <c r="L15" s="878"/>
      <c r="M15" s="878"/>
      <c r="N15" s="878"/>
      <c r="O15" s="878"/>
      <c r="P15" s="878"/>
      <c r="Q15" s="878"/>
      <c r="R15" s="878"/>
      <c r="S15" s="878"/>
      <c r="T15" s="879"/>
      <c r="U15" s="65"/>
      <c r="V15" s="65"/>
      <c r="W15" s="65"/>
      <c r="X15" s="65"/>
      <c r="Y15" s="65"/>
      <c r="Z15" s="775" t="s">
        <v>225</v>
      </c>
      <c r="AA15" s="985"/>
      <c r="AB15" s="985"/>
      <c r="AC15" s="985"/>
      <c r="AD15" s="985"/>
      <c r="AE15" s="985"/>
      <c r="AF15" s="985"/>
      <c r="AG15" s="986">
        <f>AG13+AG14</f>
        <v>35000</v>
      </c>
      <c r="AH15" s="986"/>
      <c r="AI15" s="986"/>
      <c r="AJ15" s="986"/>
      <c r="AK15" s="986"/>
      <c r="AL15" s="986"/>
      <c r="AM15" s="986"/>
      <c r="AN15" s="986"/>
      <c r="AO15" s="986"/>
      <c r="AP15" s="987"/>
      <c r="AQ15" s="65"/>
      <c r="AR15" s="65"/>
      <c r="AS15" s="22"/>
      <c r="AT15" s="774" t="s">
        <v>55</v>
      </c>
      <c r="AU15" s="774"/>
      <c r="AV15" s="774"/>
      <c r="AW15" s="774"/>
      <c r="AX15" s="774"/>
      <c r="AY15" s="774"/>
      <c r="AZ15" s="774"/>
      <c r="BA15" s="774"/>
      <c r="BB15" s="774"/>
      <c r="BC15" s="779"/>
      <c r="BD15" s="818" t="s">
        <v>13</v>
      </c>
      <c r="BE15" s="819"/>
      <c r="BF15" s="819"/>
      <c r="BG15" s="819"/>
      <c r="BH15" s="819"/>
      <c r="BI15" s="819"/>
      <c r="BJ15" s="819"/>
      <c r="BK15" s="819"/>
      <c r="BL15" s="819"/>
      <c r="BM15" s="1006"/>
      <c r="BN15" s="818" t="s">
        <v>111</v>
      </c>
      <c r="BO15" s="819"/>
      <c r="BP15" s="819"/>
      <c r="BQ15" s="819"/>
      <c r="BR15" s="819"/>
      <c r="BS15" s="819"/>
      <c r="BT15" s="819"/>
      <c r="BU15" s="819"/>
      <c r="BV15" s="819"/>
      <c r="BW15" s="819"/>
      <c r="BX15" s="22"/>
      <c r="BY15" s="676"/>
      <c r="BZ15" s="676"/>
      <c r="CA15" s="22"/>
      <c r="CB15" s="24"/>
      <c r="CC15" s="25"/>
      <c r="CD15" s="83" t="s">
        <v>62</v>
      </c>
      <c r="CE15" s="84" t="b">
        <f>IF($BD$15="이용자명의",TRUE,FALSE)</f>
        <v>1</v>
      </c>
      <c r="CH15" s="89" t="s">
        <v>686</v>
      </c>
      <c r="CI15" s="50">
        <f>IF($CI$14&lt;750000,0,$CI$14-750000)</f>
        <v>3730000</v>
      </c>
      <c r="CL15" s="49">
        <v>10</v>
      </c>
      <c r="CM15" s="50" t="e">
        <f t="shared" si="1"/>
        <v>#N/A</v>
      </c>
      <c r="CO15" s="79" t="s">
        <v>281</v>
      </c>
      <c r="CP15" s="42">
        <f>$CI$83</f>
        <v>444780</v>
      </c>
      <c r="CQ15" s="50">
        <f>IF(견적관리자용!$Q$26="반영",$CP$15,0)</f>
        <v>444780</v>
      </c>
      <c r="CR15" s="42"/>
      <c r="CS15" s="206"/>
      <c r="CT15" s="207"/>
      <c r="CU15" s="202"/>
      <c r="CW15" s="90"/>
      <c r="CX15" s="91" t="str">
        <f>견적관리자용!$S$17</f>
        <v>화물(4.6톤 이상)</v>
      </c>
      <c r="CY15" s="92">
        <v>0</v>
      </c>
      <c r="CZ15" s="92">
        <v>650000</v>
      </c>
      <c r="DA15" s="92">
        <v>650000</v>
      </c>
      <c r="DB15" s="92">
        <v>650000</v>
      </c>
      <c r="DC15" s="92">
        <v>650000</v>
      </c>
      <c r="DD15" s="93">
        <f t="shared" si="2"/>
        <v>0</v>
      </c>
      <c r="DE15" s="94">
        <v>12</v>
      </c>
      <c r="DF15" s="93">
        <f t="shared" si="0"/>
        <v>0</v>
      </c>
      <c r="DG15" s="95"/>
      <c r="DJ15" s="25"/>
      <c r="DK15" s="25"/>
      <c r="DL15" s="25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</row>
    <row r="16" spans="1:298" s="26" customFormat="1" ht="15.95" customHeight="1" x14ac:dyDescent="0.3">
      <c r="A16" s="22"/>
      <c r="B16" s="22"/>
      <c r="C16" s="167"/>
      <c r="D16" s="331"/>
      <c r="E16" s="926" t="s">
        <v>212</v>
      </c>
      <c r="F16" s="926"/>
      <c r="G16" s="926"/>
      <c r="H16" s="926"/>
      <c r="I16" s="926"/>
      <c r="J16" s="926"/>
      <c r="K16" s="878">
        <f>$CI$11</f>
        <v>0</v>
      </c>
      <c r="L16" s="878"/>
      <c r="M16" s="878"/>
      <c r="N16" s="878"/>
      <c r="O16" s="878"/>
      <c r="P16" s="878"/>
      <c r="Q16" s="878"/>
      <c r="R16" s="878"/>
      <c r="S16" s="878"/>
      <c r="T16" s="879"/>
      <c r="U16" s="65"/>
      <c r="V16" s="65"/>
      <c r="W16" s="65"/>
      <c r="X16" s="65"/>
      <c r="Y16" s="65"/>
      <c r="Z16" s="211"/>
      <c r="AA16" s="211"/>
      <c r="AB16" s="306"/>
      <c r="AC16" s="306"/>
      <c r="AD16" s="306"/>
      <c r="AE16" s="305" t="str">
        <f>IF(BD28="신차보상보험(1년)","※ 신차보상보험 1년 제공",IF(BD28="신차보상보험(3년)","※ 신차보상보험 3년 제공",""))</f>
        <v/>
      </c>
      <c r="AF16" s="306"/>
      <c r="AG16" s="306"/>
      <c r="AH16" s="306"/>
      <c r="AI16" s="306"/>
      <c r="AJ16" s="306"/>
      <c r="AK16" s="306"/>
      <c r="AL16" s="306"/>
      <c r="AM16" s="306"/>
      <c r="AN16" s="306"/>
      <c r="AO16" s="306"/>
      <c r="AP16" s="306"/>
      <c r="AQ16" s="65"/>
      <c r="AR16" s="65"/>
      <c r="AS16" s="22"/>
      <c r="AT16" s="764" t="s">
        <v>56</v>
      </c>
      <c r="AU16" s="764"/>
      <c r="AV16" s="764"/>
      <c r="AW16" s="764"/>
      <c r="AX16" s="764"/>
      <c r="AY16" s="764"/>
      <c r="AZ16" s="764"/>
      <c r="BA16" s="764"/>
      <c r="BB16" s="764"/>
      <c r="BC16" s="767"/>
      <c r="BD16" s="728">
        <v>0.05</v>
      </c>
      <c r="BE16" s="728"/>
      <c r="BF16" s="728"/>
      <c r="BG16" s="728"/>
      <c r="BH16" s="728"/>
      <c r="BI16" s="728"/>
      <c r="BJ16" s="729"/>
      <c r="BK16" s="730" t="s">
        <v>50</v>
      </c>
      <c r="BL16" s="731"/>
      <c r="BM16" s="731"/>
      <c r="BN16" s="731"/>
      <c r="BO16" s="731"/>
      <c r="BP16" s="731"/>
      <c r="BQ16" s="732">
        <v>0</v>
      </c>
      <c r="BR16" s="732"/>
      <c r="BS16" s="732"/>
      <c r="BT16" s="732"/>
      <c r="BU16" s="732"/>
      <c r="BV16" s="732"/>
      <c r="BW16" s="733"/>
      <c r="BX16" s="22"/>
      <c r="BY16" s="676"/>
      <c r="BZ16" s="676"/>
      <c r="CA16" s="22"/>
      <c r="CB16" s="24"/>
      <c r="CC16" s="25"/>
      <c r="CH16" s="89" t="s">
        <v>329</v>
      </c>
      <c r="CI16" s="50">
        <f>+IF(AND(CI7="하이브리드",CI14&gt;=400000),CI14-400000,0)</f>
        <v>0</v>
      </c>
      <c r="CL16" s="49">
        <v>11</v>
      </c>
      <c r="CM16" s="50" t="e">
        <f t="shared" si="1"/>
        <v>#N/A</v>
      </c>
      <c r="CO16" s="79" t="s">
        <v>168</v>
      </c>
      <c r="CP16" s="42">
        <f>$CI$80</f>
        <v>35000</v>
      </c>
      <c r="CQ16" s="50">
        <f>IF(견적관리자용!$Q$24="반영",$CP$16,0)</f>
        <v>35000</v>
      </c>
      <c r="CR16" s="42"/>
      <c r="CS16" s="206"/>
      <c r="CT16" s="207"/>
      <c r="CU16" s="202"/>
      <c r="CW16" s="58" t="s">
        <v>93</v>
      </c>
      <c r="CX16" s="59" t="str">
        <f>견적관리자용!$S$8</f>
        <v>승용일반</v>
      </c>
      <c r="CY16" s="60">
        <v>0</v>
      </c>
      <c r="CZ16" s="61">
        <v>0</v>
      </c>
      <c r="DA16" s="61">
        <v>0</v>
      </c>
      <c r="DB16" s="61">
        <v>0</v>
      </c>
      <c r="DC16" s="61">
        <v>0.05</v>
      </c>
      <c r="DD16" s="62">
        <f t="shared" si="2"/>
        <v>0</v>
      </c>
      <c r="DE16" s="63">
        <v>13</v>
      </c>
      <c r="DF16" s="62">
        <f t="shared" si="0"/>
        <v>0</v>
      </c>
      <c r="DG16" s="64">
        <f>SUM(DF16:DF25)</f>
        <v>0</v>
      </c>
      <c r="DJ16" s="25"/>
      <c r="DK16" s="25"/>
      <c r="DL16" s="25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</row>
    <row r="17" spans="1:298" s="26" customFormat="1" ht="15.95" customHeight="1" x14ac:dyDescent="0.2">
      <c r="A17" s="22"/>
      <c r="B17" s="22"/>
      <c r="C17" s="167"/>
      <c r="D17" s="331"/>
      <c r="E17" s="926" t="s">
        <v>384</v>
      </c>
      <c r="F17" s="926"/>
      <c r="G17" s="926"/>
      <c r="H17" s="926"/>
      <c r="I17" s="926"/>
      <c r="J17" s="926"/>
      <c r="K17" s="878">
        <f>$BD$17</f>
        <v>0</v>
      </c>
      <c r="L17" s="878"/>
      <c r="M17" s="878"/>
      <c r="N17" s="878"/>
      <c r="O17" s="878"/>
      <c r="P17" s="878"/>
      <c r="Q17" s="878"/>
      <c r="R17" s="878"/>
      <c r="S17" s="878"/>
      <c r="T17" s="879"/>
      <c r="U17" s="65"/>
      <c r="V17" s="65"/>
      <c r="W17" s="65"/>
      <c r="X17" s="65"/>
      <c r="Y17" s="261"/>
      <c r="Z17" s="261"/>
      <c r="AA17" s="261"/>
      <c r="AB17" s="999"/>
      <c r="AC17" s="999"/>
      <c r="AD17" s="999"/>
      <c r="AE17" s="999"/>
      <c r="AF17" s="999"/>
      <c r="AG17" s="999"/>
      <c r="AH17" s="999"/>
      <c r="AI17" s="999"/>
      <c r="AJ17" s="999"/>
      <c r="AK17" s="1000"/>
      <c r="AL17" s="1000"/>
      <c r="AM17" s="1000"/>
      <c r="AN17" s="1000"/>
      <c r="AO17" s="1000"/>
      <c r="AP17" s="1000"/>
      <c r="AQ17" s="65"/>
      <c r="AR17" s="65"/>
      <c r="AS17" s="22"/>
      <c r="AT17" s="764" t="s">
        <v>63</v>
      </c>
      <c r="AU17" s="764"/>
      <c r="AV17" s="764"/>
      <c r="AW17" s="764"/>
      <c r="AX17" s="764"/>
      <c r="AY17" s="764"/>
      <c r="AZ17" s="764"/>
      <c r="BA17" s="764"/>
      <c r="BB17" s="764"/>
      <c r="BC17" s="767"/>
      <c r="BD17" s="857">
        <v>0</v>
      </c>
      <c r="BE17" s="858"/>
      <c r="BF17" s="858"/>
      <c r="BG17" s="858"/>
      <c r="BH17" s="858"/>
      <c r="BI17" s="858"/>
      <c r="BJ17" s="858"/>
      <c r="BK17" s="858"/>
      <c r="BL17" s="858"/>
      <c r="BM17" s="858"/>
      <c r="BN17" s="739" t="s">
        <v>70</v>
      </c>
      <c r="BO17" s="740"/>
      <c r="BP17" s="680">
        <f>견적관리자용!$T$35</f>
        <v>0</v>
      </c>
      <c r="BQ17" s="680"/>
      <c r="BR17" s="680"/>
      <c r="BS17" s="680"/>
      <c r="BT17" s="680"/>
      <c r="BU17" s="680"/>
      <c r="BV17" s="680"/>
      <c r="BW17" s="680"/>
      <c r="BX17" s="22"/>
      <c r="BY17" s="676"/>
      <c r="BZ17" s="676"/>
      <c r="CA17" s="22"/>
      <c r="CB17" s="24"/>
      <c r="CC17" s="25"/>
      <c r="CH17" s="89" t="s">
        <v>121</v>
      </c>
      <c r="CI17" s="50">
        <f>IF($CI$6&lt;1000,$CI$15,IF(CI7="하이브리드",CI16,$CI$14))</f>
        <v>3730000</v>
      </c>
      <c r="CL17" s="49">
        <v>12</v>
      </c>
      <c r="CM17" s="50" t="e">
        <f t="shared" si="1"/>
        <v>#N/A</v>
      </c>
      <c r="CO17" s="51" t="s">
        <v>188</v>
      </c>
      <c r="CP17" s="96" t="e">
        <f>SUM($CP$8:$CP$16)</f>
        <v>#N/A</v>
      </c>
      <c r="CQ17" s="97" t="e">
        <f>SUM($CQ$8:$CQ$16)</f>
        <v>#N/A</v>
      </c>
      <c r="CR17" s="42"/>
      <c r="CS17" s="209"/>
      <c r="CT17" s="210"/>
      <c r="CU17" s="202"/>
      <c r="CW17" s="68"/>
      <c r="CX17" s="69" t="str">
        <f>견적관리자용!$S$9</f>
        <v>승용SUV(~5인)</v>
      </c>
      <c r="CY17" s="70">
        <v>0</v>
      </c>
      <c r="CZ17" s="71">
        <v>0</v>
      </c>
      <c r="DA17" s="71">
        <v>0</v>
      </c>
      <c r="DB17" s="71">
        <v>0</v>
      </c>
      <c r="DC17" s="71">
        <v>0</v>
      </c>
      <c r="DD17" s="72">
        <f t="shared" si="2"/>
        <v>0</v>
      </c>
      <c r="DE17" s="73">
        <v>14</v>
      </c>
      <c r="DF17" s="72">
        <f t="shared" si="0"/>
        <v>0</v>
      </c>
      <c r="DG17" s="74"/>
      <c r="DJ17" s="25"/>
      <c r="DK17" s="25"/>
      <c r="DL17" s="25"/>
      <c r="DM17" s="24"/>
      <c r="DN17" s="24"/>
      <c r="DO17" s="24"/>
      <c r="DP17" s="24"/>
      <c r="DQ17" s="24"/>
      <c r="DR17" s="24"/>
      <c r="DS17" s="24"/>
      <c r="DT17" s="24"/>
      <c r="DU17" s="24"/>
      <c r="DV17" s="24"/>
      <c r="DW17" s="24"/>
      <c r="DX17" s="24"/>
      <c r="DY17" s="24"/>
      <c r="DZ17" s="24"/>
      <c r="EA17" s="24"/>
      <c r="EB17" s="24"/>
      <c r="EC17" s="24"/>
      <c r="ED17" s="24"/>
      <c r="EE17" s="24"/>
      <c r="EF17" s="24"/>
      <c r="EG17" s="24"/>
      <c r="EH17" s="24"/>
      <c r="EI17" s="24"/>
      <c r="EJ17" s="24"/>
      <c r="EK17" s="24"/>
      <c r="EL17" s="24"/>
      <c r="EM17" s="24"/>
      <c r="EN17" s="24"/>
      <c r="EO17" s="24"/>
      <c r="EP17" s="24"/>
      <c r="EQ17" s="24"/>
      <c r="ER17" s="24"/>
      <c r="ES17" s="24"/>
      <c r="ET17" s="24"/>
      <c r="EU17" s="24"/>
      <c r="EV17" s="24"/>
      <c r="EW17" s="24"/>
      <c r="EX17" s="24"/>
      <c r="EY17" s="24"/>
      <c r="EZ17" s="24"/>
      <c r="FA17" s="24"/>
      <c r="FB17" s="24"/>
      <c r="FC17" s="24"/>
      <c r="FD17" s="24"/>
      <c r="FE17" s="24"/>
      <c r="FF17" s="24"/>
      <c r="FG17" s="24"/>
      <c r="FH17" s="24"/>
      <c r="FI17" s="24"/>
      <c r="FJ17" s="24"/>
      <c r="FK17" s="24"/>
      <c r="FL17" s="24"/>
      <c r="FM17" s="24"/>
      <c r="FN17" s="24"/>
      <c r="FO17" s="24"/>
      <c r="FP17" s="24"/>
      <c r="FQ17" s="24"/>
      <c r="FR17" s="24"/>
      <c r="FS17" s="24"/>
      <c r="FT17" s="24"/>
      <c r="FU17" s="24"/>
      <c r="FV17" s="24"/>
      <c r="FW17" s="24"/>
      <c r="FX17" s="24"/>
      <c r="FY17" s="24"/>
      <c r="FZ17" s="24"/>
      <c r="GA17" s="24"/>
      <c r="GB17" s="24"/>
      <c r="GC17" s="24"/>
      <c r="GD17" s="24"/>
      <c r="GE17" s="24"/>
      <c r="GF17" s="24"/>
      <c r="GG17" s="24"/>
      <c r="GH17" s="24"/>
      <c r="GI17" s="24"/>
      <c r="GJ17" s="24"/>
      <c r="GK17" s="24"/>
      <c r="GL17" s="24"/>
      <c r="GM17" s="24"/>
      <c r="GN17" s="24"/>
      <c r="GO17" s="24"/>
      <c r="GP17" s="24"/>
      <c r="GQ17" s="24"/>
      <c r="GR17" s="24"/>
      <c r="GS17" s="24"/>
      <c r="GT17" s="24"/>
      <c r="GU17" s="24"/>
      <c r="GV17" s="24"/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/>
      <c r="IB17" s="24"/>
      <c r="IC17" s="24"/>
      <c r="ID17" s="24"/>
      <c r="IE17" s="24"/>
      <c r="IF17" s="24"/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/>
      <c r="JX17" s="24"/>
      <c r="JY17" s="24"/>
      <c r="JZ17" s="24"/>
      <c r="KA17" s="24"/>
      <c r="KB17" s="24"/>
      <c r="KC17" s="24"/>
      <c r="KD17" s="24"/>
      <c r="KE17" s="24"/>
      <c r="KF17" s="24"/>
      <c r="KG17" s="24"/>
      <c r="KH17" s="24"/>
      <c r="KI17" s="24"/>
      <c r="KJ17" s="24"/>
      <c r="KK17" s="24"/>
      <c r="KL17" s="24"/>
    </row>
    <row r="18" spans="1:298" s="26" customFormat="1" ht="15.95" customHeight="1" x14ac:dyDescent="0.3">
      <c r="A18" s="22"/>
      <c r="B18" s="112"/>
      <c r="C18" s="167"/>
      <c r="D18" s="331"/>
      <c r="E18" s="926" t="str">
        <f>IF($BD$18&gt;0,"탁송료","")</f>
        <v/>
      </c>
      <c r="F18" s="926"/>
      <c r="G18" s="926"/>
      <c r="H18" s="926"/>
      <c r="I18" s="926"/>
      <c r="J18" s="926"/>
      <c r="K18" s="878" t="str">
        <f>IF($BD$18&gt;0,$BD$18,"")</f>
        <v/>
      </c>
      <c r="L18" s="878"/>
      <c r="M18" s="878"/>
      <c r="N18" s="878"/>
      <c r="O18" s="878"/>
      <c r="P18" s="878"/>
      <c r="Q18" s="878"/>
      <c r="R18" s="878"/>
      <c r="S18" s="878"/>
      <c r="T18" s="879"/>
      <c r="U18" s="65"/>
      <c r="V18" s="65"/>
      <c r="W18" s="65"/>
      <c r="X18" s="65"/>
      <c r="Y18" s="65"/>
      <c r="Z18" s="211"/>
      <c r="AA18" s="211"/>
      <c r="AB18" s="1007"/>
      <c r="AC18" s="1007"/>
      <c r="AD18" s="1007"/>
      <c r="AE18" s="1007"/>
      <c r="AF18" s="1007"/>
      <c r="AG18" s="1007"/>
      <c r="AH18" s="1007"/>
      <c r="AI18" s="1007"/>
      <c r="AJ18" s="1007"/>
      <c r="AK18" s="993"/>
      <c r="AL18" s="993"/>
      <c r="AM18" s="993"/>
      <c r="AN18" s="993"/>
      <c r="AO18" s="993"/>
      <c r="AP18" s="993"/>
      <c r="AQ18" s="65"/>
      <c r="AR18" s="65"/>
      <c r="AS18" s="22"/>
      <c r="AT18" s="956" t="s">
        <v>64</v>
      </c>
      <c r="AU18" s="956"/>
      <c r="AV18" s="956"/>
      <c r="AW18" s="956"/>
      <c r="AX18" s="956"/>
      <c r="AY18" s="956"/>
      <c r="AZ18" s="956"/>
      <c r="BA18" s="956"/>
      <c r="BB18" s="956"/>
      <c r="BC18" s="957"/>
      <c r="BD18" s="857">
        <v>0</v>
      </c>
      <c r="BE18" s="858"/>
      <c r="BF18" s="858"/>
      <c r="BG18" s="858"/>
      <c r="BH18" s="858"/>
      <c r="BI18" s="858"/>
      <c r="BJ18" s="858"/>
      <c r="BK18" s="858"/>
      <c r="BL18" s="858"/>
      <c r="BM18" s="858"/>
      <c r="BN18" s="739" t="s">
        <v>70</v>
      </c>
      <c r="BO18" s="740"/>
      <c r="BP18" s="680">
        <f>견적관리자용!$T$36</f>
        <v>500000</v>
      </c>
      <c r="BQ18" s="680"/>
      <c r="BR18" s="680"/>
      <c r="BS18" s="680"/>
      <c r="BT18" s="680"/>
      <c r="BU18" s="680"/>
      <c r="BV18" s="680"/>
      <c r="BW18" s="680"/>
      <c r="BX18" s="22"/>
      <c r="BY18" s="676"/>
      <c r="BZ18" s="676"/>
      <c r="CA18" s="22"/>
      <c r="CB18" s="24"/>
      <c r="CC18" s="25"/>
      <c r="CD18" s="83" t="s">
        <v>114</v>
      </c>
      <c r="CE18" s="84" t="b">
        <f>IF($BD$19="비율입력",TRUE,FALSE)</f>
        <v>0</v>
      </c>
      <c r="CH18" s="89" t="s">
        <v>117</v>
      </c>
      <c r="CI18" s="50">
        <f>ROUNDDOWN($CI$9/1.1*$BK$19,-1)</f>
        <v>4480000</v>
      </c>
      <c r="CL18" s="49">
        <v>13</v>
      </c>
      <c r="CM18" s="50" t="e">
        <f t="shared" si="1"/>
        <v>#N/A</v>
      </c>
      <c r="CO18" s="29"/>
      <c r="CP18" s="28"/>
      <c r="CQ18" s="28"/>
      <c r="CR18" s="28"/>
      <c r="CS18" s="199"/>
      <c r="CT18" s="199"/>
      <c r="CU18" s="199"/>
      <c r="CW18" s="68"/>
      <c r="CX18" s="69" t="str">
        <f>견적관리자용!$S$10</f>
        <v>승용SUV(7~10인)</v>
      </c>
      <c r="CY18" s="70">
        <v>0</v>
      </c>
      <c r="CZ18" s="71">
        <v>0</v>
      </c>
      <c r="DA18" s="71">
        <v>0</v>
      </c>
      <c r="DB18" s="71">
        <v>0</v>
      </c>
      <c r="DC18" s="71">
        <v>0</v>
      </c>
      <c r="DD18" s="72">
        <f t="shared" si="2"/>
        <v>0</v>
      </c>
      <c r="DE18" s="73">
        <v>15</v>
      </c>
      <c r="DF18" s="72">
        <f t="shared" si="0"/>
        <v>0</v>
      </c>
      <c r="DG18" s="74"/>
      <c r="DJ18" s="25"/>
      <c r="DK18" s="25"/>
      <c r="DL18" s="25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  <c r="KD18" s="24"/>
      <c r="KE18" s="24"/>
      <c r="KF18" s="24"/>
      <c r="KG18" s="24"/>
      <c r="KH18" s="24"/>
      <c r="KI18" s="24"/>
      <c r="KJ18" s="24"/>
      <c r="KK18" s="24"/>
      <c r="KL18" s="24"/>
    </row>
    <row r="19" spans="1:298" s="26" customFormat="1" ht="15.95" customHeight="1" x14ac:dyDescent="0.3">
      <c r="A19" s="22"/>
      <c r="B19" s="112"/>
      <c r="C19" s="112"/>
      <c r="D19" s="775" t="s">
        <v>385</v>
      </c>
      <c r="E19" s="972"/>
      <c r="F19" s="972"/>
      <c r="G19" s="972"/>
      <c r="H19" s="972"/>
      <c r="I19" s="972"/>
      <c r="J19" s="972"/>
      <c r="K19" s="973">
        <f>$CI$22</f>
        <v>74130000</v>
      </c>
      <c r="L19" s="973"/>
      <c r="M19" s="973"/>
      <c r="N19" s="973"/>
      <c r="O19" s="973"/>
      <c r="P19" s="973"/>
      <c r="Q19" s="973"/>
      <c r="R19" s="973"/>
      <c r="S19" s="973"/>
      <c r="T19" s="974"/>
      <c r="U19" s="65"/>
      <c r="V19" s="65"/>
      <c r="W19" s="65"/>
      <c r="X19" s="65"/>
      <c r="Y19" s="65"/>
      <c r="Z19" s="211"/>
      <c r="AA19" s="211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  <c r="AL19" s="262"/>
      <c r="AM19" s="262"/>
      <c r="AN19" s="262"/>
      <c r="AO19" s="262"/>
      <c r="AP19" s="262"/>
      <c r="AQ19" s="65"/>
      <c r="AR19" s="65"/>
      <c r="AS19" s="22"/>
      <c r="AT19" s="769" t="s">
        <v>276</v>
      </c>
      <c r="AU19" s="759"/>
      <c r="AV19" s="759"/>
      <c r="AW19" s="759"/>
      <c r="AX19" s="759"/>
      <c r="AY19" s="759"/>
      <c r="AZ19" s="759"/>
      <c r="BA19" s="759"/>
      <c r="BB19" s="759"/>
      <c r="BC19" s="760"/>
      <c r="BD19" s="863" t="s">
        <v>113</v>
      </c>
      <c r="BE19" s="864"/>
      <c r="BF19" s="864"/>
      <c r="BG19" s="864"/>
      <c r="BH19" s="864"/>
      <c r="BI19" s="864"/>
      <c r="BJ19" s="864"/>
      <c r="BK19" s="856">
        <v>7.0000000000000007E-2</v>
      </c>
      <c r="BL19" s="856"/>
      <c r="BM19" s="856"/>
      <c r="BN19" s="856"/>
      <c r="BO19" s="856"/>
      <c r="BP19" s="856"/>
      <c r="BQ19" s="861">
        <v>0</v>
      </c>
      <c r="BR19" s="861"/>
      <c r="BS19" s="861"/>
      <c r="BT19" s="861"/>
      <c r="BU19" s="861"/>
      <c r="BV19" s="861"/>
      <c r="BW19" s="862"/>
      <c r="BX19" s="22"/>
      <c r="BY19" s="817" t="s">
        <v>687</v>
      </c>
      <c r="BZ19" s="817"/>
      <c r="CA19" s="22"/>
      <c r="CB19" s="24"/>
      <c r="CC19" s="25"/>
      <c r="CD19" s="83" t="s">
        <v>115</v>
      </c>
      <c r="CE19" s="84" t="b">
        <f>IF($BD$19="감면액입력",TRUE,FALSE)</f>
        <v>0</v>
      </c>
      <c r="CH19" s="89" t="s">
        <v>118</v>
      </c>
      <c r="CI19" s="99">
        <f>$CI$17-$BQ$19</f>
        <v>3730000</v>
      </c>
      <c r="CJ19" s="26" t="s">
        <v>645</v>
      </c>
      <c r="CL19" s="49">
        <v>14</v>
      </c>
      <c r="CM19" s="50" t="e">
        <f t="shared" si="1"/>
        <v>#N/A</v>
      </c>
      <c r="CO19" s="212"/>
      <c r="CP19" s="213"/>
      <c r="CQ19" s="201"/>
      <c r="CR19" s="42"/>
      <c r="CS19" s="200"/>
      <c r="CT19" s="201"/>
      <c r="CU19" s="202"/>
      <c r="CW19" s="68"/>
      <c r="CX19" s="69" t="str">
        <f>견적관리자용!$S$11</f>
        <v>승합(11~15인)</v>
      </c>
      <c r="CY19" s="70">
        <v>0</v>
      </c>
      <c r="CZ19" s="71">
        <v>0</v>
      </c>
      <c r="DA19" s="71">
        <v>0</v>
      </c>
      <c r="DB19" s="71">
        <v>0</v>
      </c>
      <c r="DC19" s="71">
        <v>0</v>
      </c>
      <c r="DD19" s="72">
        <f t="shared" si="2"/>
        <v>0</v>
      </c>
      <c r="DE19" s="73">
        <v>16</v>
      </c>
      <c r="DF19" s="72">
        <f t="shared" si="0"/>
        <v>0</v>
      </c>
      <c r="DG19" s="74"/>
      <c r="DJ19" s="25"/>
      <c r="DK19" s="25"/>
      <c r="DL19" s="25"/>
      <c r="DM19" s="24"/>
      <c r="DN19" s="24"/>
      <c r="DO19" s="24"/>
      <c r="DP19" s="24"/>
      <c r="DQ19" s="24"/>
      <c r="DR19" s="24"/>
      <c r="DS19" s="24"/>
      <c r="DT19" s="24"/>
      <c r="DU19" s="24"/>
      <c r="DV19" s="24"/>
      <c r="DW19" s="24"/>
      <c r="DX19" s="24"/>
      <c r="DY19" s="24"/>
      <c r="DZ19" s="24"/>
      <c r="EA19" s="24"/>
      <c r="EB19" s="24"/>
      <c r="EC19" s="24"/>
      <c r="ED19" s="24"/>
      <c r="EE19" s="24"/>
      <c r="EF19" s="24"/>
      <c r="EG19" s="24"/>
      <c r="EH19" s="24"/>
      <c r="EI19" s="24"/>
      <c r="EJ19" s="24"/>
      <c r="EK19" s="24"/>
      <c r="EL19" s="24"/>
      <c r="EM19" s="24"/>
      <c r="EN19" s="24"/>
      <c r="EO19" s="24"/>
      <c r="EP19" s="24"/>
      <c r="EQ19" s="24"/>
      <c r="ER19" s="24"/>
      <c r="ES19" s="24"/>
      <c r="ET19" s="24"/>
      <c r="EU19" s="24"/>
      <c r="EV19" s="24"/>
      <c r="EW19" s="24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4"/>
      <c r="GR19" s="24"/>
      <c r="GS19" s="24"/>
      <c r="GT19" s="24"/>
      <c r="GU19" s="24"/>
      <c r="GV19" s="24"/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/>
      <c r="IN19" s="24"/>
      <c r="IO19" s="24"/>
      <c r="IP19" s="24"/>
      <c r="IQ19" s="24"/>
      <c r="IR19" s="24"/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/>
      <c r="JR19" s="24"/>
      <c r="JS19" s="24"/>
      <c r="JT19" s="24"/>
      <c r="JU19" s="24"/>
      <c r="JV19" s="24"/>
      <c r="JW19" s="24"/>
      <c r="JX19" s="24"/>
      <c r="JY19" s="24"/>
      <c r="JZ19" s="24"/>
      <c r="KA19" s="24"/>
      <c r="KB19" s="24"/>
      <c r="KC19" s="24"/>
      <c r="KD19" s="24"/>
      <c r="KE19" s="24"/>
      <c r="KF19" s="24"/>
      <c r="KG19" s="24"/>
      <c r="KH19" s="24"/>
      <c r="KI19" s="24"/>
      <c r="KJ19" s="24"/>
      <c r="KK19" s="24"/>
      <c r="KL19" s="24"/>
    </row>
    <row r="20" spans="1:298" s="26" customFormat="1" ht="15.95" customHeight="1" x14ac:dyDescent="0.25">
      <c r="A20" s="22"/>
      <c r="B20" s="112"/>
      <c r="C20" s="112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106"/>
      <c r="S20" s="106"/>
      <c r="T20" s="106"/>
      <c r="U20" s="107"/>
      <c r="V20" s="107"/>
      <c r="W20" s="107"/>
      <c r="X20" s="107"/>
      <c r="Y20" s="214"/>
      <c r="Z20" s="107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65"/>
      <c r="AR20" s="65"/>
      <c r="AS20" s="22"/>
      <c r="AT20" s="770"/>
      <c r="AU20" s="770"/>
      <c r="AV20" s="770"/>
      <c r="AW20" s="770"/>
      <c r="AX20" s="770"/>
      <c r="AY20" s="770"/>
      <c r="AZ20" s="770"/>
      <c r="BA20" s="770"/>
      <c r="BB20" s="770"/>
      <c r="BC20" s="771"/>
      <c r="BD20" s="865"/>
      <c r="BE20" s="866"/>
      <c r="BF20" s="866"/>
      <c r="BG20" s="866"/>
      <c r="BH20" s="866"/>
      <c r="BI20" s="866"/>
      <c r="BJ20" s="866"/>
      <c r="BK20" s="859">
        <v>0</v>
      </c>
      <c r="BL20" s="860"/>
      <c r="BM20" s="860"/>
      <c r="BN20" s="860"/>
      <c r="BO20" s="860"/>
      <c r="BP20" s="860"/>
      <c r="BQ20" s="860"/>
      <c r="BR20" s="860"/>
      <c r="BS20" s="860"/>
      <c r="BT20" s="860"/>
      <c r="BU20" s="860"/>
      <c r="BV20" s="860"/>
      <c r="BW20" s="860"/>
      <c r="BX20" s="22"/>
      <c r="BY20" s="676"/>
      <c r="BZ20" s="676"/>
      <c r="CA20" s="22"/>
      <c r="CB20" s="24"/>
      <c r="CC20" s="25"/>
      <c r="CD20" s="83" t="s">
        <v>116</v>
      </c>
      <c r="CE20" s="84" t="b">
        <f>IF($BD$19="금액입력",TRUE,FALSE)</f>
        <v>0</v>
      </c>
      <c r="CH20" s="89" t="s">
        <v>119</v>
      </c>
      <c r="CI20" s="99">
        <f>$BK$20</f>
        <v>0</v>
      </c>
      <c r="CL20" s="49">
        <v>15</v>
      </c>
      <c r="CM20" s="50" t="e">
        <f t="shared" si="1"/>
        <v>#N/A</v>
      </c>
      <c r="CO20" s="208"/>
      <c r="CP20" s="202"/>
      <c r="CQ20" s="207"/>
      <c r="CR20" s="42"/>
      <c r="CS20" s="206"/>
      <c r="CT20" s="207"/>
      <c r="CU20" s="202"/>
      <c r="CW20" s="68"/>
      <c r="CX20" s="69" t="str">
        <f>견적관리자용!$S$12</f>
        <v>화물(1000cc 미만)</v>
      </c>
      <c r="CY20" s="70">
        <v>0</v>
      </c>
      <c r="CZ20" s="70">
        <v>0</v>
      </c>
      <c r="DA20" s="80">
        <v>0</v>
      </c>
      <c r="DB20" s="80">
        <v>0</v>
      </c>
      <c r="DC20" s="80">
        <v>0</v>
      </c>
      <c r="DD20" s="72">
        <f t="shared" si="2"/>
        <v>0</v>
      </c>
      <c r="DE20" s="73">
        <v>17</v>
      </c>
      <c r="DF20" s="72">
        <f t="shared" si="0"/>
        <v>0</v>
      </c>
      <c r="DG20" s="74"/>
      <c r="DJ20" s="25"/>
      <c r="DK20" s="25"/>
      <c r="DL20" s="25"/>
      <c r="DM20" s="24"/>
      <c r="DN20" s="24"/>
      <c r="DO20" s="24"/>
      <c r="DP20" s="24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/>
      <c r="EP20" s="24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/>
      <c r="IN20" s="24"/>
      <c r="IO20" s="24"/>
      <c r="IP20" s="24"/>
      <c r="IQ20" s="24"/>
      <c r="IR20" s="24"/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/>
      <c r="JX20" s="24"/>
      <c r="JY20" s="24"/>
      <c r="JZ20" s="24"/>
      <c r="KA20" s="24"/>
      <c r="KB20" s="24"/>
      <c r="KC20" s="24"/>
      <c r="KD20" s="24"/>
      <c r="KE20" s="24"/>
      <c r="KF20" s="24"/>
      <c r="KG20" s="24"/>
      <c r="KH20" s="24"/>
      <c r="KI20" s="24"/>
      <c r="KJ20" s="24"/>
      <c r="KK20" s="24"/>
      <c r="KL20" s="24"/>
    </row>
    <row r="21" spans="1:298" s="26" customFormat="1" ht="4.9000000000000004" customHeight="1" x14ac:dyDescent="0.35">
      <c r="A21" s="22"/>
      <c r="B21" s="112"/>
      <c r="C21" s="112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106"/>
      <c r="S21" s="106"/>
      <c r="T21" s="106"/>
      <c r="U21" s="107"/>
      <c r="V21" s="107"/>
      <c r="W21" s="107"/>
      <c r="X21" s="107"/>
      <c r="Y21" s="214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6"/>
      <c r="AK21" s="216"/>
      <c r="AL21" s="216"/>
      <c r="AM21" s="216"/>
      <c r="AN21" s="216"/>
      <c r="AO21" s="216"/>
      <c r="AP21" s="216"/>
      <c r="AQ21" s="65"/>
      <c r="AR21" s="65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33"/>
      <c r="BZ21" s="34"/>
      <c r="CA21" s="22"/>
      <c r="CB21" s="24"/>
      <c r="CC21" s="25"/>
      <c r="CH21" s="103" t="s">
        <v>123</v>
      </c>
      <c r="CI21" s="104">
        <f>VLOOKUP($BD$19,$CH$17:$CI$20,2,FALSE)</f>
        <v>3730000</v>
      </c>
      <c r="CL21" s="49">
        <v>16</v>
      </c>
      <c r="CM21" s="50" t="e">
        <f t="shared" si="1"/>
        <v>#N/A</v>
      </c>
      <c r="CO21" s="79" t="s">
        <v>187</v>
      </c>
      <c r="CP21" s="42">
        <f>$CI$87</f>
        <v>0</v>
      </c>
      <c r="CQ21" s="50">
        <f>$CP$21</f>
        <v>0</v>
      </c>
      <c r="CR21" s="42"/>
      <c r="CS21" s="206"/>
      <c r="CT21" s="207"/>
      <c r="CU21" s="202"/>
      <c r="CW21" s="85"/>
      <c r="CX21" s="69" t="str">
        <f>견적관리자용!$S$13</f>
        <v>화물(0.6톤 미만)</v>
      </c>
      <c r="CY21" s="70">
        <v>0</v>
      </c>
      <c r="CZ21" s="70">
        <v>0</v>
      </c>
      <c r="DA21" s="70">
        <v>0</v>
      </c>
      <c r="DB21" s="70">
        <v>0</v>
      </c>
      <c r="DC21" s="86">
        <v>0</v>
      </c>
      <c r="DD21" s="72">
        <f t="shared" si="2"/>
        <v>0</v>
      </c>
      <c r="DE21" s="73">
        <v>18</v>
      </c>
      <c r="DF21" s="72">
        <f t="shared" si="0"/>
        <v>0</v>
      </c>
      <c r="DG21" s="74"/>
      <c r="DJ21" s="25"/>
      <c r="DK21" s="25"/>
      <c r="DL21" s="25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</row>
    <row r="22" spans="1:298" s="26" customFormat="1" ht="13.5" customHeight="1" x14ac:dyDescent="0.25">
      <c r="A22" s="22"/>
      <c r="B22" s="112"/>
      <c r="C22" s="112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7"/>
      <c r="AD22" s="107"/>
      <c r="AE22" s="107"/>
      <c r="AF22" s="107"/>
      <c r="AG22" s="211"/>
      <c r="AH22" s="211"/>
      <c r="AI22" s="211"/>
      <c r="AJ22" s="211"/>
      <c r="AK22" s="211"/>
      <c r="AL22" s="211"/>
      <c r="AM22" s="211"/>
      <c r="AN22" s="211"/>
      <c r="AO22" s="211"/>
      <c r="AP22" s="211"/>
      <c r="AQ22" s="65"/>
      <c r="AR22" s="65"/>
      <c r="AS22" s="22"/>
      <c r="AT22" s="764" t="s">
        <v>278</v>
      </c>
      <c r="AU22" s="764"/>
      <c r="AV22" s="764"/>
      <c r="AW22" s="764"/>
      <c r="AX22" s="764"/>
      <c r="AY22" s="764"/>
      <c r="AZ22" s="764"/>
      <c r="BA22" s="764"/>
      <c r="BB22" s="764"/>
      <c r="BC22" s="767"/>
      <c r="BD22" s="736">
        <v>48</v>
      </c>
      <c r="BE22" s="737"/>
      <c r="BF22" s="737"/>
      <c r="BG22" s="737"/>
      <c r="BH22" s="737"/>
      <c r="BI22" s="737"/>
      <c r="BJ22" s="737"/>
      <c r="BK22" s="737"/>
      <c r="BL22" s="737"/>
      <c r="BM22" s="737"/>
      <c r="BN22" s="737"/>
      <c r="BO22" s="737"/>
      <c r="BP22" s="737"/>
      <c r="BQ22" s="737"/>
      <c r="BR22" s="737"/>
      <c r="BS22" s="737"/>
      <c r="BT22" s="737"/>
      <c r="BU22" s="737"/>
      <c r="BV22" s="737"/>
      <c r="BW22" s="737"/>
      <c r="BX22" s="22"/>
      <c r="BY22" s="33"/>
      <c r="BZ22" s="33"/>
      <c r="CA22" s="22"/>
      <c r="CB22" s="24"/>
      <c r="CC22" s="25"/>
      <c r="CH22" s="81" t="s">
        <v>238</v>
      </c>
      <c r="CI22" s="77">
        <f>$CI$9+$CI$11+$CI$21+$BD$17+$BD$18</f>
        <v>74130000</v>
      </c>
      <c r="CL22" s="49">
        <v>17</v>
      </c>
      <c r="CM22" s="50" t="e">
        <f t="shared" si="1"/>
        <v>#N/A</v>
      </c>
      <c r="CO22" s="51" t="s">
        <v>189</v>
      </c>
      <c r="CP22" s="96">
        <f>SUM($CP$19:$CP$21)</f>
        <v>0</v>
      </c>
      <c r="CQ22" s="97">
        <f>SUM($CQ$19:$CQ$21)</f>
        <v>0</v>
      </c>
      <c r="CR22" s="42"/>
      <c r="CS22" s="209"/>
      <c r="CT22" s="210"/>
      <c r="CU22" s="202"/>
      <c r="CW22" s="85"/>
      <c r="CX22" s="69" t="str">
        <f>견적관리자용!$S$14</f>
        <v>화물(0.6~1톤 미만)</v>
      </c>
      <c r="CY22" s="70">
        <v>0</v>
      </c>
      <c r="CZ22" s="70">
        <v>0</v>
      </c>
      <c r="DA22" s="70">
        <v>0</v>
      </c>
      <c r="DB22" s="70">
        <v>0</v>
      </c>
      <c r="DC22" s="86">
        <v>0</v>
      </c>
      <c r="DD22" s="72">
        <f t="shared" si="2"/>
        <v>0</v>
      </c>
      <c r="DE22" s="73">
        <v>19</v>
      </c>
      <c r="DF22" s="72">
        <f t="shared" si="0"/>
        <v>0</v>
      </c>
      <c r="DG22" s="74"/>
      <c r="DJ22" s="25"/>
      <c r="DK22" s="25"/>
      <c r="DL22" s="25"/>
      <c r="DM22" s="24"/>
      <c r="DN22" s="24"/>
      <c r="DO22" s="24"/>
      <c r="DP22" s="24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4"/>
      <c r="EC22" s="24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4"/>
      <c r="EP22" s="24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4"/>
      <c r="GR22" s="24"/>
      <c r="GS22" s="24"/>
      <c r="GT22" s="24"/>
      <c r="GU22" s="24"/>
      <c r="GV22" s="24"/>
      <c r="GW22" s="24"/>
      <c r="GX22" s="24"/>
      <c r="GY22" s="24"/>
      <c r="GZ22" s="24"/>
      <c r="HA22" s="24"/>
      <c r="HB22" s="24"/>
      <c r="HC22" s="24"/>
      <c r="HD22" s="24"/>
      <c r="HE22" s="24"/>
      <c r="HF22" s="24"/>
      <c r="HG22" s="24"/>
      <c r="HH22" s="24"/>
      <c r="HI22" s="24"/>
      <c r="HJ22" s="24"/>
      <c r="HK22" s="24"/>
      <c r="HL22" s="24"/>
      <c r="HM22" s="24"/>
      <c r="HN22" s="24"/>
      <c r="HO22" s="24"/>
      <c r="HP22" s="24"/>
      <c r="HQ22" s="24"/>
      <c r="HR22" s="24"/>
      <c r="HS22" s="24"/>
      <c r="HT22" s="24"/>
      <c r="HU22" s="24"/>
      <c r="HV22" s="24"/>
      <c r="HW22" s="24"/>
      <c r="HX22" s="24"/>
      <c r="HY22" s="24"/>
      <c r="HZ22" s="24"/>
      <c r="IA22" s="24"/>
      <c r="IB22" s="24"/>
      <c r="IC22" s="24"/>
      <c r="ID22" s="24"/>
      <c r="IE22" s="24"/>
      <c r="IF22" s="24"/>
      <c r="IG22" s="24"/>
      <c r="IH22" s="24"/>
      <c r="II22" s="24"/>
      <c r="IJ22" s="24"/>
      <c r="IK22" s="24"/>
      <c r="IL22" s="24"/>
      <c r="IM22" s="24"/>
      <c r="IN22" s="24"/>
      <c r="IO22" s="24"/>
      <c r="IP22" s="24"/>
      <c r="IQ22" s="24"/>
      <c r="IR22" s="24"/>
      <c r="IS22" s="24"/>
      <c r="IT22" s="24"/>
      <c r="IU22" s="24"/>
      <c r="IV22" s="24"/>
      <c r="IW22" s="24"/>
      <c r="IX22" s="24"/>
      <c r="IY22" s="24"/>
      <c r="IZ22" s="24"/>
      <c r="JA22" s="24"/>
      <c r="JB22" s="24"/>
      <c r="JC22" s="24"/>
      <c r="JD22" s="24"/>
      <c r="JE22" s="24"/>
      <c r="JF22" s="24"/>
      <c r="JG22" s="24"/>
      <c r="JH22" s="24"/>
      <c r="JI22" s="24"/>
      <c r="JJ22" s="24"/>
      <c r="JK22" s="24"/>
      <c r="JL22" s="24"/>
      <c r="JM22" s="24"/>
      <c r="JN22" s="24"/>
      <c r="JO22" s="24"/>
      <c r="JP22" s="24"/>
      <c r="JQ22" s="24"/>
      <c r="JR22" s="24"/>
      <c r="JS22" s="24"/>
      <c r="JT22" s="24"/>
      <c r="JU22" s="24"/>
      <c r="JV22" s="24"/>
      <c r="JW22" s="24"/>
      <c r="JX22" s="24"/>
      <c r="JY22" s="24"/>
      <c r="JZ22" s="24"/>
      <c r="KA22" s="24"/>
      <c r="KB22" s="24"/>
      <c r="KC22" s="24"/>
      <c r="KD22" s="24"/>
      <c r="KE22" s="24"/>
      <c r="KF22" s="24"/>
      <c r="KG22" s="24"/>
      <c r="KH22" s="24"/>
      <c r="KI22" s="24"/>
      <c r="KJ22" s="24"/>
      <c r="KK22" s="24"/>
      <c r="KL22" s="24"/>
    </row>
    <row r="23" spans="1:298" s="26" customFormat="1" ht="15.95" customHeight="1" x14ac:dyDescent="0.3">
      <c r="A23" s="22"/>
      <c r="B23" s="112"/>
      <c r="C23" s="167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22"/>
      <c r="AT23" s="764" t="s">
        <v>275</v>
      </c>
      <c r="AU23" s="764"/>
      <c r="AV23" s="764"/>
      <c r="AW23" s="764"/>
      <c r="AX23" s="764"/>
      <c r="AY23" s="764"/>
      <c r="AZ23" s="764"/>
      <c r="BA23" s="764"/>
      <c r="BB23" s="764"/>
      <c r="BC23" s="767"/>
      <c r="BD23" s="723" t="s">
        <v>242</v>
      </c>
      <c r="BE23" s="724"/>
      <c r="BF23" s="724"/>
      <c r="BG23" s="724"/>
      <c r="BH23" s="724"/>
      <c r="BI23" s="724"/>
      <c r="BJ23" s="724"/>
      <c r="BK23" s="725">
        <v>0</v>
      </c>
      <c r="BL23" s="725"/>
      <c r="BM23" s="725"/>
      <c r="BN23" s="725"/>
      <c r="BO23" s="725"/>
      <c r="BP23" s="725"/>
      <c r="BQ23" s="726">
        <v>0</v>
      </c>
      <c r="BR23" s="726"/>
      <c r="BS23" s="726"/>
      <c r="BT23" s="726"/>
      <c r="BU23" s="726"/>
      <c r="BV23" s="726"/>
      <c r="BW23" s="727"/>
      <c r="BX23" s="22"/>
      <c r="BY23" s="817" t="s">
        <v>640</v>
      </c>
      <c r="BZ23" s="817"/>
      <c r="CA23" s="22"/>
      <c r="CB23" s="24"/>
      <c r="CC23" s="25"/>
      <c r="CD23" s="83" t="s">
        <v>272</v>
      </c>
      <c r="CE23" s="110" t="b">
        <f>IF(OR($BD$23="총구매비용비율",$BD$23="차량가비율"),TRUE,FALSE)</f>
        <v>1</v>
      </c>
      <c r="CF23" s="84" t="b">
        <f>IF($CE$23=TRUE,FALSE,TRUE)</f>
        <v>0</v>
      </c>
      <c r="CH23" s="108" t="s">
        <v>280</v>
      </c>
      <c r="CI23" s="109">
        <f>CI22-CI31</f>
        <v>74130000</v>
      </c>
      <c r="CL23" s="49">
        <v>18</v>
      </c>
      <c r="CM23" s="50" t="e">
        <f t="shared" si="1"/>
        <v>#N/A</v>
      </c>
      <c r="CO23" s="29"/>
      <c r="CP23" s="28"/>
      <c r="CQ23" s="28"/>
      <c r="CR23" s="28"/>
      <c r="CS23" s="199"/>
      <c r="CT23" s="199"/>
      <c r="CU23" s="199"/>
      <c r="CW23" s="85"/>
      <c r="CX23" s="69" t="str">
        <f>견적관리자용!$S$15</f>
        <v>화물(1~2.5톤 미만)</v>
      </c>
      <c r="CY23" s="70">
        <v>0</v>
      </c>
      <c r="CZ23" s="70">
        <v>0</v>
      </c>
      <c r="DA23" s="70">
        <v>0</v>
      </c>
      <c r="DB23" s="70">
        <v>0</v>
      </c>
      <c r="DC23" s="86">
        <v>0</v>
      </c>
      <c r="DD23" s="72">
        <f t="shared" si="2"/>
        <v>0</v>
      </c>
      <c r="DE23" s="73">
        <v>20</v>
      </c>
      <c r="DF23" s="72">
        <f t="shared" si="0"/>
        <v>0</v>
      </c>
      <c r="DG23" s="74"/>
      <c r="DJ23" s="25"/>
      <c r="DK23" s="25"/>
      <c r="DL23" s="25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</row>
    <row r="24" spans="1:298" s="26" customFormat="1" ht="15.95" customHeight="1" x14ac:dyDescent="0.3">
      <c r="A24" s="22"/>
      <c r="B24" s="22"/>
      <c r="C24" s="167"/>
      <c r="D24" s="789" t="s">
        <v>409</v>
      </c>
      <c r="E24" s="790"/>
      <c r="F24" s="790"/>
      <c r="G24" s="790"/>
      <c r="H24" s="790"/>
      <c r="I24" s="790"/>
      <c r="J24" s="790"/>
      <c r="K24" s="790"/>
      <c r="L24" s="790"/>
      <c r="M24" s="790"/>
      <c r="N24" s="790"/>
      <c r="O24" s="790"/>
      <c r="P24" s="790"/>
      <c r="Q24" s="790"/>
      <c r="R24" s="790"/>
      <c r="S24" s="790"/>
      <c r="T24" s="790"/>
      <c r="U24" s="790"/>
      <c r="V24" s="790"/>
      <c r="W24" s="790"/>
      <c r="X24" s="790"/>
      <c r="Y24" s="790"/>
      <c r="Z24" s="790"/>
      <c r="AA24" s="790"/>
      <c r="AB24" s="790"/>
      <c r="AC24" s="790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22"/>
      <c r="AT24" s="764" t="s">
        <v>231</v>
      </c>
      <c r="AU24" s="764"/>
      <c r="AV24" s="764"/>
      <c r="AW24" s="764"/>
      <c r="AX24" s="764"/>
      <c r="AY24" s="764"/>
      <c r="AZ24" s="764"/>
      <c r="BA24" s="764"/>
      <c r="BB24" s="764"/>
      <c r="BC24" s="767"/>
      <c r="BD24" s="723" t="s">
        <v>283</v>
      </c>
      <c r="BE24" s="724"/>
      <c r="BF24" s="724"/>
      <c r="BG24" s="724"/>
      <c r="BH24" s="724"/>
      <c r="BI24" s="724"/>
      <c r="BJ24" s="724"/>
      <c r="BK24" s="725">
        <v>0</v>
      </c>
      <c r="BL24" s="725"/>
      <c r="BM24" s="725"/>
      <c r="BN24" s="725"/>
      <c r="BO24" s="725"/>
      <c r="BP24" s="725"/>
      <c r="BQ24" s="726">
        <v>0</v>
      </c>
      <c r="BR24" s="726"/>
      <c r="BS24" s="726"/>
      <c r="BT24" s="726"/>
      <c r="BU24" s="726"/>
      <c r="BV24" s="726"/>
      <c r="BW24" s="727"/>
      <c r="BX24" s="22"/>
      <c r="BY24" s="33"/>
      <c r="BZ24" s="507"/>
      <c r="CA24" s="22"/>
      <c r="CB24" s="24"/>
      <c r="CC24" s="25"/>
      <c r="CD24" s="217"/>
      <c r="CE24" s="217"/>
      <c r="CF24" s="217"/>
      <c r="CH24" s="108" t="s">
        <v>279</v>
      </c>
      <c r="CI24" s="111">
        <f>$BD$22</f>
        <v>48</v>
      </c>
      <c r="CL24" s="49">
        <v>19</v>
      </c>
      <c r="CM24" s="50" t="e">
        <f t="shared" si="1"/>
        <v>#N/A</v>
      </c>
      <c r="CO24" s="114" t="s">
        <v>257</v>
      </c>
      <c r="CP24" s="115">
        <f>$CI$36</f>
        <v>0</v>
      </c>
      <c r="CQ24" s="82">
        <f>$CP$24</f>
        <v>0</v>
      </c>
      <c r="CR24" s="42"/>
      <c r="CS24" s="218"/>
      <c r="CT24" s="219"/>
      <c r="CU24" s="202"/>
      <c r="CW24" s="85"/>
      <c r="CX24" s="69" t="str">
        <f>견적관리자용!$S$16</f>
        <v>화물(2.5~4.6톤 미만)</v>
      </c>
      <c r="CY24" s="70">
        <v>0</v>
      </c>
      <c r="CZ24" s="70">
        <v>0</v>
      </c>
      <c r="DA24" s="80">
        <v>0</v>
      </c>
      <c r="DB24" s="80">
        <v>0</v>
      </c>
      <c r="DC24" s="80">
        <v>0</v>
      </c>
      <c r="DD24" s="72">
        <f t="shared" si="2"/>
        <v>0</v>
      </c>
      <c r="DE24" s="73">
        <v>21</v>
      </c>
      <c r="DF24" s="72">
        <f t="shared" si="0"/>
        <v>0</v>
      </c>
      <c r="DG24" s="74"/>
      <c r="DJ24" s="25"/>
      <c r="DK24" s="25"/>
      <c r="DL24" s="25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</row>
    <row r="25" spans="1:298" s="26" customFormat="1" ht="15.95" customHeight="1" x14ac:dyDescent="0.3">
      <c r="A25" s="22"/>
      <c r="B25" s="22"/>
      <c r="C25" s="167"/>
      <c r="D25" s="357" t="str">
        <f>"* 할부차량은 이용자명의 등록입니다. (당사 근저당 설정"&amp;(BD26*100)&amp;"%"&amp;"이며, 설정비 당사가 전액 부담합니다.)"</f>
        <v>* 할부차량은 이용자명의 등록입니다. (당사 근저당 설정100%이며, 설정비 당사가 전액 부담합니다.)</v>
      </c>
      <c r="E25" s="336"/>
      <c r="F25" s="337"/>
      <c r="G25" s="337"/>
      <c r="H25" s="337"/>
      <c r="I25" s="337"/>
      <c r="J25" s="337"/>
      <c r="K25" s="337"/>
      <c r="L25" s="337"/>
      <c r="M25" s="337"/>
      <c r="N25" s="337"/>
      <c r="O25" s="337"/>
      <c r="P25" s="337"/>
      <c r="Q25" s="337"/>
      <c r="R25" s="337"/>
      <c r="S25" s="337"/>
      <c r="T25" s="337"/>
      <c r="U25" s="337"/>
      <c r="V25" s="337"/>
      <c r="W25" s="337"/>
      <c r="X25" s="337"/>
      <c r="Y25" s="337"/>
      <c r="Z25" s="337"/>
      <c r="AA25" s="337"/>
      <c r="AB25" s="337"/>
      <c r="AC25" s="337"/>
      <c r="AD25" s="337"/>
      <c r="AE25" s="337"/>
      <c r="AF25" s="337"/>
      <c r="AG25" s="337"/>
      <c r="AH25" s="337"/>
      <c r="AI25" s="337"/>
      <c r="AJ25" s="337"/>
      <c r="AK25" s="337"/>
      <c r="AL25" s="337"/>
      <c r="AM25" s="337"/>
      <c r="AN25" s="337"/>
      <c r="AO25" s="337"/>
      <c r="AP25" s="337"/>
      <c r="AQ25" s="65"/>
      <c r="AR25" s="65"/>
      <c r="AS25" s="22"/>
      <c r="AT25" s="774" t="s">
        <v>150</v>
      </c>
      <c r="AU25" s="774"/>
      <c r="AV25" s="774"/>
      <c r="AW25" s="774"/>
      <c r="AX25" s="774"/>
      <c r="AY25" s="774"/>
      <c r="AZ25" s="774"/>
      <c r="BA25" s="774"/>
      <c r="BB25" s="774"/>
      <c r="BC25" s="779"/>
      <c r="BD25" s="811">
        <v>0</v>
      </c>
      <c r="BE25" s="812"/>
      <c r="BF25" s="812"/>
      <c r="BG25" s="812"/>
      <c r="BH25" s="812"/>
      <c r="BI25" s="812"/>
      <c r="BJ25" s="812"/>
      <c r="BK25" s="812"/>
      <c r="BL25" s="812"/>
      <c r="BM25" s="812"/>
      <c r="BN25" s="953" t="s">
        <v>70</v>
      </c>
      <c r="BO25" s="954"/>
      <c r="BP25" s="955" t="e">
        <f>CI92</f>
        <v>#N/A</v>
      </c>
      <c r="BQ25" s="955"/>
      <c r="BR25" s="955"/>
      <c r="BS25" s="955"/>
      <c r="BT25" s="955"/>
      <c r="BU25" s="955"/>
      <c r="BV25" s="955"/>
      <c r="BW25" s="955"/>
      <c r="BX25" s="22"/>
      <c r="BY25" s="522"/>
      <c r="BZ25" s="505"/>
      <c r="CA25" s="22"/>
      <c r="CB25" s="24"/>
      <c r="CC25" s="25"/>
      <c r="CD25" s="220"/>
      <c r="CE25" s="220"/>
      <c r="CF25" s="220"/>
      <c r="CH25" s="108" t="s">
        <v>128</v>
      </c>
      <c r="CI25" s="113">
        <f>VLOOKUP($BD$5,견적관리자용!$E$9:$K$36,6,FALSE)</f>
        <v>6.5000000000000002E-2</v>
      </c>
      <c r="CL25" s="49">
        <v>20</v>
      </c>
      <c r="CM25" s="50" t="e">
        <f t="shared" si="1"/>
        <v>#N/A</v>
      </c>
      <c r="CO25" s="117"/>
      <c r="CP25" s="42"/>
      <c r="CQ25" s="42"/>
      <c r="CR25" s="42"/>
      <c r="CS25" s="202"/>
      <c r="CT25" s="202"/>
      <c r="CU25" s="202"/>
      <c r="CW25" s="90"/>
      <c r="CX25" s="91" t="str">
        <f>견적관리자용!$S$17</f>
        <v>화물(4.6톤 이상)</v>
      </c>
      <c r="CY25" s="92">
        <v>0</v>
      </c>
      <c r="CZ25" s="92">
        <v>0</v>
      </c>
      <c r="DA25" s="92">
        <v>0</v>
      </c>
      <c r="DB25" s="92">
        <v>0</v>
      </c>
      <c r="DC25" s="92">
        <v>0</v>
      </c>
      <c r="DD25" s="93">
        <f t="shared" si="2"/>
        <v>0</v>
      </c>
      <c r="DE25" s="94">
        <v>22</v>
      </c>
      <c r="DF25" s="93">
        <f t="shared" si="0"/>
        <v>0</v>
      </c>
      <c r="DG25" s="95"/>
      <c r="DJ25" s="25"/>
      <c r="DK25" s="25"/>
      <c r="DL25" s="25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</row>
    <row r="26" spans="1:298" s="26" customFormat="1" ht="15.95" customHeight="1" x14ac:dyDescent="0.3">
      <c r="A26" s="22"/>
      <c r="B26" s="22"/>
      <c r="C26" s="167"/>
      <c r="D26" s="338" t="s">
        <v>404</v>
      </c>
      <c r="E26" s="319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22"/>
      <c r="AT26" s="764" t="s">
        <v>286</v>
      </c>
      <c r="AU26" s="764"/>
      <c r="AV26" s="764"/>
      <c r="AW26" s="764"/>
      <c r="AX26" s="764"/>
      <c r="AY26" s="764"/>
      <c r="AZ26" s="764"/>
      <c r="BA26" s="764"/>
      <c r="BB26" s="764"/>
      <c r="BC26" s="767"/>
      <c r="BD26" s="994">
        <v>1</v>
      </c>
      <c r="BE26" s="845"/>
      <c r="BF26" s="845"/>
      <c r="BG26" s="845"/>
      <c r="BH26" s="845"/>
      <c r="BI26" s="845"/>
      <c r="BJ26" s="845"/>
      <c r="BK26" s="845"/>
      <c r="BL26" s="845"/>
      <c r="BM26" s="845"/>
      <c r="BN26" s="845"/>
      <c r="BO26" s="845"/>
      <c r="BP26" s="845"/>
      <c r="BQ26" s="845"/>
      <c r="BR26" s="845"/>
      <c r="BS26" s="845"/>
      <c r="BT26" s="845"/>
      <c r="BU26" s="845"/>
      <c r="BV26" s="845"/>
      <c r="BW26" s="845"/>
      <c r="BX26" s="22"/>
      <c r="BY26" s="561" t="s">
        <v>708</v>
      </c>
      <c r="BZ26" s="562" t="str">
        <f>BY5</f>
        <v>비제휴사</v>
      </c>
      <c r="CA26" s="22"/>
      <c r="CB26" s="24"/>
      <c r="CC26" s="25"/>
      <c r="CD26" s="83" t="s">
        <v>247</v>
      </c>
      <c r="CE26" s="110" t="b">
        <f>IF($BD$24="금액입력",TRUE,FALSE)</f>
        <v>0</v>
      </c>
      <c r="CF26" s="84" t="b">
        <f>IF($CE$26=TRUE,FALSE,TRUE)</f>
        <v>1</v>
      </c>
      <c r="CH26" s="221"/>
      <c r="CI26" s="222"/>
      <c r="CL26" s="49">
        <v>21</v>
      </c>
      <c r="CM26" s="50" t="e">
        <f t="shared" si="1"/>
        <v>#N/A</v>
      </c>
      <c r="CO26" s="39" t="s">
        <v>192</v>
      </c>
      <c r="CP26" s="40"/>
      <c r="CQ26" s="224" t="e">
        <f>ROUNDDOWN(PMT($CQ$5/12,$CQ$4,-$CQ$17+$CQ$22,$CQ$24-$CQ$20),0)</f>
        <v>#N/A</v>
      </c>
      <c r="CR26" s="42"/>
      <c r="CS26" s="225"/>
      <c r="CT26" s="226"/>
      <c r="CU26" s="201"/>
      <c r="CW26" s="68" t="s">
        <v>95</v>
      </c>
      <c r="CX26" s="124" t="str">
        <f>견적관리자용!$S$8</f>
        <v>승용일반</v>
      </c>
      <c r="CY26" s="70">
        <v>0</v>
      </c>
      <c r="CZ26" s="125">
        <v>0.04</v>
      </c>
      <c r="DA26" s="125">
        <v>0.04</v>
      </c>
      <c r="DB26" s="125">
        <v>0.04</v>
      </c>
      <c r="DC26" s="125">
        <v>0.05</v>
      </c>
      <c r="DD26" s="72">
        <f t="shared" si="2"/>
        <v>0</v>
      </c>
      <c r="DE26" s="73">
        <v>23</v>
      </c>
      <c r="DF26" s="72">
        <f t="shared" si="0"/>
        <v>0</v>
      </c>
      <c r="DG26" s="74">
        <f>SUM(DF26:DF35)</f>
        <v>0</v>
      </c>
      <c r="DJ26" s="25"/>
      <c r="DK26" s="25"/>
      <c r="DL26" s="25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</row>
    <row r="27" spans="1:298" s="26" customFormat="1" ht="15.95" customHeight="1" x14ac:dyDescent="0.3">
      <c r="A27" s="22"/>
      <c r="B27" s="22"/>
      <c r="C27" s="167"/>
      <c r="D27" s="338" t="s">
        <v>400</v>
      </c>
      <c r="E27" s="319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22"/>
      <c r="AT27" s="764" t="s">
        <v>173</v>
      </c>
      <c r="AU27" s="764"/>
      <c r="AV27" s="764"/>
      <c r="AW27" s="764"/>
      <c r="AX27" s="764"/>
      <c r="AY27" s="764"/>
      <c r="AZ27" s="764"/>
      <c r="BA27" s="764"/>
      <c r="BB27" s="764"/>
      <c r="BC27" s="767"/>
      <c r="BD27" s="721">
        <v>0</v>
      </c>
      <c r="BE27" s="722"/>
      <c r="BF27" s="722"/>
      <c r="BG27" s="722"/>
      <c r="BH27" s="722"/>
      <c r="BI27" s="722"/>
      <c r="BJ27" s="722"/>
      <c r="BK27" s="722"/>
      <c r="BL27" s="722"/>
      <c r="BM27" s="722"/>
      <c r="BN27" s="722"/>
      <c r="BO27" s="722"/>
      <c r="BP27" s="722"/>
      <c r="BQ27" s="722"/>
      <c r="BR27" s="722"/>
      <c r="BS27" s="722"/>
      <c r="BT27" s="722"/>
      <c r="BU27" s="722"/>
      <c r="BV27" s="722"/>
      <c r="BW27" s="722"/>
      <c r="BX27" s="22"/>
      <c r="BY27" s="561" t="s">
        <v>709</v>
      </c>
      <c r="BZ27" s="560">
        <f>CI23</f>
        <v>74130000</v>
      </c>
      <c r="CA27" s="22"/>
      <c r="CB27" s="24"/>
      <c r="CC27" s="25"/>
      <c r="CH27" s="223"/>
      <c r="CI27" s="201"/>
      <c r="CL27" s="49">
        <v>22</v>
      </c>
      <c r="CM27" s="50" t="e">
        <f t="shared" si="1"/>
        <v>#N/A</v>
      </c>
      <c r="CO27" s="79" t="s">
        <v>193</v>
      </c>
      <c r="CP27" s="42"/>
      <c r="CQ27" s="132" t="e">
        <f>RATE($CQ$4,$CQ$26,-$CQ$8+$CQ$19,$CQ$24)*12</f>
        <v>#N/A</v>
      </c>
      <c r="CR27" s="131"/>
      <c r="CS27" s="229"/>
      <c r="CT27" s="230"/>
      <c r="CU27" s="231"/>
      <c r="CW27" s="68"/>
      <c r="CX27" s="69" t="str">
        <f>견적관리자용!$S$9</f>
        <v>승용SUV(~5인)</v>
      </c>
      <c r="CY27" s="70">
        <v>0</v>
      </c>
      <c r="CZ27" s="71">
        <v>0.04</v>
      </c>
      <c r="DA27" s="71">
        <v>0.04</v>
      </c>
      <c r="DB27" s="71">
        <v>0.04</v>
      </c>
      <c r="DC27" s="71">
        <v>0.04</v>
      </c>
      <c r="DD27" s="72">
        <f t="shared" si="2"/>
        <v>0</v>
      </c>
      <c r="DE27" s="73">
        <v>24</v>
      </c>
      <c r="DF27" s="72">
        <f t="shared" si="0"/>
        <v>0</v>
      </c>
      <c r="DG27" s="74"/>
      <c r="DJ27" s="25"/>
      <c r="DK27" s="25"/>
      <c r="DL27" s="25"/>
      <c r="DM27" s="24"/>
      <c r="DN27" s="24"/>
      <c r="DO27" s="24"/>
      <c r="DP27" s="24"/>
      <c r="DQ27" s="24"/>
      <c r="DR27" s="24"/>
      <c r="DS27" s="24"/>
      <c r="DT27" s="24"/>
      <c r="DU27" s="24"/>
      <c r="DV27" s="24"/>
      <c r="DW27" s="24"/>
      <c r="DX27" s="24"/>
      <c r="DY27" s="24"/>
      <c r="DZ27" s="24"/>
      <c r="EA27" s="24"/>
      <c r="EB27" s="24"/>
      <c r="EC27" s="24"/>
      <c r="ED27" s="24"/>
      <c r="EE27" s="24"/>
      <c r="EF27" s="24"/>
      <c r="EG27" s="24"/>
      <c r="EH27" s="24"/>
      <c r="EI27" s="24"/>
      <c r="EJ27" s="24"/>
      <c r="EK27" s="24"/>
      <c r="EL27" s="24"/>
      <c r="EM27" s="24"/>
      <c r="EN27" s="24"/>
      <c r="EO27" s="24"/>
      <c r="EP27" s="24"/>
      <c r="EQ27" s="24"/>
      <c r="ER27" s="24"/>
      <c r="ES27" s="24"/>
      <c r="ET27" s="24"/>
      <c r="EU27" s="24"/>
      <c r="EV27" s="24"/>
      <c r="EW27" s="24"/>
      <c r="EX27" s="24"/>
      <c r="EY27" s="24"/>
      <c r="EZ27" s="24"/>
      <c r="FA27" s="24"/>
      <c r="FB27" s="24"/>
      <c r="FC27" s="24"/>
      <c r="FD27" s="24"/>
      <c r="FE27" s="24"/>
      <c r="FF27" s="24"/>
      <c r="FG27" s="24"/>
      <c r="FH27" s="24"/>
      <c r="FI27" s="24"/>
      <c r="FJ27" s="24"/>
      <c r="FK27" s="24"/>
      <c r="FL27" s="24"/>
      <c r="FM27" s="24"/>
      <c r="FN27" s="24"/>
      <c r="FO27" s="24"/>
      <c r="FP27" s="24"/>
      <c r="FQ27" s="24"/>
      <c r="FR27" s="24"/>
      <c r="FS27" s="24"/>
      <c r="FT27" s="24"/>
      <c r="FU27" s="24"/>
      <c r="FV27" s="24"/>
      <c r="FW27" s="24"/>
      <c r="FX27" s="24"/>
      <c r="FY27" s="24"/>
      <c r="FZ27" s="24"/>
      <c r="GA27" s="24"/>
      <c r="GB27" s="24"/>
      <c r="GC27" s="24"/>
      <c r="GD27" s="24"/>
      <c r="GE27" s="24"/>
      <c r="GF27" s="24"/>
      <c r="GG27" s="24"/>
      <c r="GH27" s="24"/>
      <c r="GI27" s="24"/>
      <c r="GJ27" s="24"/>
      <c r="GK27" s="24"/>
      <c r="GL27" s="24"/>
      <c r="GM27" s="24"/>
      <c r="GN27" s="24"/>
      <c r="GO27" s="24"/>
      <c r="GP27" s="24"/>
      <c r="GQ27" s="24"/>
      <c r="GR27" s="24"/>
      <c r="GS27" s="24"/>
      <c r="GT27" s="24"/>
      <c r="GU27" s="24"/>
      <c r="GV27" s="24"/>
      <c r="GW27" s="24"/>
      <c r="GX27" s="24"/>
      <c r="GY27" s="24"/>
      <c r="GZ27" s="24"/>
      <c r="HA27" s="24"/>
      <c r="HB27" s="24"/>
      <c r="HC27" s="24"/>
      <c r="HD27" s="24"/>
      <c r="HE27" s="24"/>
      <c r="HF27" s="24"/>
      <c r="HG27" s="24"/>
      <c r="HH27" s="24"/>
      <c r="HI27" s="24"/>
      <c r="HJ27" s="24"/>
      <c r="HK27" s="24"/>
      <c r="HL27" s="24"/>
      <c r="HM27" s="24"/>
      <c r="HN27" s="24"/>
      <c r="HO27" s="24"/>
      <c r="HP27" s="24"/>
      <c r="HQ27" s="24"/>
      <c r="HR27" s="24"/>
      <c r="HS27" s="24"/>
      <c r="HT27" s="24"/>
      <c r="HU27" s="24"/>
      <c r="HV27" s="24"/>
      <c r="HW27" s="24"/>
      <c r="HX27" s="24"/>
      <c r="HY27" s="24"/>
      <c r="HZ27" s="24"/>
      <c r="IA27" s="24"/>
      <c r="IB27" s="24"/>
      <c r="IC27" s="24"/>
      <c r="ID27" s="24"/>
      <c r="IE27" s="24"/>
      <c r="IF27" s="24"/>
      <c r="IG27" s="24"/>
      <c r="IH27" s="24"/>
      <c r="II27" s="24"/>
      <c r="IJ27" s="24"/>
      <c r="IK27" s="24"/>
      <c r="IL27" s="24"/>
      <c r="IM27" s="24"/>
      <c r="IN27" s="24"/>
      <c r="IO27" s="24"/>
      <c r="IP27" s="24"/>
      <c r="IQ27" s="24"/>
      <c r="IR27" s="24"/>
      <c r="IS27" s="24"/>
      <c r="IT27" s="24"/>
      <c r="IU27" s="24"/>
      <c r="IV27" s="24"/>
      <c r="IW27" s="24"/>
      <c r="IX27" s="24"/>
      <c r="IY27" s="24"/>
      <c r="IZ27" s="24"/>
      <c r="JA27" s="24"/>
      <c r="JB27" s="24"/>
      <c r="JC27" s="24"/>
      <c r="JD27" s="24"/>
      <c r="JE27" s="24"/>
      <c r="JF27" s="24"/>
      <c r="JG27" s="24"/>
      <c r="JH27" s="24"/>
      <c r="JI27" s="24"/>
      <c r="JJ27" s="24"/>
      <c r="JK27" s="24"/>
      <c r="JL27" s="24"/>
      <c r="JM27" s="24"/>
      <c r="JN27" s="24"/>
      <c r="JO27" s="24"/>
      <c r="JP27" s="24"/>
      <c r="JQ27" s="24"/>
      <c r="JR27" s="24"/>
      <c r="JS27" s="24"/>
      <c r="JT27" s="24"/>
      <c r="JU27" s="24"/>
      <c r="JV27" s="24"/>
      <c r="JW27" s="24"/>
      <c r="JX27" s="24"/>
      <c r="JY27" s="24"/>
      <c r="JZ27" s="24"/>
      <c r="KA27" s="24"/>
      <c r="KB27" s="24"/>
      <c r="KC27" s="24"/>
      <c r="KD27" s="24"/>
      <c r="KE27" s="24"/>
      <c r="KF27" s="24"/>
      <c r="KG27" s="24"/>
      <c r="KH27" s="24"/>
      <c r="KI27" s="24"/>
      <c r="KJ27" s="24"/>
      <c r="KK27" s="24"/>
      <c r="KL27" s="24"/>
    </row>
    <row r="28" spans="1:298" s="26" customFormat="1" ht="15.95" customHeight="1" x14ac:dyDescent="0.3">
      <c r="A28" s="22"/>
      <c r="B28" s="22"/>
      <c r="C28" s="167"/>
      <c r="D28" s="338" t="s">
        <v>405</v>
      </c>
      <c r="E28" s="319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22"/>
      <c r="AT28" s="764" t="s">
        <v>324</v>
      </c>
      <c r="AU28" s="764"/>
      <c r="AV28" s="764"/>
      <c r="AW28" s="764"/>
      <c r="AX28" s="764"/>
      <c r="AY28" s="764"/>
      <c r="AZ28" s="764"/>
      <c r="BA28" s="764"/>
      <c r="BB28" s="764"/>
      <c r="BC28" s="767"/>
      <c r="BD28" s="808" t="s">
        <v>325</v>
      </c>
      <c r="BE28" s="809"/>
      <c r="BF28" s="809"/>
      <c r="BG28" s="809"/>
      <c r="BH28" s="809"/>
      <c r="BI28" s="809"/>
      <c r="BJ28" s="809"/>
      <c r="BK28" s="809"/>
      <c r="BL28" s="809"/>
      <c r="BM28" s="809"/>
      <c r="BN28" s="809"/>
      <c r="BO28" s="809"/>
      <c r="BP28" s="809"/>
      <c r="BQ28" s="809"/>
      <c r="BR28" s="809"/>
      <c r="BS28" s="809"/>
      <c r="BT28" s="809"/>
      <c r="BU28" s="809"/>
      <c r="BV28" s="809"/>
      <c r="BW28" s="809"/>
      <c r="BX28" s="22"/>
      <c r="BY28" s="563" t="s">
        <v>707</v>
      </c>
      <c r="BZ28" s="567">
        <f>BZ29/BZ27</f>
        <v>0</v>
      </c>
      <c r="CA28" s="22"/>
      <c r="CB28" s="24"/>
      <c r="CC28" s="25"/>
      <c r="CH28" s="227"/>
      <c r="CI28" s="228"/>
      <c r="CL28" s="49">
        <v>23</v>
      </c>
      <c r="CM28" s="50" t="e">
        <f t="shared" si="1"/>
        <v>#N/A</v>
      </c>
      <c r="CO28" s="145" t="s">
        <v>284</v>
      </c>
      <c r="CP28" s="146"/>
      <c r="CQ28" s="147" t="e">
        <f>PMT(CQ29/12,CQ4,-CQ8,CQ24)</f>
        <v>#N/A</v>
      </c>
      <c r="CR28" s="42"/>
      <c r="CS28" s="232"/>
      <c r="CT28" s="233"/>
      <c r="CU28" s="207"/>
      <c r="CW28" s="68"/>
      <c r="CX28" s="69" t="str">
        <f>견적관리자용!$S$10</f>
        <v>승용SUV(7~10인)</v>
      </c>
      <c r="CY28" s="70">
        <v>0</v>
      </c>
      <c r="CZ28" s="70">
        <v>390000</v>
      </c>
      <c r="DA28" s="80">
        <v>390000</v>
      </c>
      <c r="DB28" s="80">
        <v>390000</v>
      </c>
      <c r="DC28" s="80">
        <v>390000</v>
      </c>
      <c r="DD28" s="72">
        <f t="shared" si="2"/>
        <v>0</v>
      </c>
      <c r="DE28" s="73">
        <v>25</v>
      </c>
      <c r="DF28" s="72">
        <f t="shared" si="0"/>
        <v>0</v>
      </c>
      <c r="DG28" s="74"/>
      <c r="DJ28" s="25"/>
      <c r="DK28" s="25"/>
      <c r="DL28" s="25"/>
      <c r="DM28" s="24"/>
      <c r="DN28" s="24"/>
      <c r="DO28" s="24"/>
      <c r="DP28" s="24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4"/>
      <c r="EC28" s="24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4"/>
      <c r="EP28" s="24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4"/>
      <c r="FC28" s="24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4"/>
      <c r="FP28" s="24"/>
      <c r="FQ28" s="24"/>
      <c r="FR28" s="24"/>
      <c r="FS28" s="24"/>
      <c r="FT28" s="24"/>
      <c r="FU28" s="24"/>
      <c r="FV28" s="24"/>
      <c r="FW28" s="24"/>
      <c r="FX28" s="24"/>
      <c r="FY28" s="24"/>
      <c r="FZ28" s="24"/>
      <c r="GA28" s="24"/>
      <c r="GB28" s="24"/>
      <c r="GC28" s="24"/>
      <c r="GD28" s="24"/>
      <c r="GE28" s="24"/>
      <c r="GF28" s="24"/>
      <c r="GG28" s="24"/>
      <c r="GH28" s="24"/>
      <c r="GI28" s="24"/>
      <c r="GJ28" s="24"/>
      <c r="GK28" s="24"/>
      <c r="GL28" s="24"/>
      <c r="GM28" s="24"/>
      <c r="GN28" s="24"/>
      <c r="GO28" s="24"/>
      <c r="GP28" s="24"/>
      <c r="GQ28" s="24"/>
      <c r="GR28" s="24"/>
      <c r="GS28" s="24"/>
      <c r="GT28" s="24"/>
      <c r="GU28" s="24"/>
      <c r="GV28" s="24"/>
      <c r="GW28" s="24"/>
      <c r="GX28" s="24"/>
      <c r="GY28" s="24"/>
      <c r="GZ28" s="24"/>
      <c r="HA28" s="24"/>
      <c r="HB28" s="24"/>
      <c r="HC28" s="24"/>
      <c r="HD28" s="24"/>
      <c r="HE28" s="24"/>
      <c r="HF28" s="24"/>
      <c r="HG28" s="24"/>
      <c r="HH28" s="24"/>
      <c r="HI28" s="24"/>
      <c r="HJ28" s="24"/>
      <c r="HK28" s="24"/>
      <c r="HL28" s="24"/>
      <c r="HM28" s="24"/>
      <c r="HN28" s="24"/>
      <c r="HO28" s="24"/>
      <c r="HP28" s="24"/>
      <c r="HQ28" s="24"/>
      <c r="HR28" s="24"/>
      <c r="HS28" s="24"/>
      <c r="HT28" s="24"/>
      <c r="HU28" s="24"/>
      <c r="HV28" s="24"/>
      <c r="HW28" s="24"/>
      <c r="HX28" s="24"/>
      <c r="HY28" s="24"/>
      <c r="HZ28" s="24"/>
      <c r="IA28" s="24"/>
      <c r="IB28" s="24"/>
      <c r="IC28" s="24"/>
      <c r="ID28" s="24"/>
      <c r="IE28" s="24"/>
      <c r="IF28" s="24"/>
      <c r="IG28" s="24"/>
      <c r="IH28" s="24"/>
      <c r="II28" s="24"/>
      <c r="IJ28" s="24"/>
      <c r="IK28" s="24"/>
      <c r="IL28" s="24"/>
      <c r="IM28" s="24"/>
      <c r="IN28" s="24"/>
      <c r="IO28" s="24"/>
      <c r="IP28" s="24"/>
      <c r="IQ28" s="24"/>
      <c r="IR28" s="24"/>
      <c r="IS28" s="24"/>
      <c r="IT28" s="24"/>
      <c r="IU28" s="24"/>
      <c r="IV28" s="24"/>
      <c r="IW28" s="24"/>
      <c r="IX28" s="24"/>
      <c r="IY28" s="24"/>
      <c r="IZ28" s="24"/>
      <c r="JA28" s="24"/>
      <c r="JB28" s="24"/>
      <c r="JC28" s="24"/>
      <c r="JD28" s="24"/>
      <c r="JE28" s="24"/>
      <c r="JF28" s="24"/>
      <c r="JG28" s="24"/>
      <c r="JH28" s="24"/>
      <c r="JI28" s="24"/>
      <c r="JJ28" s="24"/>
      <c r="JK28" s="24"/>
      <c r="JL28" s="24"/>
      <c r="JM28" s="24"/>
      <c r="JN28" s="24"/>
      <c r="JO28" s="24"/>
      <c r="JP28" s="24"/>
      <c r="JQ28" s="24"/>
      <c r="JR28" s="24"/>
      <c r="JS28" s="24"/>
      <c r="JT28" s="24"/>
      <c r="JU28" s="24"/>
      <c r="JV28" s="24"/>
      <c r="JW28" s="24"/>
      <c r="JX28" s="24"/>
      <c r="JY28" s="24"/>
      <c r="JZ28" s="24"/>
      <c r="KA28" s="24"/>
      <c r="KB28" s="24"/>
      <c r="KC28" s="24"/>
      <c r="KD28" s="24"/>
      <c r="KE28" s="24"/>
      <c r="KF28" s="24"/>
      <c r="KG28" s="24"/>
      <c r="KH28" s="24"/>
      <c r="KI28" s="24"/>
      <c r="KJ28" s="24"/>
      <c r="KK28" s="24"/>
      <c r="KL28" s="24"/>
    </row>
    <row r="29" spans="1:298" s="26" customFormat="1" ht="15.95" customHeight="1" thickBot="1" x14ac:dyDescent="0.35">
      <c r="A29" s="22"/>
      <c r="B29" s="22"/>
      <c r="C29" s="167"/>
      <c r="D29" s="338" t="s">
        <v>401</v>
      </c>
      <c r="E29" s="319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22"/>
      <c r="AT29" s="956" t="s">
        <v>174</v>
      </c>
      <c r="AU29" s="956"/>
      <c r="AV29" s="956"/>
      <c r="AW29" s="956"/>
      <c r="AX29" s="956"/>
      <c r="AY29" s="956"/>
      <c r="AZ29" s="956"/>
      <c r="BA29" s="956"/>
      <c r="BB29" s="956"/>
      <c r="BC29" s="957"/>
      <c r="BD29" s="995" t="s">
        <v>597</v>
      </c>
      <c r="BE29" s="996"/>
      <c r="BF29" s="996"/>
      <c r="BG29" s="996"/>
      <c r="BH29" s="996"/>
      <c r="BI29" s="996"/>
      <c r="BJ29" s="996"/>
      <c r="BK29" s="996"/>
      <c r="BL29" s="997"/>
      <c r="BM29" s="998" t="s">
        <v>377</v>
      </c>
      <c r="BN29" s="996"/>
      <c r="BO29" s="996"/>
      <c r="BP29" s="996"/>
      <c r="BQ29" s="996"/>
      <c r="BR29" s="996"/>
      <c r="BS29" s="996"/>
      <c r="BT29" s="996"/>
      <c r="BU29" s="996"/>
      <c r="BV29" s="996"/>
      <c r="BW29" s="996"/>
      <c r="BX29" s="22"/>
      <c r="BY29" s="563" t="s">
        <v>17</v>
      </c>
      <c r="BZ29" s="564">
        <f>ROUNDDOWN(CI70,0)</f>
        <v>0</v>
      </c>
      <c r="CA29" s="22"/>
      <c r="CB29" s="24"/>
      <c r="CC29" s="25"/>
      <c r="CD29" s="234"/>
      <c r="CE29" s="235"/>
      <c r="CH29" s="223"/>
      <c r="CI29" s="201"/>
      <c r="CL29" s="49">
        <v>24</v>
      </c>
      <c r="CM29" s="50" t="e">
        <f t="shared" si="1"/>
        <v>#N/A</v>
      </c>
      <c r="CO29" s="145" t="s">
        <v>194</v>
      </c>
      <c r="CP29" s="146"/>
      <c r="CQ29" s="236" t="e">
        <f>ROUND(CQ27,5)</f>
        <v>#N/A</v>
      </c>
      <c r="CR29" s="131"/>
      <c r="CS29" s="229"/>
      <c r="CT29" s="230"/>
      <c r="CU29" s="231"/>
      <c r="CW29" s="68"/>
      <c r="CX29" s="69" t="str">
        <f>견적관리자용!$S$11</f>
        <v>승합(11~15인)</v>
      </c>
      <c r="CY29" s="70">
        <v>0</v>
      </c>
      <c r="CZ29" s="70">
        <v>390000</v>
      </c>
      <c r="DA29" s="80">
        <v>390000</v>
      </c>
      <c r="DB29" s="80">
        <v>390000</v>
      </c>
      <c r="DC29" s="80">
        <v>390000</v>
      </c>
      <c r="DD29" s="72">
        <f t="shared" si="2"/>
        <v>0</v>
      </c>
      <c r="DE29" s="73">
        <v>26</v>
      </c>
      <c r="DF29" s="72">
        <f t="shared" si="0"/>
        <v>0</v>
      </c>
      <c r="DG29" s="74"/>
      <c r="DJ29" s="25"/>
      <c r="DK29" s="25"/>
      <c r="DL29" s="25"/>
      <c r="DM29" s="24"/>
      <c r="DN29" s="24"/>
      <c r="DO29" s="24"/>
      <c r="DP29" s="24"/>
      <c r="DQ29" s="24"/>
      <c r="DR29" s="24"/>
      <c r="DS29" s="24"/>
      <c r="DT29" s="24"/>
      <c r="DU29" s="24"/>
      <c r="DV29" s="24"/>
      <c r="DW29" s="24"/>
      <c r="DX29" s="24"/>
      <c r="DY29" s="24"/>
      <c r="DZ29" s="24"/>
      <c r="EA29" s="24"/>
      <c r="EB29" s="24"/>
      <c r="EC29" s="24"/>
      <c r="ED29" s="24"/>
      <c r="EE29" s="24"/>
      <c r="EF29" s="24"/>
      <c r="EG29" s="24"/>
      <c r="EH29" s="24"/>
      <c r="EI29" s="24"/>
      <c r="EJ29" s="24"/>
      <c r="EK29" s="24"/>
      <c r="EL29" s="24"/>
      <c r="EM29" s="24"/>
      <c r="EN29" s="24"/>
      <c r="EO29" s="24"/>
      <c r="EP29" s="24"/>
      <c r="EQ29" s="24"/>
      <c r="ER29" s="24"/>
      <c r="ES29" s="24"/>
      <c r="ET29" s="24"/>
      <c r="EU29" s="24"/>
      <c r="EV29" s="24"/>
      <c r="EW29" s="24"/>
      <c r="EX29" s="24"/>
      <c r="EY29" s="24"/>
      <c r="EZ29" s="24"/>
      <c r="FA29" s="24"/>
      <c r="FB29" s="24"/>
      <c r="FC29" s="24"/>
      <c r="FD29" s="24"/>
      <c r="FE29" s="24"/>
      <c r="FF29" s="24"/>
      <c r="FG29" s="24"/>
      <c r="FH29" s="24"/>
      <c r="FI29" s="24"/>
      <c r="FJ29" s="24"/>
      <c r="FK29" s="24"/>
      <c r="FL29" s="24"/>
      <c r="FM29" s="24"/>
      <c r="FN29" s="24"/>
      <c r="FO29" s="24"/>
      <c r="FP29" s="24"/>
      <c r="FQ29" s="24"/>
      <c r="FR29" s="24"/>
      <c r="FS29" s="24"/>
      <c r="FT29" s="24"/>
      <c r="FU29" s="24"/>
      <c r="FV29" s="24"/>
      <c r="FW29" s="24"/>
      <c r="FX29" s="24"/>
      <c r="FY29" s="24"/>
      <c r="FZ29" s="24"/>
      <c r="GA29" s="24"/>
      <c r="GB29" s="24"/>
      <c r="GC29" s="24"/>
      <c r="GD29" s="24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24"/>
      <c r="GW29" s="24"/>
      <c r="GX29" s="24"/>
      <c r="GY29" s="24"/>
      <c r="GZ29" s="24"/>
      <c r="HA29" s="24"/>
      <c r="HB29" s="24"/>
      <c r="HC29" s="24"/>
      <c r="HD29" s="24"/>
      <c r="HE29" s="24"/>
      <c r="HF29" s="24"/>
      <c r="HG29" s="24"/>
      <c r="HH29" s="24"/>
      <c r="HI29" s="24"/>
      <c r="HJ29" s="24"/>
      <c r="HK29" s="24"/>
      <c r="HL29" s="24"/>
      <c r="HM29" s="24"/>
      <c r="HN29" s="24"/>
      <c r="HO29" s="24"/>
      <c r="HP29" s="24"/>
      <c r="HQ29" s="24"/>
      <c r="HR29" s="24"/>
      <c r="HS29" s="24"/>
      <c r="HT29" s="24"/>
      <c r="HU29" s="24"/>
      <c r="HV29" s="24"/>
      <c r="HW29" s="24"/>
      <c r="HX29" s="24"/>
      <c r="HY29" s="24"/>
      <c r="HZ29" s="24"/>
      <c r="IA29" s="24"/>
      <c r="IB29" s="24"/>
      <c r="IC29" s="24"/>
      <c r="ID29" s="24"/>
      <c r="IE29" s="24"/>
      <c r="IF29" s="24"/>
      <c r="IG29" s="24"/>
      <c r="IH29" s="24"/>
      <c r="II29" s="24"/>
      <c r="IJ29" s="24"/>
      <c r="IK29" s="24"/>
      <c r="IL29" s="24"/>
      <c r="IM29" s="24"/>
      <c r="IN29" s="24"/>
      <c r="IO29" s="24"/>
      <c r="IP29" s="24"/>
      <c r="IQ29" s="24"/>
      <c r="IR29" s="24"/>
      <c r="IS29" s="24"/>
      <c r="IT29" s="24"/>
      <c r="IU29" s="24"/>
      <c r="IV29" s="24"/>
      <c r="IW29" s="24"/>
      <c r="IX29" s="24"/>
      <c r="IY29" s="24"/>
      <c r="IZ29" s="24"/>
      <c r="JA29" s="24"/>
      <c r="JB29" s="24"/>
      <c r="JC29" s="24"/>
      <c r="JD29" s="24"/>
      <c r="JE29" s="24"/>
      <c r="JF29" s="24"/>
      <c r="JG29" s="24"/>
      <c r="JH29" s="24"/>
      <c r="JI29" s="24"/>
      <c r="JJ29" s="24"/>
      <c r="JK29" s="24"/>
      <c r="JL29" s="24"/>
      <c r="JM29" s="24"/>
      <c r="JN29" s="24"/>
      <c r="JO29" s="24"/>
      <c r="JP29" s="24"/>
      <c r="JQ29" s="24"/>
      <c r="JR29" s="24"/>
      <c r="JS29" s="24"/>
      <c r="JT29" s="24"/>
      <c r="JU29" s="24"/>
      <c r="JV29" s="24"/>
      <c r="JW29" s="24"/>
      <c r="JX29" s="24"/>
      <c r="JY29" s="24"/>
      <c r="JZ29" s="24"/>
      <c r="KA29" s="24"/>
      <c r="KB29" s="24"/>
      <c r="KC29" s="24"/>
      <c r="KD29" s="24"/>
      <c r="KE29" s="24"/>
      <c r="KF29" s="24"/>
      <c r="KG29" s="24"/>
      <c r="KH29" s="24"/>
      <c r="KI29" s="24"/>
      <c r="KJ29" s="24"/>
      <c r="KK29" s="24"/>
      <c r="KL29" s="24"/>
    </row>
    <row r="30" spans="1:298" s="26" customFormat="1" ht="15.95" customHeight="1" thickBot="1" x14ac:dyDescent="0.35">
      <c r="A30" s="22"/>
      <c r="B30" s="22"/>
      <c r="C30" s="167"/>
      <c r="D30" s="750" t="s">
        <v>402</v>
      </c>
      <c r="E30" s="750"/>
      <c r="F30" s="750"/>
      <c r="G30" s="750"/>
      <c r="H30" s="750"/>
      <c r="I30" s="750"/>
      <c r="J30" s="750"/>
      <c r="K30" s="750"/>
      <c r="L30" s="750"/>
      <c r="M30" s="750"/>
      <c r="N30" s="750"/>
      <c r="O30" s="750"/>
      <c r="P30" s="750"/>
      <c r="Q30" s="750"/>
      <c r="R30" s="750"/>
      <c r="S30" s="750"/>
      <c r="T30" s="750"/>
      <c r="U30" s="750"/>
      <c r="V30" s="750"/>
      <c r="W30" s="750"/>
      <c r="X30" s="750"/>
      <c r="Y30" s="750"/>
      <c r="Z30" s="750"/>
      <c r="AA30" s="750"/>
      <c r="AB30" s="750"/>
      <c r="AC30" s="750"/>
      <c r="AD30" s="750"/>
      <c r="AE30" s="750"/>
      <c r="AF30" s="750"/>
      <c r="AG30" s="750"/>
      <c r="AH30" s="750"/>
      <c r="AI30" s="750"/>
      <c r="AJ30" s="750"/>
      <c r="AK30" s="750"/>
      <c r="AL30" s="750"/>
      <c r="AM30" s="750"/>
      <c r="AN30" s="750"/>
      <c r="AO30" s="750"/>
      <c r="AP30" s="750"/>
      <c r="AQ30" s="65"/>
      <c r="AR30" s="65"/>
      <c r="AS30" s="22"/>
      <c r="AT30" s="959" t="s">
        <v>399</v>
      </c>
      <c r="AU30" s="960"/>
      <c r="AV30" s="960"/>
      <c r="AW30" s="960"/>
      <c r="AX30" s="960"/>
      <c r="AY30" s="960"/>
      <c r="AZ30" s="960"/>
      <c r="BA30" s="960"/>
      <c r="BB30" s="960"/>
      <c r="BC30" s="961"/>
      <c r="BD30" s="966" t="e">
        <f>$CQ$29</f>
        <v>#N/A</v>
      </c>
      <c r="BE30" s="967"/>
      <c r="BF30" s="967"/>
      <c r="BG30" s="967"/>
      <c r="BH30" s="967"/>
      <c r="BI30" s="967"/>
      <c r="BJ30" s="967"/>
      <c r="BK30" s="967"/>
      <c r="BL30" s="967"/>
      <c r="BM30" s="967"/>
      <c r="BN30" s="967"/>
      <c r="BO30" s="967"/>
      <c r="BP30" s="967"/>
      <c r="BQ30" s="967"/>
      <c r="BR30" s="967"/>
      <c r="BS30" s="967"/>
      <c r="BT30" s="967"/>
      <c r="BU30" s="967"/>
      <c r="BV30" s="967"/>
      <c r="BW30" s="968"/>
      <c r="BX30" s="22"/>
      <c r="BY30" s="568" t="s">
        <v>710</v>
      </c>
      <c r="BZ30" s="569">
        <f>BD26</f>
        <v>1</v>
      </c>
      <c r="CA30" s="22"/>
      <c r="CB30" s="24"/>
      <c r="CC30" s="25"/>
      <c r="CD30" s="237"/>
      <c r="CE30" s="238"/>
      <c r="CH30" s="227"/>
      <c r="CI30" s="228"/>
      <c r="CL30" s="49">
        <v>25</v>
      </c>
      <c r="CM30" s="50" t="e">
        <f t="shared" si="1"/>
        <v>#N/A</v>
      </c>
      <c r="CO30" s="208"/>
      <c r="CP30" s="202"/>
      <c r="CQ30" s="207"/>
      <c r="CR30" s="42"/>
      <c r="CS30" s="206"/>
      <c r="CT30" s="202"/>
      <c r="CU30" s="207"/>
      <c r="CW30" s="68"/>
      <c r="CX30" s="69" t="str">
        <f>견적관리자용!$S$12</f>
        <v>화물(1000cc 미만)</v>
      </c>
      <c r="CY30" s="70">
        <v>0</v>
      </c>
      <c r="CZ30" s="70">
        <v>0</v>
      </c>
      <c r="DA30" s="80">
        <v>0</v>
      </c>
      <c r="DB30" s="80">
        <v>0</v>
      </c>
      <c r="DC30" s="80">
        <v>0</v>
      </c>
      <c r="DD30" s="72">
        <f t="shared" si="2"/>
        <v>0</v>
      </c>
      <c r="DE30" s="73">
        <v>27</v>
      </c>
      <c r="DF30" s="72">
        <f t="shared" si="0"/>
        <v>0</v>
      </c>
      <c r="DG30" s="74"/>
      <c r="DJ30" s="25"/>
      <c r="DK30" s="25"/>
      <c r="DL30" s="25"/>
      <c r="DM30" s="24"/>
      <c r="DN30" s="24"/>
      <c r="DO30" s="24"/>
      <c r="DP30" s="24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4"/>
      <c r="EC30" s="24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4"/>
      <c r="EP30" s="24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4"/>
      <c r="FC30" s="24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4"/>
      <c r="FP30" s="24"/>
      <c r="FQ30" s="24"/>
      <c r="FR30" s="24"/>
      <c r="FS30" s="24"/>
      <c r="FT30" s="24"/>
      <c r="FU30" s="24"/>
      <c r="FV30" s="24"/>
      <c r="FW30" s="24"/>
      <c r="FX30" s="24"/>
      <c r="FY30" s="24"/>
      <c r="FZ30" s="24"/>
      <c r="GA30" s="24"/>
      <c r="GB30" s="24"/>
      <c r="GC30" s="24"/>
      <c r="GD30" s="24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24"/>
      <c r="GW30" s="24"/>
      <c r="GX30" s="24"/>
      <c r="GY30" s="24"/>
      <c r="GZ30" s="24"/>
      <c r="HA30" s="24"/>
      <c r="HB30" s="24"/>
      <c r="HC30" s="24"/>
      <c r="HD30" s="24"/>
      <c r="HE30" s="24"/>
      <c r="HF30" s="24"/>
      <c r="HG30" s="24"/>
      <c r="HH30" s="24"/>
      <c r="HI30" s="24"/>
      <c r="HJ30" s="24"/>
      <c r="HK30" s="24"/>
      <c r="HL30" s="24"/>
      <c r="HM30" s="24"/>
      <c r="HN30" s="24"/>
      <c r="HO30" s="24"/>
      <c r="HP30" s="24"/>
      <c r="HQ30" s="24"/>
      <c r="HR30" s="24"/>
      <c r="HS30" s="24"/>
      <c r="HT30" s="24"/>
      <c r="HU30" s="24"/>
      <c r="HV30" s="24"/>
      <c r="HW30" s="24"/>
      <c r="HX30" s="24"/>
      <c r="HY30" s="24"/>
      <c r="HZ30" s="24"/>
      <c r="IA30" s="24"/>
      <c r="IB30" s="24"/>
      <c r="IC30" s="24"/>
      <c r="ID30" s="24"/>
      <c r="IE30" s="24"/>
      <c r="IF30" s="24"/>
      <c r="IG30" s="24"/>
      <c r="IH30" s="24"/>
      <c r="II30" s="24"/>
      <c r="IJ30" s="24"/>
      <c r="IK30" s="24"/>
      <c r="IL30" s="24"/>
      <c r="IM30" s="24"/>
      <c r="IN30" s="24"/>
      <c r="IO30" s="24"/>
      <c r="IP30" s="24"/>
      <c r="IQ30" s="24"/>
      <c r="IR30" s="24"/>
      <c r="IS30" s="24"/>
      <c r="IT30" s="24"/>
      <c r="IU30" s="24"/>
      <c r="IV30" s="24"/>
      <c r="IW30" s="24"/>
      <c r="IX30" s="24"/>
      <c r="IY30" s="24"/>
      <c r="IZ30" s="24"/>
      <c r="JA30" s="24"/>
      <c r="JB30" s="24"/>
      <c r="JC30" s="24"/>
      <c r="JD30" s="24"/>
      <c r="JE30" s="24"/>
      <c r="JF30" s="24"/>
      <c r="JG30" s="24"/>
      <c r="JH30" s="24"/>
      <c r="JI30" s="24"/>
      <c r="JJ30" s="24"/>
      <c r="JK30" s="24"/>
      <c r="JL30" s="24"/>
      <c r="JM30" s="24"/>
      <c r="JN30" s="24"/>
      <c r="JO30" s="24"/>
      <c r="JP30" s="24"/>
      <c r="JQ30" s="24"/>
      <c r="JR30" s="24"/>
      <c r="JS30" s="24"/>
      <c r="JT30" s="24"/>
      <c r="JU30" s="24"/>
      <c r="JV30" s="24"/>
      <c r="JW30" s="24"/>
      <c r="JX30" s="24"/>
      <c r="JY30" s="24"/>
      <c r="JZ30" s="24"/>
      <c r="KA30" s="24"/>
      <c r="KB30" s="24"/>
      <c r="KC30" s="24"/>
      <c r="KD30" s="24"/>
      <c r="KE30" s="24"/>
      <c r="KF30" s="24"/>
      <c r="KG30" s="24"/>
      <c r="KH30" s="24"/>
      <c r="KI30" s="24"/>
      <c r="KJ30" s="24"/>
      <c r="KK30" s="24"/>
      <c r="KL30" s="24"/>
    </row>
    <row r="31" spans="1:298" s="26" customFormat="1" ht="16.5" customHeight="1" x14ac:dyDescent="0.3">
      <c r="A31" s="22"/>
      <c r="B31" s="22"/>
      <c r="C31" s="167"/>
      <c r="D31" s="761" t="s">
        <v>689</v>
      </c>
      <c r="E31" s="761"/>
      <c r="F31" s="761"/>
      <c r="G31" s="761"/>
      <c r="H31" s="761"/>
      <c r="I31" s="761"/>
      <c r="J31" s="761"/>
      <c r="K31" s="761"/>
      <c r="L31" s="761"/>
      <c r="M31" s="761"/>
      <c r="N31" s="761"/>
      <c r="O31" s="761"/>
      <c r="P31" s="761"/>
      <c r="Q31" s="761"/>
      <c r="R31" s="761"/>
      <c r="S31" s="761"/>
      <c r="T31" s="761"/>
      <c r="U31" s="761"/>
      <c r="V31" s="761"/>
      <c r="W31" s="761"/>
      <c r="X31" s="761"/>
      <c r="Y31" s="761"/>
      <c r="Z31" s="761"/>
      <c r="AA31" s="761"/>
      <c r="AB31" s="761"/>
      <c r="AC31" s="761"/>
      <c r="AD31" s="761"/>
      <c r="AE31" s="761"/>
      <c r="AF31" s="761"/>
      <c r="AG31" s="761"/>
      <c r="AH31" s="761"/>
      <c r="AI31" s="761"/>
      <c r="AJ31" s="761"/>
      <c r="AK31" s="761"/>
      <c r="AL31" s="761"/>
      <c r="AM31" s="761"/>
      <c r="AN31" s="761"/>
      <c r="AO31" s="761"/>
      <c r="AP31" s="761"/>
      <c r="AQ31" s="65"/>
      <c r="AR31" s="65"/>
      <c r="AS31" s="22"/>
      <c r="AT31" s="964" t="str">
        <f>"* CM수수료(실수령기준):"</f>
        <v>* CM수수료(실수령기준):</v>
      </c>
      <c r="AU31" s="964"/>
      <c r="AV31" s="964"/>
      <c r="AW31" s="964"/>
      <c r="AX31" s="964"/>
      <c r="AY31" s="964"/>
      <c r="AZ31" s="964"/>
      <c r="BA31" s="964"/>
      <c r="BB31" s="964"/>
      <c r="BC31" s="964"/>
      <c r="BD31" s="965">
        <f>ROUNDDOWN($CI$22*$BD$25*0.967,-2)</f>
        <v>0</v>
      </c>
      <c r="BE31" s="965"/>
      <c r="BF31" s="965"/>
      <c r="BG31" s="965"/>
      <c r="BH31" s="965"/>
      <c r="BI31" s="965"/>
      <c r="BJ31" s="965"/>
      <c r="BK31" s="965"/>
      <c r="BL31" s="965"/>
      <c r="BM31" s="965"/>
      <c r="BN31" s="965"/>
      <c r="BO31" s="965"/>
      <c r="BP31" s="965"/>
      <c r="BQ31" s="965"/>
      <c r="BR31" s="965"/>
      <c r="BS31" s="965"/>
      <c r="BT31" s="965"/>
      <c r="BU31" s="965"/>
      <c r="BV31" s="965"/>
      <c r="BW31" s="965"/>
      <c r="BX31" s="22"/>
      <c r="BY31" s="570" t="s">
        <v>711</v>
      </c>
      <c r="BZ31" s="560">
        <f>CI83</f>
        <v>444780</v>
      </c>
      <c r="CA31" s="22"/>
      <c r="CB31" s="24"/>
      <c r="CC31" s="25"/>
      <c r="CH31" s="183" t="s">
        <v>271</v>
      </c>
      <c r="CI31" s="184">
        <f>VLOOKUP($BD$23,$CH$32:$CI$35,2,FALSE)</f>
        <v>0</v>
      </c>
      <c r="CL31" s="49">
        <v>26</v>
      </c>
      <c r="CM31" s="50" t="e">
        <f t="shared" si="1"/>
        <v>#N/A</v>
      </c>
      <c r="CO31" s="208"/>
      <c r="CP31" s="202"/>
      <c r="CQ31" s="207"/>
      <c r="CR31" s="42"/>
      <c r="CS31" s="206"/>
      <c r="CT31" s="202"/>
      <c r="CU31" s="207"/>
      <c r="CW31" s="85"/>
      <c r="CX31" s="69" t="str">
        <f>견적관리자용!$S$13</f>
        <v>화물(0.6톤 미만)</v>
      </c>
      <c r="CY31" s="70">
        <v>0</v>
      </c>
      <c r="CZ31" s="70">
        <v>195000</v>
      </c>
      <c r="DA31" s="70">
        <v>195000</v>
      </c>
      <c r="DB31" s="70">
        <v>195000</v>
      </c>
      <c r="DC31" s="86">
        <v>195000</v>
      </c>
      <c r="DD31" s="72">
        <f t="shared" si="2"/>
        <v>0</v>
      </c>
      <c r="DE31" s="73">
        <v>28</v>
      </c>
      <c r="DF31" s="72">
        <f t="shared" si="0"/>
        <v>0</v>
      </c>
      <c r="DG31" s="74"/>
      <c r="DJ31" s="25"/>
      <c r="DK31" s="25"/>
      <c r="DL31" s="25"/>
      <c r="DM31" s="24"/>
      <c r="DN31" s="24"/>
      <c r="DO31" s="24"/>
      <c r="DP31" s="24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4"/>
      <c r="EC31" s="24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4"/>
      <c r="EP31" s="24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4"/>
      <c r="FC31" s="24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4"/>
      <c r="FP31" s="24"/>
      <c r="FQ31" s="24"/>
      <c r="FR31" s="24"/>
      <c r="FS31" s="24"/>
      <c r="FT31" s="24"/>
      <c r="FU31" s="24"/>
      <c r="FV31" s="24"/>
      <c r="FW31" s="24"/>
      <c r="FX31" s="24"/>
      <c r="FY31" s="24"/>
      <c r="FZ31" s="24"/>
      <c r="GA31" s="24"/>
      <c r="GB31" s="24"/>
      <c r="GC31" s="24"/>
      <c r="GD31" s="24"/>
      <c r="GE31" s="24"/>
      <c r="GF31" s="24"/>
      <c r="GG31" s="24"/>
      <c r="GH31" s="24"/>
      <c r="GI31" s="24"/>
      <c r="GJ31" s="24"/>
      <c r="GK31" s="24"/>
      <c r="GL31" s="24"/>
      <c r="GM31" s="24"/>
      <c r="GN31" s="24"/>
      <c r="GO31" s="24"/>
      <c r="GP31" s="24"/>
      <c r="GQ31" s="24"/>
      <c r="GR31" s="24"/>
      <c r="GS31" s="24"/>
      <c r="GT31" s="24"/>
      <c r="GU31" s="24"/>
      <c r="GV31" s="24"/>
      <c r="GW31" s="24"/>
      <c r="GX31" s="24"/>
      <c r="GY31" s="24"/>
      <c r="GZ31" s="24"/>
      <c r="HA31" s="24"/>
      <c r="HB31" s="24"/>
      <c r="HC31" s="24"/>
      <c r="HD31" s="24"/>
      <c r="HE31" s="24"/>
      <c r="HF31" s="24"/>
      <c r="HG31" s="24"/>
      <c r="HH31" s="24"/>
      <c r="HI31" s="24"/>
      <c r="HJ31" s="24"/>
      <c r="HK31" s="24"/>
      <c r="HL31" s="24"/>
      <c r="HM31" s="24"/>
      <c r="HN31" s="24"/>
      <c r="HO31" s="24"/>
      <c r="HP31" s="24"/>
      <c r="HQ31" s="24"/>
      <c r="HR31" s="24"/>
      <c r="HS31" s="24"/>
      <c r="HT31" s="24"/>
      <c r="HU31" s="24"/>
      <c r="HV31" s="24"/>
      <c r="HW31" s="24"/>
      <c r="HX31" s="24"/>
      <c r="HY31" s="24"/>
      <c r="HZ31" s="24"/>
      <c r="IA31" s="24"/>
      <c r="IB31" s="24"/>
      <c r="IC31" s="24"/>
      <c r="ID31" s="24"/>
      <c r="IE31" s="24"/>
      <c r="IF31" s="24"/>
      <c r="IG31" s="24"/>
      <c r="IH31" s="24"/>
      <c r="II31" s="24"/>
      <c r="IJ31" s="24"/>
      <c r="IK31" s="24"/>
      <c r="IL31" s="24"/>
      <c r="IM31" s="24"/>
      <c r="IN31" s="24"/>
      <c r="IO31" s="24"/>
      <c r="IP31" s="24"/>
      <c r="IQ31" s="24"/>
      <c r="IR31" s="24"/>
      <c r="IS31" s="24"/>
      <c r="IT31" s="24"/>
      <c r="IU31" s="24"/>
      <c r="IV31" s="24"/>
      <c r="IW31" s="24"/>
      <c r="IX31" s="24"/>
      <c r="IY31" s="24"/>
      <c r="IZ31" s="24"/>
      <c r="JA31" s="24"/>
      <c r="JB31" s="24"/>
      <c r="JC31" s="24"/>
      <c r="JD31" s="24"/>
      <c r="JE31" s="24"/>
      <c r="JF31" s="24"/>
      <c r="JG31" s="24"/>
      <c r="JH31" s="24"/>
      <c r="JI31" s="24"/>
      <c r="JJ31" s="24"/>
      <c r="JK31" s="24"/>
      <c r="JL31" s="24"/>
      <c r="JM31" s="24"/>
      <c r="JN31" s="24"/>
      <c r="JO31" s="24"/>
      <c r="JP31" s="24"/>
      <c r="JQ31" s="24"/>
      <c r="JR31" s="24"/>
      <c r="JS31" s="24"/>
      <c r="JT31" s="24"/>
      <c r="JU31" s="24"/>
      <c r="JV31" s="24"/>
      <c r="JW31" s="24"/>
      <c r="JX31" s="24"/>
      <c r="JY31" s="24"/>
      <c r="JZ31" s="24"/>
      <c r="KA31" s="24"/>
      <c r="KB31" s="24"/>
      <c r="KC31" s="24"/>
      <c r="KD31" s="24"/>
      <c r="KE31" s="24"/>
      <c r="KF31" s="24"/>
      <c r="KG31" s="24"/>
      <c r="KH31" s="24"/>
      <c r="KI31" s="24"/>
      <c r="KJ31" s="24"/>
      <c r="KK31" s="24"/>
      <c r="KL31" s="24"/>
    </row>
    <row r="32" spans="1:298" s="26" customFormat="1" ht="15.95" customHeight="1" x14ac:dyDescent="0.3">
      <c r="A32" s="22"/>
      <c r="B32" s="22"/>
      <c r="C32" s="167"/>
      <c r="D32" s="789" t="s">
        <v>410</v>
      </c>
      <c r="E32" s="790"/>
      <c r="F32" s="790"/>
      <c r="G32" s="790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  <c r="S32" s="790"/>
      <c r="T32" s="790"/>
      <c r="U32" s="790"/>
      <c r="V32" s="790"/>
      <c r="W32" s="790"/>
      <c r="X32" s="790"/>
      <c r="Y32" s="790"/>
      <c r="Z32" s="790"/>
      <c r="AA32" s="790"/>
      <c r="AB32" s="790"/>
      <c r="AC32" s="790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561" t="s">
        <v>712</v>
      </c>
      <c r="BZ32" s="560">
        <f>AG14</f>
        <v>35000</v>
      </c>
      <c r="CA32" s="22"/>
      <c r="CB32" s="24"/>
      <c r="CC32" s="25"/>
      <c r="CD32" s="234"/>
      <c r="CE32" s="235"/>
      <c r="CH32" s="89" t="s">
        <v>245</v>
      </c>
      <c r="CI32" s="50">
        <f>ROUNDDOWN($CI$22*$BK$23,-3)</f>
        <v>0</v>
      </c>
      <c r="CL32" s="49">
        <v>27</v>
      </c>
      <c r="CM32" s="50" t="e">
        <f t="shared" si="1"/>
        <v>#N/A</v>
      </c>
      <c r="CO32" s="208"/>
      <c r="CP32" s="202"/>
      <c r="CQ32" s="263"/>
      <c r="CR32" s="42"/>
      <c r="CS32" s="232"/>
      <c r="CT32" s="233"/>
      <c r="CU32" s="207"/>
      <c r="CW32" s="85"/>
      <c r="CX32" s="69" t="str">
        <f>견적관리자용!$S$14</f>
        <v>화물(0.6~1톤 미만)</v>
      </c>
      <c r="CY32" s="70">
        <v>0</v>
      </c>
      <c r="CZ32" s="70">
        <v>195000</v>
      </c>
      <c r="DA32" s="70">
        <v>195000</v>
      </c>
      <c r="DB32" s="70">
        <v>195000</v>
      </c>
      <c r="DC32" s="86">
        <v>195000</v>
      </c>
      <c r="DD32" s="72">
        <f t="shared" si="2"/>
        <v>0</v>
      </c>
      <c r="DE32" s="73">
        <v>29</v>
      </c>
      <c r="DF32" s="72">
        <f t="shared" si="0"/>
        <v>0</v>
      </c>
      <c r="DG32" s="74"/>
      <c r="DJ32" s="25"/>
      <c r="DK32" s="25"/>
      <c r="DL32" s="25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</row>
    <row r="33" spans="1:135" s="24" customFormat="1" ht="15.95" customHeight="1" x14ac:dyDescent="0.3">
      <c r="A33" s="22"/>
      <c r="B33" s="22"/>
      <c r="C33" s="167"/>
      <c r="D33" s="751" t="s">
        <v>394</v>
      </c>
      <c r="E33" s="751"/>
      <c r="F33" s="751"/>
      <c r="G33" s="751"/>
      <c r="H33" s="751"/>
      <c r="I33" s="143"/>
      <c r="J33" s="788" t="s">
        <v>393</v>
      </c>
      <c r="K33" s="788"/>
      <c r="L33" s="788"/>
      <c r="M33" s="788"/>
      <c r="N33" s="788"/>
      <c r="O33" s="788"/>
      <c r="P33" s="788"/>
      <c r="Q33" s="788"/>
      <c r="R33" s="788"/>
      <c r="S33" s="788"/>
      <c r="T33" s="788"/>
      <c r="U33" s="788"/>
      <c r="V33" s="788"/>
      <c r="W33" s="788"/>
      <c r="X33" s="788"/>
      <c r="Y33" s="788"/>
      <c r="Z33" s="788"/>
      <c r="AA33" s="788"/>
      <c r="AB33" s="788"/>
      <c r="AC33" s="788"/>
      <c r="AD33" s="788"/>
      <c r="AE33" s="788"/>
      <c r="AF33" s="788"/>
      <c r="AG33" s="788"/>
      <c r="AH33" s="788"/>
      <c r="AI33" s="788"/>
      <c r="AJ33" s="788"/>
      <c r="AK33" s="788"/>
      <c r="AL33" s="788"/>
      <c r="AM33" s="788"/>
      <c r="AN33" s="788"/>
      <c r="AO33" s="788"/>
      <c r="AP33" s="143"/>
      <c r="AQ33" s="65"/>
      <c r="AR33" s="65"/>
      <c r="AS33" s="22"/>
      <c r="AT33" s="309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40"/>
      <c r="BZ33" s="240"/>
      <c r="CA33" s="22"/>
      <c r="CC33" s="25"/>
      <c r="CD33" s="237"/>
      <c r="CE33" s="238"/>
      <c r="CF33" s="26"/>
      <c r="CG33" s="26"/>
      <c r="CH33" s="89" t="s">
        <v>244</v>
      </c>
      <c r="CI33" s="50">
        <f>ROUNDDOWN($CI$9*$BK$23,-3)</f>
        <v>0</v>
      </c>
      <c r="CJ33" s="26"/>
      <c r="CK33" s="26"/>
      <c r="CL33" s="49">
        <v>28</v>
      </c>
      <c r="CM33" s="50" t="e">
        <f t="shared" si="1"/>
        <v>#N/A</v>
      </c>
      <c r="CN33" s="26"/>
      <c r="CO33" s="208"/>
      <c r="CP33" s="202"/>
      <c r="CQ33" s="241"/>
      <c r="CR33" s="242"/>
      <c r="CS33" s="243"/>
      <c r="CT33" s="244"/>
      <c r="CU33" s="245"/>
      <c r="CV33" s="26"/>
      <c r="CW33" s="85"/>
      <c r="CX33" s="69" t="str">
        <f>견적관리자용!$S$15</f>
        <v>화물(1~2.5톤 미만)</v>
      </c>
      <c r="CY33" s="70">
        <v>0</v>
      </c>
      <c r="CZ33" s="70">
        <v>195000</v>
      </c>
      <c r="DA33" s="70">
        <v>195000</v>
      </c>
      <c r="DB33" s="70">
        <v>195000</v>
      </c>
      <c r="DC33" s="86">
        <v>195000</v>
      </c>
      <c r="DD33" s="72">
        <f t="shared" si="2"/>
        <v>0</v>
      </c>
      <c r="DE33" s="73">
        <v>30</v>
      </c>
      <c r="DF33" s="72">
        <f t="shared" si="0"/>
        <v>0</v>
      </c>
      <c r="DG33" s="74"/>
      <c r="DH33" s="26"/>
      <c r="DI33" s="26"/>
      <c r="DJ33" s="25"/>
      <c r="DK33" s="25"/>
      <c r="DL33" s="25"/>
    </row>
    <row r="34" spans="1:135" s="24" customFormat="1" ht="15.95" customHeight="1" x14ac:dyDescent="0.3">
      <c r="A34" s="22"/>
      <c r="B34" s="22"/>
      <c r="C34" s="167"/>
      <c r="D34" s="752"/>
      <c r="E34" s="752"/>
      <c r="F34" s="752"/>
      <c r="G34" s="752"/>
      <c r="H34" s="752"/>
      <c r="I34" s="319"/>
      <c r="J34" s="781" t="s">
        <v>396</v>
      </c>
      <c r="K34" s="781"/>
      <c r="L34" s="781"/>
      <c r="M34" s="781"/>
      <c r="N34" s="781"/>
      <c r="O34" s="781"/>
      <c r="P34" s="781"/>
      <c r="Q34" s="781"/>
      <c r="R34" s="781"/>
      <c r="S34" s="781"/>
      <c r="T34" s="781"/>
      <c r="U34" s="781"/>
      <c r="V34" s="781"/>
      <c r="W34" s="781"/>
      <c r="X34" s="781"/>
      <c r="Y34" s="781"/>
      <c r="Z34" s="781"/>
      <c r="AA34" s="781"/>
      <c r="AB34" s="781"/>
      <c r="AC34" s="781"/>
      <c r="AD34" s="781"/>
      <c r="AE34" s="781"/>
      <c r="AF34" s="781"/>
      <c r="AG34" s="781"/>
      <c r="AH34" s="781"/>
      <c r="AI34" s="781"/>
      <c r="AJ34" s="781"/>
      <c r="AK34" s="781"/>
      <c r="AL34" s="781"/>
      <c r="AM34" s="781"/>
      <c r="AN34" s="781"/>
      <c r="AO34" s="781"/>
      <c r="AP34" s="319"/>
      <c r="AQ34" s="65"/>
      <c r="AR34" s="65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46"/>
      <c r="BZ34" s="240"/>
      <c r="CA34" s="22"/>
      <c r="CC34" s="25"/>
      <c r="CD34" s="134" t="s">
        <v>237</v>
      </c>
      <c r="CE34" s="67">
        <f>SUM(CE35:CE38)</f>
        <v>0</v>
      </c>
      <c r="CF34" s="26"/>
      <c r="CG34" s="26"/>
      <c r="CH34" s="89" t="s">
        <v>273</v>
      </c>
      <c r="CI34" s="50">
        <f>$BQ$23</f>
        <v>0</v>
      </c>
      <c r="CJ34" s="26"/>
      <c r="CK34" s="26"/>
      <c r="CL34" s="49">
        <v>29</v>
      </c>
      <c r="CM34" s="50" t="e">
        <f t="shared" si="1"/>
        <v>#N/A</v>
      </c>
      <c r="CN34" s="26"/>
      <c r="CO34" s="248"/>
      <c r="CP34" s="249"/>
      <c r="CQ34" s="210"/>
      <c r="CR34" s="28"/>
      <c r="CS34" s="232"/>
      <c r="CT34" s="233"/>
      <c r="CU34" s="245"/>
      <c r="CV34" s="26"/>
      <c r="CW34" s="85"/>
      <c r="CX34" s="69" t="str">
        <f>견적관리자용!$S$16</f>
        <v>화물(2.5~4.6톤 미만)</v>
      </c>
      <c r="CY34" s="70">
        <v>0</v>
      </c>
      <c r="CZ34" s="70">
        <v>390000</v>
      </c>
      <c r="DA34" s="80">
        <v>390000</v>
      </c>
      <c r="DB34" s="80">
        <v>390000</v>
      </c>
      <c r="DC34" s="80">
        <v>390000</v>
      </c>
      <c r="DD34" s="72">
        <f t="shared" si="2"/>
        <v>0</v>
      </c>
      <c r="DE34" s="73">
        <v>31</v>
      </c>
      <c r="DF34" s="72">
        <f t="shared" si="0"/>
        <v>0</v>
      </c>
      <c r="DG34" s="74"/>
      <c r="DH34" s="26"/>
      <c r="DI34" s="26"/>
      <c r="DJ34" s="25"/>
      <c r="DK34" s="25"/>
      <c r="DL34" s="25"/>
    </row>
    <row r="35" spans="1:135" s="24" customFormat="1" ht="15.95" customHeight="1" x14ac:dyDescent="0.3">
      <c r="A35" s="22"/>
      <c r="B35" s="22"/>
      <c r="C35" s="167"/>
      <c r="D35" s="785" t="s">
        <v>395</v>
      </c>
      <c r="E35" s="785"/>
      <c r="F35" s="785"/>
      <c r="G35" s="785"/>
      <c r="H35" s="785"/>
      <c r="I35" s="354"/>
      <c r="J35" s="780" t="s">
        <v>397</v>
      </c>
      <c r="K35" s="780"/>
      <c r="L35" s="780"/>
      <c r="M35" s="780"/>
      <c r="N35" s="780"/>
      <c r="O35" s="780"/>
      <c r="P35" s="780"/>
      <c r="Q35" s="780"/>
      <c r="R35" s="780"/>
      <c r="S35" s="780"/>
      <c r="T35" s="780"/>
      <c r="U35" s="780"/>
      <c r="V35" s="780"/>
      <c r="W35" s="780"/>
      <c r="X35" s="780"/>
      <c r="Y35" s="780"/>
      <c r="Z35" s="780"/>
      <c r="AA35" s="780"/>
      <c r="AB35" s="780"/>
      <c r="AC35" s="780"/>
      <c r="AD35" s="780"/>
      <c r="AE35" s="780"/>
      <c r="AF35" s="780"/>
      <c r="AG35" s="780"/>
      <c r="AH35" s="780"/>
      <c r="AI35" s="780"/>
      <c r="AJ35" s="780"/>
      <c r="AK35" s="780"/>
      <c r="AL35" s="780"/>
      <c r="AM35" s="780"/>
      <c r="AN35" s="780"/>
      <c r="AO35" s="780"/>
      <c r="AP35" s="354"/>
      <c r="AQ35" s="65"/>
      <c r="AR35" s="65"/>
      <c r="AS35" s="22"/>
      <c r="AT35" s="164"/>
      <c r="AU35" s="164"/>
      <c r="AV35" s="164"/>
      <c r="AW35" s="164"/>
      <c r="AX35" s="164"/>
      <c r="AY35" s="164"/>
      <c r="AZ35" s="164"/>
      <c r="BA35" s="164"/>
      <c r="BB35" s="164"/>
      <c r="BC35" s="164"/>
      <c r="BD35" s="164"/>
      <c r="BE35" s="164"/>
      <c r="BF35" s="164"/>
      <c r="BG35" s="164"/>
      <c r="BH35" s="164"/>
      <c r="BI35" s="164"/>
      <c r="BJ35" s="164"/>
      <c r="BK35" s="164"/>
      <c r="BL35" s="164"/>
      <c r="BM35" s="164"/>
      <c r="BN35" s="164"/>
      <c r="BO35" s="164"/>
      <c r="BP35" s="164"/>
      <c r="BQ35" s="164"/>
      <c r="BR35" s="164"/>
      <c r="BS35" s="164"/>
      <c r="BT35" s="164"/>
      <c r="BU35" s="164"/>
      <c r="BV35" s="164"/>
      <c r="BW35" s="164"/>
      <c r="BX35" s="22"/>
      <c r="BY35" s="571"/>
      <c r="BZ35" s="571"/>
      <c r="CA35" s="22"/>
      <c r="CC35" s="25"/>
      <c r="CD35" s="155"/>
      <c r="CE35" s="156">
        <f>IF(C2="",0,1)-1</f>
        <v>0</v>
      </c>
      <c r="CF35" s="26"/>
      <c r="CG35" s="26"/>
      <c r="CH35" s="185" t="s">
        <v>282</v>
      </c>
      <c r="CI35" s="247">
        <f>$CI$22-$BQ$23</f>
        <v>74130000</v>
      </c>
      <c r="CJ35" s="26"/>
      <c r="CK35" s="26"/>
      <c r="CL35" s="49">
        <v>30</v>
      </c>
      <c r="CM35" s="50" t="e">
        <f t="shared" si="1"/>
        <v>#N/A</v>
      </c>
      <c r="CN35" s="26"/>
      <c r="CO35" s="29"/>
      <c r="CP35" s="28"/>
      <c r="CQ35" s="28"/>
      <c r="CR35" s="28"/>
      <c r="CS35" s="250"/>
      <c r="CT35" s="251"/>
      <c r="CU35" s="252"/>
      <c r="CV35" s="26"/>
      <c r="CW35" s="85"/>
      <c r="CX35" s="69" t="str">
        <f>견적관리자용!$S$17</f>
        <v>화물(4.6톤 이상)</v>
      </c>
      <c r="CY35" s="70">
        <v>0</v>
      </c>
      <c r="CZ35" s="70">
        <v>650000</v>
      </c>
      <c r="DA35" s="70">
        <v>650000</v>
      </c>
      <c r="DB35" s="70">
        <v>650000</v>
      </c>
      <c r="DC35" s="70">
        <v>650000</v>
      </c>
      <c r="DD35" s="72">
        <f t="shared" si="2"/>
        <v>0</v>
      </c>
      <c r="DE35" s="73">
        <v>32</v>
      </c>
      <c r="DF35" s="72">
        <f t="shared" si="0"/>
        <v>0</v>
      </c>
      <c r="DG35" s="74"/>
      <c r="DH35" s="26"/>
      <c r="DI35" s="26"/>
      <c r="DJ35" s="25"/>
      <c r="DK35" s="25"/>
      <c r="DL35" s="25"/>
    </row>
    <row r="36" spans="1:135" s="24" customFormat="1" ht="15.95" customHeight="1" x14ac:dyDescent="0.3">
      <c r="A36" s="22"/>
      <c r="B36" s="22"/>
      <c r="C36" s="167"/>
      <c r="D36" s="786"/>
      <c r="E36" s="786"/>
      <c r="F36" s="786"/>
      <c r="G36" s="786"/>
      <c r="H36" s="786"/>
      <c r="I36" s="355"/>
      <c r="J36" s="787" t="s">
        <v>398</v>
      </c>
      <c r="K36" s="787"/>
      <c r="L36" s="787"/>
      <c r="M36" s="787"/>
      <c r="N36" s="787"/>
      <c r="O36" s="787"/>
      <c r="P36" s="787"/>
      <c r="Q36" s="787"/>
      <c r="R36" s="787"/>
      <c r="S36" s="787"/>
      <c r="T36" s="787"/>
      <c r="U36" s="787"/>
      <c r="V36" s="787"/>
      <c r="W36" s="787"/>
      <c r="X36" s="787"/>
      <c r="Y36" s="787"/>
      <c r="Z36" s="787"/>
      <c r="AA36" s="787"/>
      <c r="AB36" s="787"/>
      <c r="AC36" s="787"/>
      <c r="AD36" s="787"/>
      <c r="AE36" s="787"/>
      <c r="AF36" s="787"/>
      <c r="AG36" s="787"/>
      <c r="AH36" s="787"/>
      <c r="AI36" s="787"/>
      <c r="AJ36" s="787"/>
      <c r="AK36" s="787"/>
      <c r="AL36" s="787"/>
      <c r="AM36" s="787"/>
      <c r="AN36" s="787"/>
      <c r="AO36" s="787"/>
      <c r="AP36" s="356"/>
      <c r="AQ36" s="65"/>
      <c r="AR36" s="65"/>
      <c r="AS36" s="22"/>
      <c r="AT36" s="164"/>
      <c r="AU36" s="164"/>
      <c r="AV36" s="164"/>
      <c r="AW36" s="164"/>
      <c r="AX36" s="164"/>
      <c r="AY36" s="164"/>
      <c r="AZ36" s="164"/>
      <c r="BA36" s="164"/>
      <c r="BB36" s="164"/>
      <c r="BC36" s="164"/>
      <c r="BD36" s="164"/>
      <c r="BE36" s="164"/>
      <c r="BF36" s="164"/>
      <c r="BG36" s="164"/>
      <c r="BH36" s="164"/>
      <c r="BI36" s="164"/>
      <c r="BJ36" s="164"/>
      <c r="BK36" s="164"/>
      <c r="BL36" s="164"/>
      <c r="BM36" s="164"/>
      <c r="BN36" s="164"/>
      <c r="BO36" s="164"/>
      <c r="BP36" s="164"/>
      <c r="BQ36" s="164"/>
      <c r="BR36" s="164"/>
      <c r="BS36" s="164"/>
      <c r="BT36" s="164"/>
      <c r="BU36" s="164"/>
      <c r="BV36" s="164"/>
      <c r="BW36" s="164"/>
      <c r="BX36" s="22"/>
      <c r="BY36" s="571"/>
      <c r="BZ36" s="571"/>
      <c r="CA36" s="22"/>
      <c r="CC36" s="25"/>
      <c r="CD36" s="155"/>
      <c r="CE36" s="156">
        <f>IF(X2="",0,1)</f>
        <v>0</v>
      </c>
      <c r="CF36" s="26"/>
      <c r="CG36" s="26"/>
      <c r="CH36" s="183" t="s">
        <v>248</v>
      </c>
      <c r="CI36" s="184">
        <f>VLOOKUP($BD$24,$CH$37:$CI$38,2,FALSE)</f>
        <v>0</v>
      </c>
      <c r="CJ36" s="26"/>
      <c r="CK36" s="26"/>
      <c r="CL36" s="49">
        <v>31</v>
      </c>
      <c r="CM36" s="50" t="e">
        <f t="shared" si="1"/>
        <v>#N/A</v>
      </c>
      <c r="CN36" s="26"/>
      <c r="CO36" s="29"/>
      <c r="CP36" s="28"/>
      <c r="CQ36" s="28"/>
      <c r="CR36" s="28"/>
      <c r="CS36" s="42"/>
      <c r="CT36" s="42"/>
      <c r="CU36" s="42"/>
      <c r="CV36" s="26"/>
      <c r="CW36" s="58" t="s">
        <v>96</v>
      </c>
      <c r="CX36" s="59" t="str">
        <f>견적관리자용!$S$8</f>
        <v>승용일반</v>
      </c>
      <c r="CY36" s="60">
        <v>0</v>
      </c>
      <c r="CZ36" s="61">
        <v>0</v>
      </c>
      <c r="DA36" s="61">
        <v>0.04</v>
      </c>
      <c r="DB36" s="61">
        <v>0.04</v>
      </c>
      <c r="DC36" s="61">
        <v>0.05</v>
      </c>
      <c r="DD36" s="62">
        <f t="shared" si="2"/>
        <v>0</v>
      </c>
      <c r="DE36" s="63">
        <v>33</v>
      </c>
      <c r="DF36" s="62">
        <f t="shared" si="0"/>
        <v>0</v>
      </c>
      <c r="DG36" s="163">
        <f>SUM(DF36:DF45)</f>
        <v>0</v>
      </c>
      <c r="DH36" s="26"/>
      <c r="DI36" s="26"/>
      <c r="DJ36" s="25"/>
      <c r="DK36" s="25"/>
      <c r="DL36" s="25"/>
    </row>
    <row r="37" spans="1:135" s="24" customFormat="1" ht="33.75" customHeight="1" x14ac:dyDescent="0.3">
      <c r="A37" s="22"/>
      <c r="B37" s="22"/>
      <c r="C37" s="167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65"/>
      <c r="AR37" s="65"/>
      <c r="AS37" s="22"/>
      <c r="AT37" s="164"/>
      <c r="AU37" s="164"/>
      <c r="AV37" s="164"/>
      <c r="AW37" s="164"/>
      <c r="AX37" s="164"/>
      <c r="AY37" s="164"/>
      <c r="AZ37" s="164"/>
      <c r="BA37" s="164"/>
      <c r="BB37" s="164"/>
      <c r="BC37" s="164"/>
      <c r="BD37" s="164"/>
      <c r="BE37" s="164"/>
      <c r="BF37" s="164"/>
      <c r="BG37" s="164"/>
      <c r="BH37" s="164"/>
      <c r="BI37" s="164"/>
      <c r="BJ37" s="164"/>
      <c r="BK37" s="164"/>
      <c r="BL37" s="164"/>
      <c r="BM37" s="164"/>
      <c r="BN37" s="164"/>
      <c r="BO37" s="164"/>
      <c r="BP37" s="164"/>
      <c r="BQ37" s="164"/>
      <c r="BR37" s="164"/>
      <c r="BS37" s="164"/>
      <c r="BT37" s="164"/>
      <c r="BU37" s="164"/>
      <c r="BV37" s="164"/>
      <c r="BW37" s="164"/>
      <c r="BX37" s="164"/>
      <c r="BY37" s="572"/>
      <c r="BZ37" s="572"/>
      <c r="CA37" s="22"/>
      <c r="CC37" s="25"/>
      <c r="CD37" s="155"/>
      <c r="CE37" s="156">
        <f>IF(C4="",0,1)</f>
        <v>0</v>
      </c>
      <c r="CF37" s="26"/>
      <c r="CG37" s="26"/>
      <c r="CH37" s="89" t="s">
        <v>283</v>
      </c>
      <c r="CI37" s="50">
        <f>ROUNDDOWN($CI$23*$BK$24,-3)</f>
        <v>0</v>
      </c>
      <c r="CJ37" s="26"/>
      <c r="CK37" s="26"/>
      <c r="CL37" s="49">
        <v>32</v>
      </c>
      <c r="CM37" s="50" t="e">
        <f t="shared" si="1"/>
        <v>#N/A</v>
      </c>
      <c r="CN37" s="26"/>
      <c r="CO37" s="264"/>
      <c r="CP37" s="201"/>
      <c r="CQ37" s="28"/>
      <c r="CR37" s="28"/>
      <c r="CS37" s="28"/>
      <c r="CT37" s="28"/>
      <c r="CU37" s="28"/>
      <c r="CV37" s="26"/>
      <c r="CW37" s="68"/>
      <c r="CX37" s="69" t="str">
        <f>견적관리자용!$S$9</f>
        <v>승용SUV(~5인)</v>
      </c>
      <c r="CY37" s="70">
        <v>0</v>
      </c>
      <c r="CZ37" s="71">
        <v>0</v>
      </c>
      <c r="DA37" s="71">
        <v>0.04</v>
      </c>
      <c r="DB37" s="71">
        <v>0.04</v>
      </c>
      <c r="DC37" s="71">
        <v>0.05</v>
      </c>
      <c r="DD37" s="72">
        <f t="shared" si="2"/>
        <v>0</v>
      </c>
      <c r="DE37" s="73">
        <v>34</v>
      </c>
      <c r="DF37" s="72">
        <f t="shared" si="0"/>
        <v>0</v>
      </c>
      <c r="DG37" s="166"/>
      <c r="DH37" s="26"/>
      <c r="DI37" s="26"/>
      <c r="DJ37" s="25"/>
      <c r="DK37" s="25"/>
      <c r="DL37" s="25"/>
    </row>
    <row r="38" spans="1:135" s="24" customFormat="1" ht="3.6" customHeight="1" x14ac:dyDescent="0.3">
      <c r="A38" s="22"/>
      <c r="B38" s="22"/>
      <c r="C38" s="958"/>
      <c r="D38" s="958"/>
      <c r="E38" s="958"/>
      <c r="F38" s="958"/>
      <c r="G38" s="958"/>
      <c r="H38" s="958"/>
      <c r="I38" s="958"/>
      <c r="J38" s="958"/>
      <c r="K38" s="958"/>
      <c r="L38" s="958"/>
      <c r="M38" s="958"/>
      <c r="N38" s="958"/>
      <c r="O38" s="958"/>
      <c r="P38" s="958"/>
      <c r="Q38" s="958"/>
      <c r="R38" s="958"/>
      <c r="S38" s="65"/>
      <c r="T38" s="65"/>
      <c r="U38" s="65"/>
      <c r="V38" s="65"/>
      <c r="W38" s="65"/>
      <c r="X38" s="791"/>
      <c r="Y38" s="791"/>
      <c r="Z38" s="791"/>
      <c r="AA38" s="791"/>
      <c r="AB38" s="791"/>
      <c r="AC38" s="791"/>
      <c r="AD38" s="791"/>
      <c r="AE38" s="791"/>
      <c r="AF38" s="791"/>
      <c r="AG38" s="791"/>
      <c r="AH38" s="791"/>
      <c r="AI38" s="791"/>
      <c r="AJ38" s="791"/>
      <c r="AK38" s="791"/>
      <c r="AL38" s="791"/>
      <c r="AM38" s="791"/>
      <c r="AN38" s="791"/>
      <c r="AO38" s="791"/>
      <c r="AP38" s="791"/>
      <c r="AQ38" s="791"/>
      <c r="AR38" s="65"/>
      <c r="AS38" s="22"/>
      <c r="AT38" s="962"/>
      <c r="AU38" s="962"/>
      <c r="AV38" s="962"/>
      <c r="AW38" s="962"/>
      <c r="AX38" s="962"/>
      <c r="AY38" s="962"/>
      <c r="AZ38" s="962"/>
      <c r="BA38" s="962"/>
      <c r="BB38" s="962"/>
      <c r="BC38" s="962"/>
      <c r="BD38" s="963"/>
      <c r="BE38" s="963"/>
      <c r="BF38" s="963"/>
      <c r="BG38" s="963"/>
      <c r="BH38" s="963"/>
      <c r="BI38" s="963"/>
      <c r="BJ38" s="963"/>
      <c r="BK38" s="963"/>
      <c r="BL38" s="963"/>
      <c r="BM38" s="963"/>
      <c r="BN38" s="963"/>
      <c r="BO38" s="963"/>
      <c r="BP38" s="963"/>
      <c r="BQ38" s="963"/>
      <c r="BR38" s="963"/>
      <c r="BS38" s="963"/>
      <c r="BT38" s="963"/>
      <c r="BU38" s="963"/>
      <c r="BV38" s="963"/>
      <c r="BW38" s="963"/>
      <c r="BX38" s="22"/>
      <c r="BY38" s="168"/>
      <c r="BZ38" s="22"/>
      <c r="CA38" s="22"/>
      <c r="CC38" s="25"/>
      <c r="CD38" s="139"/>
      <c r="CE38" s="169">
        <f>IF(X4="",0,1)</f>
        <v>0</v>
      </c>
      <c r="CF38" s="26"/>
      <c r="CG38" s="26"/>
      <c r="CH38" s="185" t="s">
        <v>250</v>
      </c>
      <c r="CI38" s="97">
        <f>$BQ$24</f>
        <v>0</v>
      </c>
      <c r="CJ38" s="26"/>
      <c r="CK38" s="26"/>
      <c r="CL38" s="49">
        <v>33</v>
      </c>
      <c r="CM38" s="50" t="e">
        <f t="shared" si="1"/>
        <v>#N/A</v>
      </c>
      <c r="CN38" s="26"/>
      <c r="CO38" s="208"/>
      <c r="CP38" s="207"/>
      <c r="CQ38" s="28"/>
      <c r="CR38" s="28"/>
      <c r="CS38" s="28"/>
      <c r="CT38" s="28"/>
      <c r="CU38" s="28"/>
      <c r="CV38" s="26"/>
      <c r="CW38" s="68"/>
      <c r="CX38" s="69" t="str">
        <f>견적관리자용!$S$10</f>
        <v>승용SUV(7~10인)</v>
      </c>
      <c r="CY38" s="70">
        <v>0</v>
      </c>
      <c r="CZ38" s="70">
        <v>390000</v>
      </c>
      <c r="DA38" s="80">
        <v>390000</v>
      </c>
      <c r="DB38" s="80">
        <v>390000</v>
      </c>
      <c r="DC38" s="80">
        <v>390000</v>
      </c>
      <c r="DD38" s="72">
        <f t="shared" si="2"/>
        <v>0</v>
      </c>
      <c r="DE38" s="73">
        <v>35</v>
      </c>
      <c r="DF38" s="72">
        <f t="shared" si="0"/>
        <v>0</v>
      </c>
      <c r="DG38" s="166"/>
      <c r="DH38" s="26"/>
      <c r="DI38" s="26"/>
      <c r="DJ38" s="25"/>
      <c r="DK38" s="25"/>
      <c r="DL38" s="25"/>
    </row>
    <row r="39" spans="1:135" s="24" customFormat="1" ht="15.95" customHeigh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22"/>
      <c r="AT39" s="167"/>
      <c r="AU39" s="167"/>
      <c r="AV39" s="167"/>
      <c r="AW39" s="167"/>
      <c r="AX39" s="167"/>
      <c r="AY39" s="167"/>
      <c r="AZ39" s="167"/>
      <c r="BA39" s="167"/>
      <c r="BB39" s="167"/>
      <c r="BC39" s="167"/>
      <c r="BD39" s="167"/>
      <c r="BE39" s="167"/>
      <c r="BF39" s="167"/>
      <c r="BG39" s="167"/>
      <c r="BH39" s="167"/>
      <c r="BI39" s="167"/>
      <c r="BJ39" s="167"/>
      <c r="BK39" s="167"/>
      <c r="BL39" s="167"/>
      <c r="BM39" s="167"/>
      <c r="BN39" s="167"/>
      <c r="BO39" s="167"/>
      <c r="BP39" s="167"/>
      <c r="BQ39" s="167"/>
      <c r="BR39" s="167"/>
      <c r="BS39" s="167"/>
      <c r="BT39" s="167"/>
      <c r="BU39" s="167"/>
      <c r="BV39" s="167"/>
      <c r="BW39" s="167"/>
      <c r="BX39" s="22"/>
      <c r="BY39" s="168"/>
      <c r="BZ39" s="22"/>
      <c r="CA39" s="22"/>
      <c r="CC39" s="25"/>
      <c r="CD39" s="83" t="s">
        <v>229</v>
      </c>
      <c r="CE39" s="84" t="b">
        <v>1</v>
      </c>
      <c r="CF39" s="26"/>
      <c r="CG39" s="26"/>
      <c r="CH39" s="89"/>
      <c r="CI39" s="50"/>
      <c r="CJ39" s="26"/>
      <c r="CK39" s="26"/>
      <c r="CL39" s="49">
        <v>34</v>
      </c>
      <c r="CM39" s="50" t="e">
        <f t="shared" si="1"/>
        <v>#N/A</v>
      </c>
      <c r="CN39" s="26"/>
      <c r="CO39" s="208"/>
      <c r="CP39" s="207"/>
      <c r="CQ39" s="28"/>
      <c r="CR39" s="28"/>
      <c r="CS39" s="28"/>
      <c r="CT39" s="28"/>
      <c r="CU39" s="28"/>
      <c r="CV39" s="26"/>
      <c r="CW39" s="68"/>
      <c r="CX39" s="69" t="str">
        <f>견적관리자용!$S$11</f>
        <v>승합(11~15인)</v>
      </c>
      <c r="CY39" s="70">
        <v>0</v>
      </c>
      <c r="CZ39" s="125">
        <v>1.4999999999999999E-2</v>
      </c>
      <c r="DA39" s="125">
        <v>1.4999999999999999E-2</v>
      </c>
      <c r="DB39" s="125">
        <v>1.4999999999999999E-2</v>
      </c>
      <c r="DC39" s="125">
        <v>1.4999999999999999E-2</v>
      </c>
      <c r="DD39" s="72">
        <f t="shared" si="2"/>
        <v>0</v>
      </c>
      <c r="DE39" s="73">
        <v>36</v>
      </c>
      <c r="DF39" s="72">
        <f t="shared" si="0"/>
        <v>0</v>
      </c>
      <c r="DG39" s="166"/>
      <c r="DH39" s="26"/>
      <c r="DI39" s="26"/>
      <c r="DJ39" s="25"/>
      <c r="DK39" s="25"/>
      <c r="DL39" s="25"/>
    </row>
    <row r="40" spans="1:135" s="24" customFormat="1" ht="15.95" hidden="1" customHeight="1" x14ac:dyDescent="0.3">
      <c r="A40" s="340"/>
      <c r="B40" s="340"/>
      <c r="C40" s="172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  <c r="AM40" s="173"/>
      <c r="AN40" s="173"/>
      <c r="AO40" s="173"/>
      <c r="AP40" s="173"/>
      <c r="AQ40" s="173"/>
      <c r="AR40" s="173"/>
      <c r="AS40" s="172"/>
      <c r="AT40" s="969"/>
      <c r="AU40" s="969"/>
      <c r="AV40" s="969"/>
      <c r="AW40" s="969"/>
      <c r="AX40" s="969"/>
      <c r="AY40" s="969"/>
      <c r="AZ40" s="969"/>
      <c r="BA40" s="969"/>
      <c r="BB40" s="969"/>
      <c r="BC40" s="969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4"/>
      <c r="BZ40" s="172"/>
      <c r="CA40" s="172"/>
      <c r="CC40" s="25"/>
      <c r="CD40" s="253"/>
      <c r="CE40" s="254"/>
      <c r="CF40" s="26"/>
      <c r="CG40" s="26"/>
      <c r="CH40" s="89"/>
      <c r="CI40" s="50"/>
      <c r="CJ40" s="26"/>
      <c r="CK40" s="26"/>
      <c r="CL40" s="49">
        <v>35</v>
      </c>
      <c r="CM40" s="50" t="e">
        <f t="shared" si="1"/>
        <v>#N/A</v>
      </c>
      <c r="CN40" s="26"/>
      <c r="CO40" s="208"/>
      <c r="CP40" s="207"/>
      <c r="CQ40" s="28"/>
      <c r="CR40" s="28"/>
      <c r="CS40" s="28"/>
      <c r="CT40" s="28"/>
      <c r="CU40" s="28"/>
      <c r="CV40" s="26"/>
      <c r="CW40" s="68"/>
      <c r="CX40" s="69" t="str">
        <f>견적관리자용!$S$12</f>
        <v>화물(1000cc 미만)</v>
      </c>
      <c r="CY40" s="70">
        <v>0</v>
      </c>
      <c r="CZ40" s="70">
        <v>0</v>
      </c>
      <c r="DA40" s="80">
        <v>0</v>
      </c>
      <c r="DB40" s="80">
        <v>0</v>
      </c>
      <c r="DC40" s="80">
        <v>0</v>
      </c>
      <c r="DD40" s="72">
        <f t="shared" si="2"/>
        <v>0</v>
      </c>
      <c r="DE40" s="73">
        <v>37</v>
      </c>
      <c r="DF40" s="72">
        <f t="shared" si="0"/>
        <v>0</v>
      </c>
      <c r="DG40" s="166"/>
      <c r="DH40" s="26"/>
      <c r="DI40" s="26"/>
      <c r="DJ40" s="25"/>
      <c r="DK40" s="25"/>
      <c r="DL40" s="25"/>
    </row>
    <row r="41" spans="1:135" s="24" customFormat="1" ht="15.95" hidden="1" customHeight="1" x14ac:dyDescent="0.3">
      <c r="A41" s="172"/>
      <c r="B41" s="172"/>
      <c r="C41" s="172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4"/>
      <c r="BZ41" s="172"/>
      <c r="CA41" s="172"/>
      <c r="CC41" s="25"/>
      <c r="CD41" s="83" t="s">
        <v>233</v>
      </c>
      <c r="CE41" s="84" t="b">
        <v>0</v>
      </c>
      <c r="CF41" s="26"/>
      <c r="CG41" s="26"/>
      <c r="CH41" s="89"/>
      <c r="CI41" s="50"/>
      <c r="CJ41" s="26"/>
      <c r="CK41" s="26"/>
      <c r="CL41" s="49">
        <v>36</v>
      </c>
      <c r="CM41" s="50" t="e">
        <f t="shared" si="1"/>
        <v>#N/A</v>
      </c>
      <c r="CN41" s="26"/>
      <c r="CO41" s="208"/>
      <c r="CP41" s="207"/>
      <c r="CQ41" s="28"/>
      <c r="CR41" s="28"/>
      <c r="CS41" s="28"/>
      <c r="CT41" s="28"/>
      <c r="CU41" s="28"/>
      <c r="CV41" s="26"/>
      <c r="CW41" s="85"/>
      <c r="CX41" s="69" t="str">
        <f>견적관리자용!$S$13</f>
        <v>화물(0.6톤 미만)</v>
      </c>
      <c r="CY41" s="70">
        <v>0</v>
      </c>
      <c r="CZ41" s="125">
        <v>1.4999999999999999E-2</v>
      </c>
      <c r="DA41" s="125">
        <v>1.4999999999999999E-2</v>
      </c>
      <c r="DB41" s="125">
        <v>1.4999999999999999E-2</v>
      </c>
      <c r="DC41" s="125">
        <v>1.4999999999999999E-2</v>
      </c>
      <c r="DD41" s="72">
        <f t="shared" si="2"/>
        <v>0</v>
      </c>
      <c r="DE41" s="73">
        <v>38</v>
      </c>
      <c r="DF41" s="72">
        <f t="shared" si="0"/>
        <v>0</v>
      </c>
      <c r="DG41" s="166"/>
      <c r="DH41" s="26"/>
      <c r="DI41" s="26"/>
      <c r="DJ41" s="25"/>
      <c r="DK41" s="25"/>
      <c r="DL41" s="25"/>
    </row>
    <row r="42" spans="1:135" s="24" customFormat="1" ht="15.95" hidden="1" customHeight="1" x14ac:dyDescent="0.3">
      <c r="A42" s="172"/>
      <c r="B42" s="172"/>
      <c r="C42" s="172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3"/>
      <c r="AQ42" s="173"/>
      <c r="AR42" s="173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4"/>
      <c r="BZ42" s="172"/>
      <c r="CA42" s="172"/>
      <c r="CC42" s="25"/>
      <c r="CD42" s="26"/>
      <c r="CE42" s="26"/>
      <c r="CF42" s="26"/>
      <c r="CG42" s="26"/>
      <c r="CH42" s="227"/>
      <c r="CI42" s="228"/>
      <c r="CJ42" s="26"/>
      <c r="CK42" s="26"/>
      <c r="CL42" s="49">
        <v>37</v>
      </c>
      <c r="CM42" s="50" t="e">
        <f t="shared" si="1"/>
        <v>#N/A</v>
      </c>
      <c r="CN42" s="26"/>
      <c r="CO42" s="208"/>
      <c r="CP42" s="207"/>
      <c r="CQ42" s="28"/>
      <c r="CR42" s="28"/>
      <c r="CS42" s="28"/>
      <c r="CT42" s="28"/>
      <c r="CU42" s="28"/>
      <c r="CV42" s="26"/>
      <c r="CW42" s="85"/>
      <c r="CX42" s="69" t="str">
        <f>견적관리자용!$S$14</f>
        <v>화물(0.6~1톤 미만)</v>
      </c>
      <c r="CY42" s="70">
        <v>0</v>
      </c>
      <c r="CZ42" s="125">
        <v>1.4999999999999999E-2</v>
      </c>
      <c r="DA42" s="125">
        <v>1.4999999999999999E-2</v>
      </c>
      <c r="DB42" s="125">
        <v>1.4999999999999999E-2</v>
      </c>
      <c r="DC42" s="125">
        <v>1.4999999999999999E-2</v>
      </c>
      <c r="DD42" s="72">
        <f t="shared" si="2"/>
        <v>0</v>
      </c>
      <c r="DE42" s="73">
        <v>39</v>
      </c>
      <c r="DF42" s="72">
        <f t="shared" si="0"/>
        <v>0</v>
      </c>
      <c r="DG42" s="166"/>
      <c r="DH42" s="26"/>
      <c r="DI42" s="26"/>
      <c r="DJ42" s="25"/>
      <c r="DK42" s="25"/>
      <c r="DL42" s="25"/>
    </row>
    <row r="43" spans="1:135" s="24" customFormat="1" ht="15.95" hidden="1" customHeight="1" x14ac:dyDescent="0.3">
      <c r="A43" s="172"/>
      <c r="B43" s="172"/>
      <c r="C43" s="172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4"/>
      <c r="BZ43" s="172"/>
      <c r="CA43" s="172"/>
      <c r="CC43" s="25"/>
      <c r="CD43" s="26"/>
      <c r="CE43" s="26"/>
      <c r="CF43" s="26"/>
      <c r="CG43" s="26"/>
      <c r="CH43" s="255"/>
      <c r="CI43" s="256"/>
      <c r="CJ43" s="26"/>
      <c r="CK43" s="26"/>
      <c r="CL43" s="49">
        <v>38</v>
      </c>
      <c r="CM43" s="50" t="e">
        <f t="shared" si="1"/>
        <v>#N/A</v>
      </c>
      <c r="CN43" s="26"/>
      <c r="CO43" s="265"/>
      <c r="CP43" s="207"/>
      <c r="CQ43" s="28"/>
      <c r="CR43" s="28"/>
      <c r="CS43" s="28"/>
      <c r="CT43" s="28"/>
      <c r="CU43" s="28"/>
      <c r="CV43" s="26"/>
      <c r="CW43" s="85"/>
      <c r="CX43" s="69" t="str">
        <f>견적관리자용!$S$15</f>
        <v>화물(1~2.5톤 미만)</v>
      </c>
      <c r="CY43" s="70">
        <v>0</v>
      </c>
      <c r="CZ43" s="125">
        <v>1.4999999999999999E-2</v>
      </c>
      <c r="DA43" s="125">
        <v>1.4999999999999999E-2</v>
      </c>
      <c r="DB43" s="125">
        <v>1.4999999999999999E-2</v>
      </c>
      <c r="DC43" s="125">
        <v>1.4999999999999999E-2</v>
      </c>
      <c r="DD43" s="72">
        <f t="shared" si="2"/>
        <v>0</v>
      </c>
      <c r="DE43" s="73">
        <v>40</v>
      </c>
      <c r="DF43" s="72">
        <f t="shared" si="0"/>
        <v>0</v>
      </c>
      <c r="DG43" s="166"/>
      <c r="DH43" s="26"/>
      <c r="DI43" s="26"/>
      <c r="DJ43" s="25"/>
      <c r="DK43" s="25"/>
      <c r="DL43" s="25"/>
    </row>
    <row r="44" spans="1:135" s="24" customFormat="1" ht="15.95" hidden="1" customHeight="1" x14ac:dyDescent="0.3">
      <c r="A44" s="172"/>
      <c r="B44" s="172"/>
      <c r="C44" s="172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4"/>
      <c r="BZ44" s="172"/>
      <c r="CA44" s="172"/>
      <c r="CC44" s="25"/>
      <c r="CD44" s="26"/>
      <c r="CE44" s="26"/>
      <c r="CF44" s="26"/>
      <c r="CG44" s="26"/>
      <c r="CH44" s="257"/>
      <c r="CI44" s="241"/>
      <c r="CJ44" s="26"/>
      <c r="CK44" s="26"/>
      <c r="CL44" s="49">
        <v>39</v>
      </c>
      <c r="CM44" s="50" t="e">
        <f t="shared" si="1"/>
        <v>#N/A</v>
      </c>
      <c r="CN44" s="26"/>
      <c r="CO44" s="265"/>
      <c r="CP44" s="207"/>
      <c r="CQ44" s="28"/>
      <c r="CR44" s="28"/>
      <c r="CS44" s="28"/>
      <c r="CT44" s="28"/>
      <c r="CU44" s="28"/>
      <c r="CV44" s="26"/>
      <c r="CW44" s="85"/>
      <c r="CX44" s="69" t="str">
        <f>견적관리자용!$S$16</f>
        <v>화물(2.5~4.6톤 미만)</v>
      </c>
      <c r="CY44" s="70">
        <v>0</v>
      </c>
      <c r="CZ44" s="125">
        <v>1.4999999999999999E-2</v>
      </c>
      <c r="DA44" s="125">
        <v>1.4999999999999999E-2</v>
      </c>
      <c r="DB44" s="125">
        <v>1.4999999999999999E-2</v>
      </c>
      <c r="DC44" s="125">
        <v>1.4999999999999999E-2</v>
      </c>
      <c r="DD44" s="72">
        <f t="shared" si="2"/>
        <v>0</v>
      </c>
      <c r="DE44" s="73">
        <v>41</v>
      </c>
      <c r="DF44" s="72">
        <f t="shared" si="0"/>
        <v>0</v>
      </c>
      <c r="DG44" s="166"/>
      <c r="DH44" s="26"/>
      <c r="DI44" s="26"/>
      <c r="DJ44" s="25"/>
      <c r="DK44" s="25"/>
      <c r="DL44" s="25"/>
    </row>
    <row r="45" spans="1:135" s="24" customFormat="1" ht="15.95" hidden="1" customHeight="1" x14ac:dyDescent="0.3">
      <c r="A45" s="172"/>
      <c r="B45" s="172"/>
      <c r="C45" s="172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  <c r="AI45" s="173"/>
      <c r="AJ45" s="173"/>
      <c r="AK45" s="173"/>
      <c r="AL45" s="173"/>
      <c r="AM45" s="173"/>
      <c r="AN45" s="173"/>
      <c r="AO45" s="173"/>
      <c r="AP45" s="173"/>
      <c r="AQ45" s="173"/>
      <c r="AR45" s="173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4"/>
      <c r="BZ45" s="172"/>
      <c r="CA45" s="172"/>
      <c r="CC45" s="25"/>
      <c r="CD45" s="26"/>
      <c r="CE45" s="26"/>
      <c r="CF45" s="26"/>
      <c r="CG45" s="26"/>
      <c r="CH45" s="243"/>
      <c r="CI45" s="241"/>
      <c r="CJ45" s="26"/>
      <c r="CK45" s="26"/>
      <c r="CL45" s="49">
        <v>40</v>
      </c>
      <c r="CM45" s="50" t="e">
        <f t="shared" si="1"/>
        <v>#N/A</v>
      </c>
      <c r="CN45" s="26"/>
      <c r="CO45" s="208"/>
      <c r="CP45" s="207"/>
      <c r="CQ45" s="28"/>
      <c r="CR45" s="28"/>
      <c r="CS45" s="28"/>
      <c r="CT45" s="28"/>
      <c r="CU45" s="28"/>
      <c r="CV45" s="26"/>
      <c r="CW45" s="90"/>
      <c r="CX45" s="91" t="str">
        <f>견적관리자용!$S$17</f>
        <v>화물(4.6톤 이상)</v>
      </c>
      <c r="CY45" s="92">
        <v>0</v>
      </c>
      <c r="CZ45" s="180">
        <v>1.4999999999999999E-2</v>
      </c>
      <c r="DA45" s="180">
        <v>1.4999999999999999E-2</v>
      </c>
      <c r="DB45" s="180">
        <v>1.4999999999999999E-2</v>
      </c>
      <c r="DC45" s="180">
        <v>1.4999999999999999E-2</v>
      </c>
      <c r="DD45" s="93">
        <f t="shared" si="2"/>
        <v>0</v>
      </c>
      <c r="DE45" s="94">
        <v>42</v>
      </c>
      <c r="DF45" s="93">
        <f t="shared" si="0"/>
        <v>0</v>
      </c>
      <c r="DG45" s="181"/>
      <c r="DH45" s="26"/>
      <c r="DI45" s="26"/>
      <c r="DJ45" s="25"/>
      <c r="DK45" s="25"/>
      <c r="DL45" s="25"/>
      <c r="EE45" s="24" t="b">
        <v>1</v>
      </c>
    </row>
    <row r="46" spans="1:135" s="24" customFormat="1" ht="15.95" hidden="1" customHeight="1" x14ac:dyDescent="0.3">
      <c r="A46" s="172"/>
      <c r="B46" s="172"/>
      <c r="C46" s="172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4"/>
      <c r="BZ46" s="172"/>
      <c r="CA46" s="172"/>
      <c r="CC46" s="25"/>
      <c r="CD46" s="26"/>
      <c r="CE46" s="26"/>
      <c r="CF46" s="26"/>
      <c r="CG46" s="26"/>
      <c r="CH46" s="243"/>
      <c r="CI46" s="241"/>
      <c r="CJ46" s="26"/>
      <c r="CK46" s="26"/>
      <c r="CL46" s="49">
        <v>41</v>
      </c>
      <c r="CM46" s="50" t="e">
        <f t="shared" si="1"/>
        <v>#N/A</v>
      </c>
      <c r="CN46" s="26"/>
      <c r="CO46" s="208"/>
      <c r="CP46" s="207"/>
      <c r="CQ46" s="28"/>
      <c r="CR46" s="28"/>
      <c r="CS46" s="28"/>
      <c r="CT46" s="28"/>
      <c r="CU46" s="28"/>
      <c r="CV46" s="26"/>
      <c r="CW46" s="68" t="s">
        <v>100</v>
      </c>
      <c r="CX46" s="124" t="str">
        <f>견적관리자용!$S$8</f>
        <v>승용일반</v>
      </c>
      <c r="CY46" s="70">
        <v>0</v>
      </c>
      <c r="CZ46" s="125">
        <v>0.04</v>
      </c>
      <c r="DA46" s="125">
        <v>0.04</v>
      </c>
      <c r="DB46" s="125">
        <v>0.04</v>
      </c>
      <c r="DC46" s="125">
        <v>0.05</v>
      </c>
      <c r="DD46" s="72">
        <f t="shared" si="2"/>
        <v>0</v>
      </c>
      <c r="DE46" s="73">
        <v>43</v>
      </c>
      <c r="DF46" s="72">
        <f t="shared" si="0"/>
        <v>0</v>
      </c>
      <c r="DG46" s="166">
        <f>SUM(DF46:DF55)</f>
        <v>0</v>
      </c>
      <c r="DH46" s="26"/>
      <c r="DI46" s="26"/>
      <c r="DJ46" s="25"/>
      <c r="DK46" s="25"/>
      <c r="DL46" s="25"/>
    </row>
    <row r="47" spans="1:135" s="24" customFormat="1" ht="15.95" hidden="1" customHeight="1" x14ac:dyDescent="0.3">
      <c r="A47" s="172"/>
      <c r="B47" s="172"/>
      <c r="C47" s="172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  <c r="AI47" s="173"/>
      <c r="AJ47" s="173"/>
      <c r="AK47" s="173"/>
      <c r="AL47" s="173"/>
      <c r="AM47" s="173"/>
      <c r="AN47" s="173"/>
      <c r="AO47" s="173"/>
      <c r="AP47" s="173"/>
      <c r="AQ47" s="173"/>
      <c r="AR47" s="173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4"/>
      <c r="BZ47" s="172"/>
      <c r="CA47" s="172"/>
      <c r="CC47" s="25"/>
      <c r="CD47" s="26"/>
      <c r="CE47" s="26"/>
      <c r="CF47" s="26"/>
      <c r="CG47" s="26"/>
      <c r="CH47" s="243"/>
      <c r="CI47" s="241"/>
      <c r="CJ47" s="26"/>
      <c r="CK47" s="26"/>
      <c r="CL47" s="49">
        <v>42</v>
      </c>
      <c r="CM47" s="50" t="e">
        <f t="shared" si="1"/>
        <v>#N/A</v>
      </c>
      <c r="CN47" s="26"/>
      <c r="CO47" s="208"/>
      <c r="CP47" s="207"/>
      <c r="CQ47" s="28"/>
      <c r="CR47" s="28"/>
      <c r="CS47" s="28"/>
      <c r="CT47" s="28"/>
      <c r="CU47" s="28"/>
      <c r="CV47" s="26"/>
      <c r="CW47" s="68"/>
      <c r="CX47" s="69" t="str">
        <f>견적관리자용!$S$9</f>
        <v>승용SUV(~5인)</v>
      </c>
      <c r="CY47" s="70">
        <v>0</v>
      </c>
      <c r="CZ47" s="71">
        <v>0.04</v>
      </c>
      <c r="DA47" s="71">
        <v>0.04</v>
      </c>
      <c r="DB47" s="71">
        <v>0.04</v>
      </c>
      <c r="DC47" s="71">
        <v>0.05</v>
      </c>
      <c r="DD47" s="72">
        <f t="shared" si="2"/>
        <v>0</v>
      </c>
      <c r="DE47" s="73">
        <v>44</v>
      </c>
      <c r="DF47" s="72">
        <f t="shared" si="0"/>
        <v>0</v>
      </c>
      <c r="DG47" s="166"/>
      <c r="DH47" s="26"/>
      <c r="DI47" s="26"/>
      <c r="DJ47" s="25"/>
      <c r="DK47" s="25"/>
      <c r="DL47" s="25"/>
    </row>
    <row r="48" spans="1:135" s="24" customFormat="1" ht="15.95" hidden="1" customHeight="1" x14ac:dyDescent="0.3">
      <c r="A48" s="172"/>
      <c r="B48" s="172"/>
      <c r="C48" s="172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3"/>
      <c r="AJ48" s="173"/>
      <c r="AK48" s="173"/>
      <c r="AL48" s="173"/>
      <c r="AM48" s="173"/>
      <c r="AN48" s="173"/>
      <c r="AO48" s="173"/>
      <c r="AP48" s="173"/>
      <c r="AQ48" s="173"/>
      <c r="AR48" s="173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4"/>
      <c r="BZ48" s="172"/>
      <c r="CA48" s="172"/>
      <c r="CC48" s="25"/>
      <c r="CD48" s="26"/>
      <c r="CE48" s="26"/>
      <c r="CF48" s="26"/>
      <c r="CG48" s="26"/>
      <c r="CH48" s="243"/>
      <c r="CI48" s="241"/>
      <c r="CJ48" s="26"/>
      <c r="CK48" s="26"/>
      <c r="CL48" s="49">
        <v>43</v>
      </c>
      <c r="CM48" s="50" t="e">
        <f t="shared" si="1"/>
        <v>#N/A</v>
      </c>
      <c r="CN48" s="26"/>
      <c r="CO48" s="208"/>
      <c r="CP48" s="207"/>
      <c r="CQ48" s="28"/>
      <c r="CR48" s="28"/>
      <c r="CS48" s="28"/>
      <c r="CT48" s="28"/>
      <c r="CU48" s="28"/>
      <c r="CV48" s="26"/>
      <c r="CW48" s="68"/>
      <c r="CX48" s="69" t="str">
        <f>견적관리자용!$S$10</f>
        <v>승용SUV(7~10인)</v>
      </c>
      <c r="CY48" s="70">
        <v>0</v>
      </c>
      <c r="CZ48" s="71">
        <v>0.04</v>
      </c>
      <c r="DA48" s="71">
        <v>0.04</v>
      </c>
      <c r="DB48" s="71">
        <v>0.04</v>
      </c>
      <c r="DC48" s="71">
        <v>0.05</v>
      </c>
      <c r="DD48" s="72">
        <f t="shared" si="2"/>
        <v>0</v>
      </c>
      <c r="DE48" s="73">
        <v>45</v>
      </c>
      <c r="DF48" s="72">
        <f t="shared" si="0"/>
        <v>0</v>
      </c>
      <c r="DG48" s="166"/>
      <c r="DH48" s="26"/>
      <c r="DI48" s="26"/>
      <c r="DJ48" s="25"/>
      <c r="DK48" s="25"/>
      <c r="DL48" s="25"/>
    </row>
    <row r="49" spans="1:298" s="26" customFormat="1" ht="15.95" hidden="1" customHeight="1" x14ac:dyDescent="0.3">
      <c r="A49" s="172"/>
      <c r="B49" s="172"/>
      <c r="C49" s="172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3"/>
      <c r="AJ49" s="173"/>
      <c r="AK49" s="173"/>
      <c r="AL49" s="173"/>
      <c r="AM49" s="173"/>
      <c r="AN49" s="173"/>
      <c r="AO49" s="173"/>
      <c r="AP49" s="173"/>
      <c r="AQ49" s="173"/>
      <c r="AR49" s="173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4"/>
      <c r="BZ49" s="172"/>
      <c r="CA49" s="172"/>
      <c r="CB49" s="24"/>
      <c r="CC49" s="25"/>
      <c r="CH49" s="243"/>
      <c r="CI49" s="241"/>
      <c r="CL49" s="49">
        <v>44</v>
      </c>
      <c r="CM49" s="50" t="e">
        <f t="shared" si="1"/>
        <v>#N/A</v>
      </c>
      <c r="CO49" s="208"/>
      <c r="CP49" s="207"/>
      <c r="CQ49" s="28"/>
      <c r="CR49" s="28"/>
      <c r="CS49" s="28"/>
      <c r="CT49" s="28"/>
      <c r="CU49" s="28"/>
      <c r="CW49" s="68"/>
      <c r="CX49" s="69" t="str">
        <f>견적관리자용!$S$11</f>
        <v>승합(11~15인)</v>
      </c>
      <c r="CY49" s="70">
        <v>0</v>
      </c>
      <c r="CZ49" s="125">
        <v>1.4999999999999999E-2</v>
      </c>
      <c r="DA49" s="125">
        <v>1.4999999999999999E-2</v>
      </c>
      <c r="DB49" s="125">
        <v>1.4999999999999999E-2</v>
      </c>
      <c r="DC49" s="125">
        <v>1.4999999999999999E-2</v>
      </c>
      <c r="DD49" s="72">
        <f t="shared" si="2"/>
        <v>0</v>
      </c>
      <c r="DE49" s="73">
        <v>46</v>
      </c>
      <c r="DF49" s="72">
        <f t="shared" si="0"/>
        <v>0</v>
      </c>
      <c r="DG49" s="166"/>
      <c r="DJ49" s="25"/>
      <c r="DK49" s="25"/>
      <c r="DL49" s="25"/>
      <c r="DM49" s="24"/>
      <c r="DN49" s="24"/>
      <c r="DO49" s="24"/>
      <c r="DP49" s="24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4"/>
      <c r="EC49" s="24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4"/>
      <c r="EP49" s="24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4"/>
      <c r="FC49" s="24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4"/>
      <c r="FP49" s="24"/>
      <c r="FQ49" s="24"/>
      <c r="FR49" s="24"/>
      <c r="FS49" s="24"/>
      <c r="FT49" s="24"/>
      <c r="FU49" s="24"/>
      <c r="FV49" s="24"/>
      <c r="FW49" s="24"/>
      <c r="FX49" s="24"/>
      <c r="FY49" s="24"/>
      <c r="FZ49" s="24"/>
      <c r="GA49" s="24"/>
      <c r="GB49" s="24"/>
      <c r="GC49" s="24"/>
      <c r="GD49" s="24"/>
      <c r="GE49" s="24"/>
      <c r="GF49" s="24"/>
      <c r="GG49" s="24"/>
      <c r="GH49" s="24"/>
      <c r="GI49" s="24"/>
      <c r="GJ49" s="24"/>
      <c r="GK49" s="24"/>
      <c r="GL49" s="24"/>
      <c r="GM49" s="24"/>
      <c r="GN49" s="24"/>
      <c r="GO49" s="24"/>
      <c r="GP49" s="24"/>
      <c r="GQ49" s="24"/>
      <c r="GR49" s="24"/>
      <c r="GS49" s="24"/>
      <c r="GT49" s="24"/>
      <c r="GU49" s="24"/>
      <c r="GV49" s="24"/>
      <c r="GW49" s="24"/>
      <c r="GX49" s="24"/>
      <c r="GY49" s="24"/>
      <c r="GZ49" s="24"/>
      <c r="HA49" s="24"/>
      <c r="HB49" s="24"/>
      <c r="HC49" s="24"/>
      <c r="HD49" s="24"/>
      <c r="HE49" s="24"/>
      <c r="HF49" s="24"/>
      <c r="HG49" s="24"/>
      <c r="HH49" s="24"/>
      <c r="HI49" s="24"/>
      <c r="HJ49" s="24"/>
      <c r="HK49" s="24"/>
      <c r="HL49" s="24"/>
      <c r="HM49" s="24"/>
      <c r="HN49" s="24"/>
      <c r="HO49" s="24"/>
      <c r="HP49" s="24"/>
      <c r="HQ49" s="24"/>
      <c r="HR49" s="24"/>
      <c r="HS49" s="24"/>
      <c r="HT49" s="24"/>
      <c r="HU49" s="24"/>
      <c r="HV49" s="24"/>
      <c r="HW49" s="24"/>
      <c r="HX49" s="24"/>
      <c r="HY49" s="24"/>
      <c r="HZ49" s="24"/>
      <c r="IA49" s="24"/>
      <c r="IB49" s="24"/>
      <c r="IC49" s="24"/>
      <c r="ID49" s="24"/>
      <c r="IE49" s="24"/>
      <c r="IF49" s="24"/>
      <c r="IG49" s="24"/>
      <c r="IH49" s="24"/>
      <c r="II49" s="24"/>
      <c r="IJ49" s="24"/>
      <c r="IK49" s="24"/>
      <c r="IL49" s="24"/>
      <c r="IM49" s="24"/>
      <c r="IN49" s="24"/>
      <c r="IO49" s="24"/>
      <c r="IP49" s="24"/>
      <c r="IQ49" s="24"/>
      <c r="IR49" s="24"/>
      <c r="IS49" s="24"/>
      <c r="IT49" s="24"/>
      <c r="IU49" s="24"/>
      <c r="IV49" s="24"/>
      <c r="IW49" s="24"/>
      <c r="IX49" s="24"/>
      <c r="IY49" s="24"/>
      <c r="IZ49" s="24"/>
      <c r="JA49" s="24"/>
      <c r="JB49" s="24"/>
      <c r="JC49" s="24"/>
      <c r="JD49" s="24"/>
      <c r="JE49" s="24"/>
      <c r="JF49" s="24"/>
      <c r="JG49" s="24"/>
      <c r="JH49" s="24"/>
      <c r="JI49" s="24"/>
      <c r="JJ49" s="24"/>
      <c r="JK49" s="24"/>
      <c r="JL49" s="24"/>
      <c r="JM49" s="24"/>
      <c r="JN49" s="24"/>
      <c r="JO49" s="24"/>
      <c r="JP49" s="24"/>
      <c r="JQ49" s="24"/>
      <c r="JR49" s="24"/>
      <c r="JS49" s="24"/>
      <c r="JT49" s="24"/>
      <c r="JU49" s="24"/>
      <c r="JV49" s="24"/>
      <c r="JW49" s="24"/>
      <c r="JX49" s="24"/>
      <c r="JY49" s="24"/>
      <c r="JZ49" s="24"/>
      <c r="KA49" s="24"/>
      <c r="KB49" s="24"/>
      <c r="KC49" s="24"/>
      <c r="KD49" s="24"/>
      <c r="KE49" s="24"/>
      <c r="KF49" s="24"/>
      <c r="KG49" s="24"/>
      <c r="KH49" s="24"/>
      <c r="KI49" s="24"/>
      <c r="KJ49" s="24"/>
      <c r="KK49" s="24"/>
      <c r="KL49" s="24"/>
    </row>
    <row r="50" spans="1:298" s="26" customFormat="1" ht="15.95" hidden="1" customHeight="1" x14ac:dyDescent="0.3">
      <c r="A50" s="172"/>
      <c r="B50" s="172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  <c r="AG50" s="173"/>
      <c r="AH50" s="173"/>
      <c r="AI50" s="173"/>
      <c r="AJ50" s="173"/>
      <c r="AK50" s="173"/>
      <c r="AL50" s="173"/>
      <c r="AM50" s="173"/>
      <c r="AN50" s="173"/>
      <c r="AO50" s="173"/>
      <c r="AP50" s="173"/>
      <c r="AQ50" s="173"/>
      <c r="AR50" s="173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4"/>
      <c r="BZ50" s="172"/>
      <c r="CA50" s="172"/>
      <c r="CB50" s="24"/>
      <c r="CC50" s="25"/>
      <c r="CH50" s="243"/>
      <c r="CI50" s="241"/>
      <c r="CL50" s="49">
        <v>45</v>
      </c>
      <c r="CM50" s="50" t="e">
        <f t="shared" si="1"/>
        <v>#N/A</v>
      </c>
      <c r="CO50" s="208"/>
      <c r="CP50" s="207"/>
      <c r="CQ50" s="28"/>
      <c r="CR50" s="28"/>
      <c r="CS50" s="28"/>
      <c r="CT50" s="28"/>
      <c r="CU50" s="28"/>
      <c r="CW50" s="68"/>
      <c r="CX50" s="69" t="str">
        <f>견적관리자용!$S$12</f>
        <v>화물(1000cc 미만)</v>
      </c>
      <c r="CY50" s="70">
        <v>0</v>
      </c>
      <c r="CZ50" s="70">
        <v>0</v>
      </c>
      <c r="DA50" s="80">
        <v>0</v>
      </c>
      <c r="DB50" s="80">
        <v>0</v>
      </c>
      <c r="DC50" s="80">
        <v>0</v>
      </c>
      <c r="DD50" s="72">
        <f t="shared" si="2"/>
        <v>0</v>
      </c>
      <c r="DE50" s="73">
        <v>47</v>
      </c>
      <c r="DF50" s="72">
        <f t="shared" si="0"/>
        <v>0</v>
      </c>
      <c r="DG50" s="166"/>
      <c r="DJ50" s="25"/>
      <c r="DK50" s="25"/>
      <c r="DL50" s="25"/>
      <c r="DM50" s="24"/>
      <c r="DN50" s="24"/>
      <c r="DO50" s="24"/>
      <c r="DP50" s="24"/>
      <c r="DQ50" s="24"/>
      <c r="DR50" s="24"/>
      <c r="DS50" s="24"/>
      <c r="DT50" s="24"/>
      <c r="DU50" s="24"/>
      <c r="DV50" s="24"/>
      <c r="DW50" s="24"/>
      <c r="DX50" s="24"/>
      <c r="DY50" s="24"/>
      <c r="DZ50" s="24"/>
      <c r="EA50" s="24"/>
      <c r="EB50" s="24"/>
      <c r="EC50" s="24"/>
      <c r="ED50" s="24"/>
      <c r="EE50" s="24"/>
      <c r="EF50" s="24"/>
      <c r="EG50" s="24"/>
      <c r="EH50" s="24"/>
      <c r="EI50" s="24"/>
      <c r="EJ50" s="24"/>
      <c r="EK50" s="24"/>
      <c r="EL50" s="24"/>
      <c r="EM50" s="24"/>
      <c r="EN50" s="24"/>
      <c r="EO50" s="24"/>
      <c r="EP50" s="24"/>
      <c r="EQ50" s="24"/>
      <c r="ER50" s="24"/>
      <c r="ES50" s="24"/>
      <c r="ET50" s="24"/>
      <c r="EU50" s="24"/>
      <c r="EV50" s="24"/>
      <c r="EW50" s="24"/>
      <c r="EX50" s="24"/>
      <c r="EY50" s="24"/>
      <c r="EZ50" s="24"/>
      <c r="FA50" s="24"/>
      <c r="FB50" s="24"/>
      <c r="FC50" s="24"/>
      <c r="FD50" s="24"/>
      <c r="FE50" s="24"/>
      <c r="FF50" s="24"/>
      <c r="FG50" s="24"/>
      <c r="FH50" s="24"/>
      <c r="FI50" s="24"/>
      <c r="FJ50" s="24"/>
      <c r="FK50" s="24"/>
      <c r="FL50" s="24"/>
      <c r="FM50" s="24"/>
      <c r="FN50" s="24"/>
      <c r="FO50" s="24"/>
      <c r="FP50" s="24"/>
      <c r="FQ50" s="24"/>
      <c r="FR50" s="24"/>
      <c r="FS50" s="24"/>
      <c r="FT50" s="24"/>
      <c r="FU50" s="24"/>
      <c r="FV50" s="24"/>
      <c r="FW50" s="24"/>
      <c r="FX50" s="24"/>
      <c r="FY50" s="24"/>
      <c r="FZ50" s="24"/>
      <c r="GA50" s="24"/>
      <c r="GB50" s="24"/>
      <c r="GC50" s="24"/>
      <c r="GD50" s="24"/>
      <c r="GE50" s="24"/>
      <c r="GF50" s="24"/>
      <c r="GG50" s="24"/>
      <c r="GH50" s="24"/>
      <c r="GI50" s="24"/>
      <c r="GJ50" s="24"/>
      <c r="GK50" s="24"/>
      <c r="GL50" s="24"/>
      <c r="GM50" s="24"/>
      <c r="GN50" s="24"/>
      <c r="GO50" s="24"/>
      <c r="GP50" s="24"/>
      <c r="GQ50" s="24"/>
      <c r="GR50" s="24"/>
      <c r="GS50" s="24"/>
      <c r="GT50" s="24"/>
      <c r="GU50" s="24"/>
      <c r="GV50" s="24"/>
      <c r="GW50" s="24"/>
      <c r="GX50" s="24"/>
      <c r="GY50" s="24"/>
      <c r="GZ50" s="24"/>
      <c r="HA50" s="24"/>
      <c r="HB50" s="24"/>
      <c r="HC50" s="24"/>
      <c r="HD50" s="24"/>
      <c r="HE50" s="24"/>
      <c r="HF50" s="24"/>
      <c r="HG50" s="24"/>
      <c r="HH50" s="24"/>
      <c r="HI50" s="24"/>
      <c r="HJ50" s="24"/>
      <c r="HK50" s="24"/>
      <c r="HL50" s="24"/>
      <c r="HM50" s="24"/>
      <c r="HN50" s="24"/>
      <c r="HO50" s="24"/>
      <c r="HP50" s="24"/>
      <c r="HQ50" s="24"/>
      <c r="HR50" s="24"/>
      <c r="HS50" s="24"/>
      <c r="HT50" s="24"/>
      <c r="HU50" s="24"/>
      <c r="HV50" s="24"/>
      <c r="HW50" s="24"/>
      <c r="HX50" s="24"/>
      <c r="HY50" s="24"/>
      <c r="HZ50" s="24"/>
      <c r="IA50" s="24"/>
      <c r="IB50" s="24"/>
      <c r="IC50" s="24"/>
      <c r="ID50" s="24"/>
      <c r="IE50" s="24"/>
      <c r="IF50" s="24"/>
      <c r="IG50" s="24"/>
      <c r="IH50" s="24"/>
      <c r="II50" s="24"/>
      <c r="IJ50" s="24"/>
      <c r="IK50" s="24"/>
      <c r="IL50" s="24"/>
      <c r="IM50" s="24"/>
      <c r="IN50" s="24"/>
      <c r="IO50" s="24"/>
      <c r="IP50" s="24"/>
      <c r="IQ50" s="24"/>
      <c r="IR50" s="24"/>
      <c r="IS50" s="24"/>
      <c r="IT50" s="24"/>
      <c r="IU50" s="24"/>
      <c r="IV50" s="24"/>
      <c r="IW50" s="24"/>
      <c r="IX50" s="24"/>
      <c r="IY50" s="24"/>
      <c r="IZ50" s="24"/>
      <c r="JA50" s="24"/>
      <c r="JB50" s="24"/>
      <c r="JC50" s="24"/>
      <c r="JD50" s="24"/>
      <c r="JE50" s="24"/>
      <c r="JF50" s="24"/>
      <c r="JG50" s="24"/>
      <c r="JH50" s="24"/>
      <c r="JI50" s="24"/>
      <c r="JJ50" s="24"/>
      <c r="JK50" s="24"/>
      <c r="JL50" s="24"/>
      <c r="JM50" s="24"/>
      <c r="JN50" s="24"/>
      <c r="JO50" s="24"/>
      <c r="JP50" s="24"/>
      <c r="JQ50" s="24"/>
      <c r="JR50" s="24"/>
      <c r="JS50" s="24"/>
      <c r="JT50" s="24"/>
      <c r="JU50" s="24"/>
      <c r="JV50" s="24"/>
      <c r="JW50" s="24"/>
      <c r="JX50" s="24"/>
      <c r="JY50" s="24"/>
      <c r="JZ50" s="24"/>
      <c r="KA50" s="24"/>
      <c r="KB50" s="24"/>
      <c r="KC50" s="24"/>
      <c r="KD50" s="24"/>
      <c r="KE50" s="24"/>
      <c r="KF50" s="24"/>
      <c r="KG50" s="24"/>
      <c r="KH50" s="24"/>
      <c r="KI50" s="24"/>
      <c r="KJ50" s="24"/>
      <c r="KK50" s="24"/>
      <c r="KL50" s="24"/>
    </row>
    <row r="51" spans="1:298" s="26" customFormat="1" ht="15.95" hidden="1" customHeight="1" x14ac:dyDescent="0.3">
      <c r="A51" s="172"/>
      <c r="B51" s="172"/>
      <c r="C51" s="172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3"/>
      <c r="AH51" s="173"/>
      <c r="AI51" s="173"/>
      <c r="AJ51" s="173"/>
      <c r="AK51" s="173"/>
      <c r="AL51" s="173"/>
      <c r="AM51" s="173"/>
      <c r="AN51" s="173"/>
      <c r="AO51" s="173"/>
      <c r="AP51" s="173"/>
      <c r="AQ51" s="173"/>
      <c r="AR51" s="173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4"/>
      <c r="BZ51" s="172"/>
      <c r="CA51" s="172"/>
      <c r="CB51" s="24"/>
      <c r="CC51" s="25"/>
      <c r="CH51" s="243"/>
      <c r="CI51" s="241"/>
      <c r="CL51" s="49">
        <v>46</v>
      </c>
      <c r="CM51" s="50" t="e">
        <f t="shared" si="1"/>
        <v>#N/A</v>
      </c>
      <c r="CO51" s="208"/>
      <c r="CP51" s="207"/>
      <c r="CQ51" s="28"/>
      <c r="CR51" s="28"/>
      <c r="CS51" s="28"/>
      <c r="CT51" s="28"/>
      <c r="CU51" s="28"/>
      <c r="CW51" s="85"/>
      <c r="CX51" s="69" t="str">
        <f>견적관리자용!$S$13</f>
        <v>화물(0.6톤 미만)</v>
      </c>
      <c r="CY51" s="70">
        <v>0</v>
      </c>
      <c r="CZ51" s="125">
        <v>1.4999999999999999E-2</v>
      </c>
      <c r="DA51" s="125">
        <v>1.4999999999999999E-2</v>
      </c>
      <c r="DB51" s="125">
        <v>1.4999999999999999E-2</v>
      </c>
      <c r="DC51" s="125">
        <v>1.4999999999999999E-2</v>
      </c>
      <c r="DD51" s="72">
        <f t="shared" si="2"/>
        <v>0</v>
      </c>
      <c r="DE51" s="73">
        <v>48</v>
      </c>
      <c r="DF51" s="72">
        <f t="shared" si="0"/>
        <v>0</v>
      </c>
      <c r="DG51" s="166"/>
      <c r="DJ51" s="25"/>
      <c r="DK51" s="25"/>
      <c r="DL51" s="25"/>
      <c r="DM51" s="24"/>
      <c r="DN51" s="24"/>
      <c r="DO51" s="24"/>
      <c r="DP51" s="24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4"/>
      <c r="EC51" s="24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4"/>
      <c r="EP51" s="24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4"/>
      <c r="FC51" s="24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4"/>
      <c r="FP51" s="24"/>
      <c r="FQ51" s="24"/>
      <c r="FR51" s="24"/>
      <c r="FS51" s="24"/>
      <c r="FT51" s="24"/>
      <c r="FU51" s="24"/>
      <c r="FV51" s="24"/>
      <c r="FW51" s="24"/>
      <c r="FX51" s="24"/>
      <c r="FY51" s="24"/>
      <c r="FZ51" s="24"/>
      <c r="GA51" s="24"/>
      <c r="GB51" s="24"/>
      <c r="GC51" s="24"/>
      <c r="GD51" s="24"/>
      <c r="GE51" s="24"/>
      <c r="GF51" s="24"/>
      <c r="GG51" s="24"/>
      <c r="GH51" s="24"/>
      <c r="GI51" s="24"/>
      <c r="GJ51" s="24"/>
      <c r="GK51" s="24"/>
      <c r="GL51" s="24"/>
      <c r="GM51" s="24"/>
      <c r="GN51" s="24"/>
      <c r="GO51" s="24"/>
      <c r="GP51" s="24"/>
      <c r="GQ51" s="24"/>
      <c r="GR51" s="24"/>
      <c r="GS51" s="24"/>
      <c r="GT51" s="24"/>
      <c r="GU51" s="24"/>
      <c r="GV51" s="24"/>
      <c r="GW51" s="24"/>
      <c r="GX51" s="24"/>
      <c r="GY51" s="24"/>
      <c r="GZ51" s="24"/>
      <c r="HA51" s="24"/>
      <c r="HB51" s="24"/>
      <c r="HC51" s="24"/>
      <c r="HD51" s="24"/>
      <c r="HE51" s="24"/>
      <c r="HF51" s="24"/>
      <c r="HG51" s="24"/>
      <c r="HH51" s="24"/>
      <c r="HI51" s="24"/>
      <c r="HJ51" s="24"/>
      <c r="HK51" s="24"/>
      <c r="HL51" s="24"/>
      <c r="HM51" s="24"/>
      <c r="HN51" s="24"/>
      <c r="HO51" s="24"/>
      <c r="HP51" s="24"/>
      <c r="HQ51" s="24"/>
      <c r="HR51" s="24"/>
      <c r="HS51" s="24"/>
      <c r="HT51" s="24"/>
      <c r="HU51" s="24"/>
      <c r="HV51" s="24"/>
      <c r="HW51" s="24"/>
      <c r="HX51" s="24"/>
      <c r="HY51" s="24"/>
      <c r="HZ51" s="24"/>
      <c r="IA51" s="24"/>
      <c r="IB51" s="24"/>
      <c r="IC51" s="24"/>
      <c r="ID51" s="24"/>
      <c r="IE51" s="24"/>
      <c r="IF51" s="24"/>
      <c r="IG51" s="24"/>
      <c r="IH51" s="24"/>
      <c r="II51" s="24"/>
      <c r="IJ51" s="24"/>
      <c r="IK51" s="24"/>
      <c r="IL51" s="24"/>
      <c r="IM51" s="24"/>
      <c r="IN51" s="24"/>
      <c r="IO51" s="24"/>
      <c r="IP51" s="24"/>
      <c r="IQ51" s="24"/>
      <c r="IR51" s="24"/>
      <c r="IS51" s="24"/>
      <c r="IT51" s="24"/>
      <c r="IU51" s="24"/>
      <c r="IV51" s="24"/>
      <c r="IW51" s="24"/>
      <c r="IX51" s="24"/>
      <c r="IY51" s="24"/>
      <c r="IZ51" s="24"/>
      <c r="JA51" s="24"/>
      <c r="JB51" s="24"/>
      <c r="JC51" s="24"/>
      <c r="JD51" s="24"/>
      <c r="JE51" s="24"/>
      <c r="JF51" s="24"/>
      <c r="JG51" s="24"/>
      <c r="JH51" s="24"/>
      <c r="JI51" s="24"/>
      <c r="JJ51" s="24"/>
      <c r="JK51" s="24"/>
      <c r="JL51" s="24"/>
      <c r="JM51" s="24"/>
      <c r="JN51" s="24"/>
      <c r="JO51" s="24"/>
      <c r="JP51" s="24"/>
      <c r="JQ51" s="24"/>
      <c r="JR51" s="24"/>
      <c r="JS51" s="24"/>
      <c r="JT51" s="24"/>
      <c r="JU51" s="24"/>
      <c r="JV51" s="24"/>
      <c r="JW51" s="24"/>
      <c r="JX51" s="24"/>
      <c r="JY51" s="24"/>
      <c r="JZ51" s="24"/>
      <c r="KA51" s="24"/>
      <c r="KB51" s="24"/>
      <c r="KC51" s="24"/>
      <c r="KD51" s="24"/>
      <c r="KE51" s="24"/>
      <c r="KF51" s="24"/>
      <c r="KG51" s="24"/>
      <c r="KH51" s="24"/>
      <c r="KI51" s="24"/>
      <c r="KJ51" s="24"/>
      <c r="KK51" s="24"/>
      <c r="KL51" s="24"/>
    </row>
    <row r="52" spans="1:298" s="26" customFormat="1" ht="15.95" hidden="1" customHeight="1" x14ac:dyDescent="0.3">
      <c r="A52" s="172"/>
      <c r="B52" s="172"/>
      <c r="C52" s="172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3"/>
      <c r="AI52" s="173"/>
      <c r="AJ52" s="173"/>
      <c r="AK52" s="173"/>
      <c r="AL52" s="173"/>
      <c r="AM52" s="173"/>
      <c r="AN52" s="173"/>
      <c r="AO52" s="173"/>
      <c r="AP52" s="173"/>
      <c r="AQ52" s="173"/>
      <c r="AR52" s="173"/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4"/>
      <c r="BZ52" s="172"/>
      <c r="CA52" s="172"/>
      <c r="CB52" s="24"/>
      <c r="CC52" s="25"/>
      <c r="CH52" s="243"/>
      <c r="CI52" s="241"/>
      <c r="CL52" s="49">
        <v>47</v>
      </c>
      <c r="CM52" s="50" t="e">
        <f t="shared" si="1"/>
        <v>#N/A</v>
      </c>
      <c r="CO52" s="208"/>
      <c r="CP52" s="207"/>
      <c r="CQ52" s="28"/>
      <c r="CR52" s="28"/>
      <c r="CS52" s="28"/>
      <c r="CT52" s="28"/>
      <c r="CU52" s="28"/>
      <c r="CW52" s="85"/>
      <c r="CX52" s="69" t="str">
        <f>견적관리자용!$S$14</f>
        <v>화물(0.6~1톤 미만)</v>
      </c>
      <c r="CY52" s="70">
        <v>0</v>
      </c>
      <c r="CZ52" s="125">
        <v>1.4999999999999999E-2</v>
      </c>
      <c r="DA52" s="125">
        <v>1.4999999999999999E-2</v>
      </c>
      <c r="DB52" s="125">
        <v>1.4999999999999999E-2</v>
      </c>
      <c r="DC52" s="125">
        <v>1.4999999999999999E-2</v>
      </c>
      <c r="DD52" s="72">
        <f t="shared" si="2"/>
        <v>0</v>
      </c>
      <c r="DE52" s="73">
        <v>49</v>
      </c>
      <c r="DF52" s="72">
        <f t="shared" si="0"/>
        <v>0</v>
      </c>
      <c r="DG52" s="166"/>
      <c r="DJ52" s="25"/>
      <c r="DK52" s="25"/>
      <c r="DL52" s="25"/>
      <c r="DM52" s="24"/>
      <c r="DN52" s="24"/>
      <c r="DO52" s="24"/>
      <c r="DP52" s="24"/>
      <c r="DQ52" s="24"/>
      <c r="DR52" s="24"/>
      <c r="DS52" s="24"/>
      <c r="DT52" s="24"/>
      <c r="DU52" s="24"/>
      <c r="DV52" s="24"/>
      <c r="DW52" s="24"/>
      <c r="DX52" s="24"/>
      <c r="DY52" s="24"/>
      <c r="DZ52" s="24"/>
      <c r="EA52" s="24"/>
      <c r="EB52" s="24"/>
      <c r="EC52" s="24"/>
      <c r="ED52" s="24"/>
      <c r="EE52" s="24"/>
      <c r="EF52" s="24"/>
      <c r="EG52" s="24"/>
      <c r="EH52" s="24"/>
      <c r="EI52" s="24"/>
      <c r="EJ52" s="24"/>
      <c r="EK52" s="24"/>
      <c r="EL52" s="24"/>
      <c r="EM52" s="24"/>
      <c r="EN52" s="24"/>
      <c r="EO52" s="24"/>
      <c r="EP52" s="24"/>
      <c r="EQ52" s="24"/>
      <c r="ER52" s="24"/>
      <c r="ES52" s="24"/>
      <c r="ET52" s="24"/>
      <c r="EU52" s="24"/>
      <c r="EV52" s="24"/>
      <c r="EW52" s="24"/>
      <c r="EX52" s="24"/>
      <c r="EY52" s="24"/>
      <c r="EZ52" s="24"/>
      <c r="FA52" s="24"/>
      <c r="FB52" s="24"/>
      <c r="FC52" s="24"/>
      <c r="FD52" s="24"/>
      <c r="FE52" s="24"/>
      <c r="FF52" s="24"/>
      <c r="FG52" s="24"/>
      <c r="FH52" s="24"/>
      <c r="FI52" s="24"/>
      <c r="FJ52" s="24"/>
      <c r="FK52" s="24"/>
      <c r="FL52" s="24"/>
      <c r="FM52" s="24"/>
      <c r="FN52" s="24"/>
      <c r="FO52" s="24"/>
      <c r="FP52" s="24"/>
      <c r="FQ52" s="24"/>
      <c r="FR52" s="24"/>
      <c r="FS52" s="24"/>
      <c r="FT52" s="24"/>
      <c r="FU52" s="24"/>
      <c r="FV52" s="24"/>
      <c r="FW52" s="24"/>
      <c r="FX52" s="24"/>
      <c r="FY52" s="24"/>
      <c r="FZ52" s="24"/>
      <c r="GA52" s="24"/>
      <c r="GB52" s="24"/>
      <c r="GC52" s="24"/>
      <c r="GD52" s="24"/>
      <c r="GE52" s="24"/>
      <c r="GF52" s="24"/>
      <c r="GG52" s="24"/>
      <c r="GH52" s="24"/>
      <c r="GI52" s="24"/>
      <c r="GJ52" s="24"/>
      <c r="GK52" s="24"/>
      <c r="GL52" s="24"/>
      <c r="GM52" s="24"/>
      <c r="GN52" s="24"/>
      <c r="GO52" s="24"/>
      <c r="GP52" s="24"/>
      <c r="GQ52" s="24"/>
      <c r="GR52" s="24"/>
      <c r="GS52" s="24"/>
      <c r="GT52" s="24"/>
      <c r="GU52" s="24"/>
      <c r="GV52" s="24"/>
      <c r="GW52" s="24"/>
      <c r="GX52" s="24"/>
      <c r="GY52" s="24"/>
      <c r="GZ52" s="24"/>
      <c r="HA52" s="24"/>
      <c r="HB52" s="24"/>
      <c r="HC52" s="24"/>
      <c r="HD52" s="24"/>
      <c r="HE52" s="24"/>
      <c r="HF52" s="24"/>
      <c r="HG52" s="24"/>
      <c r="HH52" s="24"/>
      <c r="HI52" s="24"/>
      <c r="HJ52" s="24"/>
      <c r="HK52" s="24"/>
      <c r="HL52" s="24"/>
      <c r="HM52" s="24"/>
      <c r="HN52" s="24"/>
      <c r="HO52" s="24"/>
      <c r="HP52" s="24"/>
      <c r="HQ52" s="24"/>
      <c r="HR52" s="24"/>
      <c r="HS52" s="24"/>
      <c r="HT52" s="24"/>
      <c r="HU52" s="24"/>
      <c r="HV52" s="24"/>
      <c r="HW52" s="24"/>
      <c r="HX52" s="24"/>
      <c r="HY52" s="24"/>
      <c r="HZ52" s="24"/>
      <c r="IA52" s="24"/>
      <c r="IB52" s="24"/>
      <c r="IC52" s="24"/>
      <c r="ID52" s="24"/>
      <c r="IE52" s="24"/>
      <c r="IF52" s="24"/>
      <c r="IG52" s="24"/>
      <c r="IH52" s="24"/>
      <c r="II52" s="24"/>
      <c r="IJ52" s="24"/>
      <c r="IK52" s="24"/>
      <c r="IL52" s="24"/>
      <c r="IM52" s="24"/>
      <c r="IN52" s="24"/>
      <c r="IO52" s="24"/>
      <c r="IP52" s="24"/>
      <c r="IQ52" s="24"/>
      <c r="IR52" s="24"/>
      <c r="IS52" s="24"/>
      <c r="IT52" s="24"/>
      <c r="IU52" s="24"/>
      <c r="IV52" s="24"/>
      <c r="IW52" s="24"/>
      <c r="IX52" s="24"/>
      <c r="IY52" s="24"/>
      <c r="IZ52" s="24"/>
      <c r="JA52" s="24"/>
      <c r="JB52" s="24"/>
      <c r="JC52" s="24"/>
      <c r="JD52" s="24"/>
      <c r="JE52" s="24"/>
      <c r="JF52" s="24"/>
      <c r="JG52" s="24"/>
      <c r="JH52" s="24"/>
      <c r="JI52" s="24"/>
      <c r="JJ52" s="24"/>
      <c r="JK52" s="24"/>
      <c r="JL52" s="24"/>
      <c r="JM52" s="24"/>
      <c r="JN52" s="24"/>
      <c r="JO52" s="24"/>
      <c r="JP52" s="24"/>
      <c r="JQ52" s="24"/>
      <c r="JR52" s="24"/>
      <c r="JS52" s="24"/>
      <c r="JT52" s="24"/>
      <c r="JU52" s="24"/>
      <c r="JV52" s="24"/>
      <c r="JW52" s="24"/>
      <c r="JX52" s="24"/>
      <c r="JY52" s="24"/>
      <c r="JZ52" s="24"/>
      <c r="KA52" s="24"/>
      <c r="KB52" s="24"/>
      <c r="KC52" s="24"/>
      <c r="KD52" s="24"/>
      <c r="KE52" s="24"/>
      <c r="KF52" s="24"/>
      <c r="KG52" s="24"/>
      <c r="KH52" s="24"/>
      <c r="KI52" s="24"/>
      <c r="KJ52" s="24"/>
      <c r="KK52" s="24"/>
      <c r="KL52" s="24"/>
    </row>
    <row r="53" spans="1:298" s="26" customFormat="1" ht="15.95" hidden="1" customHeight="1" x14ac:dyDescent="0.3">
      <c r="A53" s="172"/>
      <c r="B53" s="172"/>
      <c r="C53" s="172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  <c r="AG53" s="173"/>
      <c r="AH53" s="173"/>
      <c r="AI53" s="173"/>
      <c r="AJ53" s="173"/>
      <c r="AK53" s="173"/>
      <c r="AL53" s="173"/>
      <c r="AM53" s="173"/>
      <c r="AN53" s="173"/>
      <c r="AO53" s="173"/>
      <c r="AP53" s="173"/>
      <c r="AQ53" s="173"/>
      <c r="AR53" s="173"/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4"/>
      <c r="BZ53" s="172"/>
      <c r="CA53" s="172"/>
      <c r="CB53" s="24"/>
      <c r="CC53" s="25"/>
      <c r="CH53" s="243"/>
      <c r="CI53" s="241"/>
      <c r="CL53" s="49">
        <v>48</v>
      </c>
      <c r="CM53" s="50" t="e">
        <f t="shared" si="1"/>
        <v>#N/A</v>
      </c>
      <c r="CO53" s="208"/>
      <c r="CP53" s="207"/>
      <c r="CQ53" s="28"/>
      <c r="CR53" s="28"/>
      <c r="CS53" s="28"/>
      <c r="CT53" s="28"/>
      <c r="CU53" s="28"/>
      <c r="CW53" s="85"/>
      <c r="CX53" s="69" t="str">
        <f>견적관리자용!$S$15</f>
        <v>화물(1~2.5톤 미만)</v>
      </c>
      <c r="CY53" s="70">
        <v>0</v>
      </c>
      <c r="CZ53" s="125">
        <v>1.4999999999999999E-2</v>
      </c>
      <c r="DA53" s="125">
        <v>1.4999999999999999E-2</v>
      </c>
      <c r="DB53" s="125">
        <v>1.4999999999999999E-2</v>
      </c>
      <c r="DC53" s="125">
        <v>1.4999999999999999E-2</v>
      </c>
      <c r="DD53" s="72">
        <f t="shared" si="2"/>
        <v>0</v>
      </c>
      <c r="DE53" s="73">
        <v>50</v>
      </c>
      <c r="DF53" s="72">
        <f t="shared" si="0"/>
        <v>0</v>
      </c>
      <c r="DG53" s="166"/>
      <c r="DJ53" s="25"/>
      <c r="DK53" s="25"/>
      <c r="DL53" s="25"/>
      <c r="DM53" s="24"/>
      <c r="DN53" s="24"/>
      <c r="DO53" s="24"/>
      <c r="DP53" s="24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4"/>
      <c r="EC53" s="24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4"/>
      <c r="EP53" s="24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4"/>
      <c r="FC53" s="24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4"/>
      <c r="FP53" s="24"/>
      <c r="FQ53" s="24"/>
      <c r="FR53" s="24"/>
      <c r="FS53" s="24"/>
      <c r="FT53" s="24"/>
      <c r="FU53" s="24"/>
      <c r="FV53" s="24"/>
      <c r="FW53" s="24"/>
      <c r="FX53" s="24"/>
      <c r="FY53" s="24"/>
      <c r="FZ53" s="24"/>
      <c r="GA53" s="24"/>
      <c r="GB53" s="24"/>
      <c r="GC53" s="24"/>
      <c r="GD53" s="24"/>
      <c r="GE53" s="24"/>
      <c r="GF53" s="24"/>
      <c r="GG53" s="24"/>
      <c r="GH53" s="24"/>
      <c r="GI53" s="24"/>
      <c r="GJ53" s="24"/>
      <c r="GK53" s="24"/>
      <c r="GL53" s="24"/>
      <c r="GM53" s="24"/>
      <c r="GN53" s="24"/>
      <c r="GO53" s="24"/>
      <c r="GP53" s="24"/>
      <c r="GQ53" s="24"/>
      <c r="GR53" s="24"/>
      <c r="GS53" s="24"/>
      <c r="GT53" s="24"/>
      <c r="GU53" s="24"/>
      <c r="GV53" s="24"/>
      <c r="GW53" s="24"/>
      <c r="GX53" s="24"/>
      <c r="GY53" s="24"/>
      <c r="GZ53" s="24"/>
      <c r="HA53" s="24"/>
      <c r="HB53" s="24"/>
      <c r="HC53" s="24"/>
      <c r="HD53" s="24"/>
      <c r="HE53" s="24"/>
      <c r="HF53" s="24"/>
      <c r="HG53" s="24"/>
      <c r="HH53" s="24"/>
      <c r="HI53" s="24"/>
      <c r="HJ53" s="24"/>
      <c r="HK53" s="24"/>
      <c r="HL53" s="24"/>
      <c r="HM53" s="24"/>
      <c r="HN53" s="24"/>
      <c r="HO53" s="24"/>
      <c r="HP53" s="24"/>
      <c r="HQ53" s="24"/>
      <c r="HR53" s="24"/>
      <c r="HS53" s="24"/>
      <c r="HT53" s="24"/>
      <c r="HU53" s="24"/>
      <c r="HV53" s="24"/>
      <c r="HW53" s="24"/>
      <c r="HX53" s="24"/>
      <c r="HY53" s="24"/>
      <c r="HZ53" s="24"/>
      <c r="IA53" s="24"/>
      <c r="IB53" s="24"/>
      <c r="IC53" s="24"/>
      <c r="ID53" s="24"/>
      <c r="IE53" s="24"/>
      <c r="IF53" s="24"/>
      <c r="IG53" s="24"/>
      <c r="IH53" s="24"/>
      <c r="II53" s="24"/>
      <c r="IJ53" s="24"/>
      <c r="IK53" s="24"/>
      <c r="IL53" s="24"/>
      <c r="IM53" s="24"/>
      <c r="IN53" s="24"/>
      <c r="IO53" s="24"/>
      <c r="IP53" s="24"/>
      <c r="IQ53" s="24"/>
      <c r="IR53" s="24"/>
      <c r="IS53" s="24"/>
      <c r="IT53" s="24"/>
      <c r="IU53" s="24"/>
      <c r="IV53" s="24"/>
      <c r="IW53" s="24"/>
      <c r="IX53" s="24"/>
      <c r="IY53" s="24"/>
      <c r="IZ53" s="24"/>
      <c r="JA53" s="24"/>
      <c r="JB53" s="24"/>
      <c r="JC53" s="24"/>
      <c r="JD53" s="24"/>
      <c r="JE53" s="24"/>
      <c r="JF53" s="24"/>
      <c r="JG53" s="24"/>
      <c r="JH53" s="24"/>
      <c r="JI53" s="24"/>
      <c r="JJ53" s="24"/>
      <c r="JK53" s="24"/>
      <c r="JL53" s="24"/>
      <c r="JM53" s="24"/>
      <c r="JN53" s="24"/>
      <c r="JO53" s="24"/>
      <c r="JP53" s="24"/>
      <c r="JQ53" s="24"/>
      <c r="JR53" s="24"/>
      <c r="JS53" s="24"/>
      <c r="JT53" s="24"/>
      <c r="JU53" s="24"/>
      <c r="JV53" s="24"/>
      <c r="JW53" s="24"/>
      <c r="JX53" s="24"/>
      <c r="JY53" s="24"/>
      <c r="JZ53" s="24"/>
      <c r="KA53" s="24"/>
      <c r="KB53" s="24"/>
      <c r="KC53" s="24"/>
      <c r="KD53" s="24"/>
      <c r="KE53" s="24"/>
      <c r="KF53" s="24"/>
      <c r="KG53" s="24"/>
      <c r="KH53" s="24"/>
      <c r="KI53" s="24"/>
      <c r="KJ53" s="24"/>
      <c r="KK53" s="24"/>
      <c r="KL53" s="24"/>
    </row>
    <row r="54" spans="1:298" s="26" customFormat="1" ht="15.95" hidden="1" customHeight="1" x14ac:dyDescent="0.3">
      <c r="A54" s="172"/>
      <c r="B54" s="172"/>
      <c r="C54" s="172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  <c r="AG54" s="173"/>
      <c r="AH54" s="173"/>
      <c r="AI54" s="173"/>
      <c r="AJ54" s="173"/>
      <c r="AK54" s="173"/>
      <c r="AL54" s="173"/>
      <c r="AM54" s="173"/>
      <c r="AN54" s="173"/>
      <c r="AO54" s="173"/>
      <c r="AP54" s="173"/>
      <c r="AQ54" s="173"/>
      <c r="AR54" s="173"/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4"/>
      <c r="BZ54" s="172"/>
      <c r="CA54" s="172"/>
      <c r="CB54" s="24"/>
      <c r="CC54" s="25"/>
      <c r="CH54" s="258"/>
      <c r="CI54" s="241"/>
      <c r="CL54" s="49">
        <v>49</v>
      </c>
      <c r="CM54" s="50">
        <f t="shared" si="1"/>
        <v>0</v>
      </c>
      <c r="CO54" s="248"/>
      <c r="CP54" s="228"/>
      <c r="CQ54" s="28"/>
      <c r="CR54" s="28"/>
      <c r="CS54" s="28"/>
      <c r="CT54" s="28"/>
      <c r="CU54" s="28"/>
      <c r="CW54" s="85"/>
      <c r="CX54" s="69" t="str">
        <f>견적관리자용!$S$16</f>
        <v>화물(2.5~4.6톤 미만)</v>
      </c>
      <c r="CY54" s="70">
        <v>0</v>
      </c>
      <c r="CZ54" s="125">
        <v>1.4999999999999999E-2</v>
      </c>
      <c r="DA54" s="125">
        <v>1.4999999999999999E-2</v>
      </c>
      <c r="DB54" s="125">
        <v>1.4999999999999999E-2</v>
      </c>
      <c r="DC54" s="125">
        <v>1.4999999999999999E-2</v>
      </c>
      <c r="DD54" s="72">
        <f t="shared" si="2"/>
        <v>0</v>
      </c>
      <c r="DE54" s="73">
        <v>51</v>
      </c>
      <c r="DF54" s="72">
        <f t="shared" si="0"/>
        <v>0</v>
      </c>
      <c r="DG54" s="166"/>
      <c r="DJ54" s="25"/>
      <c r="DK54" s="25"/>
      <c r="DL54" s="25"/>
      <c r="DM54" s="24"/>
      <c r="DN54" s="24"/>
      <c r="DO54" s="24"/>
      <c r="DP54" s="24"/>
      <c r="DQ54" s="24"/>
      <c r="DR54" s="24"/>
      <c r="DS54" s="24"/>
      <c r="DT54" s="24"/>
      <c r="DU54" s="24"/>
      <c r="DV54" s="24"/>
      <c r="DW54" s="24"/>
      <c r="DX54" s="24"/>
      <c r="DY54" s="24"/>
      <c r="DZ54" s="24"/>
      <c r="EA54" s="24"/>
      <c r="EB54" s="24"/>
      <c r="EC54" s="24"/>
      <c r="ED54" s="24"/>
      <c r="EE54" s="24"/>
      <c r="EF54" s="24"/>
      <c r="EG54" s="24"/>
      <c r="EH54" s="24"/>
      <c r="EI54" s="24"/>
      <c r="EJ54" s="24"/>
      <c r="EK54" s="24"/>
      <c r="EL54" s="24"/>
      <c r="EM54" s="24"/>
      <c r="EN54" s="24"/>
      <c r="EO54" s="24"/>
      <c r="EP54" s="24"/>
      <c r="EQ54" s="24"/>
      <c r="ER54" s="24"/>
      <c r="ES54" s="24"/>
      <c r="ET54" s="24"/>
      <c r="EU54" s="24"/>
      <c r="EV54" s="24"/>
      <c r="EW54" s="24"/>
      <c r="EX54" s="24"/>
      <c r="EY54" s="24"/>
      <c r="EZ54" s="24"/>
      <c r="FA54" s="24"/>
      <c r="FB54" s="24"/>
      <c r="FC54" s="24"/>
      <c r="FD54" s="24"/>
      <c r="FE54" s="24"/>
      <c r="FF54" s="24"/>
      <c r="FG54" s="24"/>
      <c r="FH54" s="24"/>
      <c r="FI54" s="24"/>
      <c r="FJ54" s="24"/>
      <c r="FK54" s="24"/>
      <c r="FL54" s="24"/>
      <c r="FM54" s="24"/>
      <c r="FN54" s="24"/>
      <c r="FO54" s="24"/>
      <c r="FP54" s="24"/>
      <c r="FQ54" s="24"/>
      <c r="FR54" s="24"/>
      <c r="FS54" s="24"/>
      <c r="FT54" s="24"/>
      <c r="FU54" s="24"/>
      <c r="FV54" s="24"/>
      <c r="FW54" s="24"/>
      <c r="FX54" s="24"/>
      <c r="FY54" s="24"/>
      <c r="FZ54" s="24"/>
      <c r="GA54" s="24"/>
      <c r="GB54" s="24"/>
      <c r="GC54" s="24"/>
      <c r="GD54" s="24"/>
      <c r="GE54" s="24"/>
      <c r="GF54" s="24"/>
      <c r="GG54" s="24"/>
      <c r="GH54" s="24"/>
      <c r="GI54" s="24"/>
      <c r="GJ54" s="24"/>
      <c r="GK54" s="24"/>
      <c r="GL54" s="24"/>
      <c r="GM54" s="24"/>
      <c r="GN54" s="24"/>
      <c r="GO54" s="24"/>
      <c r="GP54" s="24"/>
      <c r="GQ54" s="24"/>
      <c r="GR54" s="24"/>
      <c r="GS54" s="24"/>
      <c r="GT54" s="24"/>
      <c r="GU54" s="24"/>
      <c r="GV54" s="24"/>
      <c r="GW54" s="24"/>
      <c r="GX54" s="24"/>
      <c r="GY54" s="24"/>
      <c r="GZ54" s="24"/>
      <c r="HA54" s="24"/>
      <c r="HB54" s="24"/>
      <c r="HC54" s="24"/>
      <c r="HD54" s="24"/>
      <c r="HE54" s="24"/>
      <c r="HF54" s="24"/>
      <c r="HG54" s="24"/>
      <c r="HH54" s="24"/>
      <c r="HI54" s="24"/>
      <c r="HJ54" s="24"/>
      <c r="HK54" s="24"/>
      <c r="HL54" s="24"/>
      <c r="HM54" s="24"/>
      <c r="HN54" s="24"/>
      <c r="HO54" s="24"/>
      <c r="HP54" s="24"/>
      <c r="HQ54" s="24"/>
      <c r="HR54" s="24"/>
      <c r="HS54" s="24"/>
      <c r="HT54" s="24"/>
      <c r="HU54" s="24"/>
      <c r="HV54" s="24"/>
      <c r="HW54" s="24"/>
      <c r="HX54" s="24"/>
      <c r="HY54" s="24"/>
      <c r="HZ54" s="24"/>
      <c r="IA54" s="24"/>
      <c r="IB54" s="24"/>
      <c r="IC54" s="24"/>
      <c r="ID54" s="24"/>
      <c r="IE54" s="24"/>
      <c r="IF54" s="24"/>
      <c r="IG54" s="24"/>
      <c r="IH54" s="24"/>
      <c r="II54" s="24"/>
      <c r="IJ54" s="24"/>
      <c r="IK54" s="24"/>
      <c r="IL54" s="24"/>
      <c r="IM54" s="24"/>
      <c r="IN54" s="24"/>
      <c r="IO54" s="24"/>
      <c r="IP54" s="24"/>
      <c r="IQ54" s="24"/>
      <c r="IR54" s="24"/>
      <c r="IS54" s="24"/>
      <c r="IT54" s="24"/>
      <c r="IU54" s="24"/>
      <c r="IV54" s="24"/>
      <c r="IW54" s="24"/>
      <c r="IX54" s="24"/>
      <c r="IY54" s="24"/>
      <c r="IZ54" s="24"/>
      <c r="JA54" s="24"/>
      <c r="JB54" s="24"/>
      <c r="JC54" s="24"/>
      <c r="JD54" s="24"/>
      <c r="JE54" s="24"/>
      <c r="JF54" s="24"/>
      <c r="JG54" s="24"/>
      <c r="JH54" s="24"/>
      <c r="JI54" s="24"/>
      <c r="JJ54" s="24"/>
      <c r="JK54" s="24"/>
      <c r="JL54" s="24"/>
      <c r="JM54" s="24"/>
      <c r="JN54" s="24"/>
      <c r="JO54" s="24"/>
      <c r="JP54" s="24"/>
      <c r="JQ54" s="24"/>
      <c r="JR54" s="24"/>
      <c r="JS54" s="24"/>
      <c r="JT54" s="24"/>
      <c r="JU54" s="24"/>
      <c r="JV54" s="24"/>
      <c r="JW54" s="24"/>
      <c r="JX54" s="24"/>
      <c r="JY54" s="24"/>
      <c r="JZ54" s="24"/>
      <c r="KA54" s="24"/>
      <c r="KB54" s="24"/>
      <c r="KC54" s="24"/>
      <c r="KD54" s="24"/>
      <c r="KE54" s="24"/>
      <c r="KF54" s="24"/>
      <c r="KG54" s="24"/>
      <c r="KH54" s="24"/>
      <c r="KI54" s="24"/>
      <c r="KJ54" s="24"/>
      <c r="KK54" s="24"/>
      <c r="KL54" s="24"/>
    </row>
    <row r="55" spans="1:298" s="26" customFormat="1" ht="15.95" hidden="1" customHeight="1" x14ac:dyDescent="0.3">
      <c r="A55" s="172"/>
      <c r="B55" s="172"/>
      <c r="C55" s="172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  <c r="AG55" s="173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/>
      <c r="AR55" s="173"/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4"/>
      <c r="BZ55" s="172"/>
      <c r="CA55" s="172"/>
      <c r="CB55" s="24"/>
      <c r="CC55" s="25"/>
      <c r="CH55" s="227"/>
      <c r="CI55" s="228"/>
      <c r="CL55" s="49">
        <v>50</v>
      </c>
      <c r="CM55" s="50">
        <f t="shared" si="1"/>
        <v>0</v>
      </c>
      <c r="CO55" s="29"/>
      <c r="CP55" s="28"/>
      <c r="CQ55" s="28"/>
      <c r="CR55" s="28"/>
      <c r="CS55" s="28"/>
      <c r="CT55" s="28"/>
      <c r="CU55" s="28"/>
      <c r="CW55" s="85"/>
      <c r="CX55" s="69" t="str">
        <f>견적관리자용!$S$17</f>
        <v>화물(4.6톤 이상)</v>
      </c>
      <c r="CY55" s="70">
        <v>0</v>
      </c>
      <c r="CZ55" s="180">
        <v>1.4999999999999999E-2</v>
      </c>
      <c r="DA55" s="180">
        <v>1.4999999999999999E-2</v>
      </c>
      <c r="DB55" s="180">
        <v>1.4999999999999999E-2</v>
      </c>
      <c r="DC55" s="180">
        <v>1.4999999999999999E-2</v>
      </c>
      <c r="DD55" s="72">
        <f t="shared" si="2"/>
        <v>0</v>
      </c>
      <c r="DE55" s="73">
        <v>52</v>
      </c>
      <c r="DF55" s="72">
        <f t="shared" si="0"/>
        <v>0</v>
      </c>
      <c r="DG55" s="166"/>
      <c r="DJ55" s="25"/>
      <c r="DK55" s="25"/>
      <c r="DL55" s="25"/>
      <c r="DM55" s="24"/>
      <c r="DN55" s="24"/>
      <c r="DO55" s="24"/>
      <c r="DP55" s="24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4"/>
      <c r="EC55" s="24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4"/>
      <c r="EP55" s="24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4"/>
      <c r="FC55" s="24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4"/>
      <c r="FP55" s="24"/>
      <c r="FQ55" s="24"/>
      <c r="FR55" s="24"/>
      <c r="FS55" s="24"/>
      <c r="FT55" s="24"/>
      <c r="FU55" s="24"/>
      <c r="FV55" s="24"/>
      <c r="FW55" s="24"/>
      <c r="FX55" s="24"/>
      <c r="FY55" s="24"/>
      <c r="FZ55" s="24"/>
      <c r="GA55" s="24"/>
      <c r="GB55" s="24"/>
      <c r="GC55" s="24"/>
      <c r="GD55" s="24"/>
      <c r="GE55" s="24"/>
      <c r="GF55" s="24"/>
      <c r="GG55" s="24"/>
      <c r="GH55" s="24"/>
      <c r="GI55" s="24"/>
      <c r="GJ55" s="24"/>
      <c r="GK55" s="24"/>
      <c r="GL55" s="24"/>
      <c r="GM55" s="24"/>
      <c r="GN55" s="24"/>
      <c r="GO55" s="24"/>
      <c r="GP55" s="24"/>
      <c r="GQ55" s="24"/>
      <c r="GR55" s="24"/>
      <c r="GS55" s="24"/>
      <c r="GT55" s="24"/>
      <c r="GU55" s="24"/>
      <c r="GV55" s="24"/>
      <c r="GW55" s="24"/>
      <c r="GX55" s="24"/>
      <c r="GY55" s="24"/>
      <c r="GZ55" s="24"/>
      <c r="HA55" s="24"/>
      <c r="HB55" s="24"/>
      <c r="HC55" s="24"/>
      <c r="HD55" s="24"/>
      <c r="HE55" s="24"/>
      <c r="HF55" s="24"/>
      <c r="HG55" s="24"/>
      <c r="HH55" s="24"/>
      <c r="HI55" s="24"/>
      <c r="HJ55" s="24"/>
      <c r="HK55" s="24"/>
      <c r="HL55" s="24"/>
      <c r="HM55" s="24"/>
      <c r="HN55" s="24"/>
      <c r="HO55" s="24"/>
      <c r="HP55" s="24"/>
      <c r="HQ55" s="24"/>
      <c r="HR55" s="24"/>
      <c r="HS55" s="24"/>
      <c r="HT55" s="24"/>
      <c r="HU55" s="24"/>
      <c r="HV55" s="24"/>
      <c r="HW55" s="24"/>
      <c r="HX55" s="24"/>
      <c r="HY55" s="24"/>
      <c r="HZ55" s="24"/>
      <c r="IA55" s="24"/>
      <c r="IB55" s="24"/>
      <c r="IC55" s="24"/>
      <c r="ID55" s="24"/>
      <c r="IE55" s="24"/>
      <c r="IF55" s="24"/>
      <c r="IG55" s="24"/>
      <c r="IH55" s="24"/>
      <c r="II55" s="24"/>
      <c r="IJ55" s="24"/>
      <c r="IK55" s="24"/>
      <c r="IL55" s="24"/>
      <c r="IM55" s="24"/>
      <c r="IN55" s="24"/>
      <c r="IO55" s="24"/>
      <c r="IP55" s="24"/>
      <c r="IQ55" s="24"/>
      <c r="IR55" s="24"/>
      <c r="IS55" s="24"/>
      <c r="IT55" s="24"/>
      <c r="IU55" s="24"/>
      <c r="IV55" s="24"/>
      <c r="IW55" s="24"/>
      <c r="IX55" s="24"/>
      <c r="IY55" s="24"/>
      <c r="IZ55" s="24"/>
      <c r="JA55" s="24"/>
      <c r="JB55" s="24"/>
      <c r="JC55" s="24"/>
      <c r="JD55" s="24"/>
      <c r="JE55" s="24"/>
      <c r="JF55" s="24"/>
      <c r="JG55" s="24"/>
      <c r="JH55" s="24"/>
      <c r="JI55" s="24"/>
      <c r="JJ55" s="24"/>
      <c r="JK55" s="24"/>
      <c r="JL55" s="24"/>
      <c r="JM55" s="24"/>
      <c r="JN55" s="24"/>
      <c r="JO55" s="24"/>
      <c r="JP55" s="24"/>
      <c r="JQ55" s="24"/>
      <c r="JR55" s="24"/>
      <c r="JS55" s="24"/>
      <c r="JT55" s="24"/>
      <c r="JU55" s="24"/>
      <c r="JV55" s="24"/>
      <c r="JW55" s="24"/>
      <c r="JX55" s="24"/>
      <c r="JY55" s="24"/>
      <c r="JZ55" s="24"/>
      <c r="KA55" s="24"/>
      <c r="KB55" s="24"/>
      <c r="KC55" s="24"/>
      <c r="KD55" s="24"/>
      <c r="KE55" s="24"/>
      <c r="KF55" s="24"/>
      <c r="KG55" s="24"/>
      <c r="KH55" s="24"/>
      <c r="KI55" s="24"/>
      <c r="KJ55" s="24"/>
      <c r="KK55" s="24"/>
      <c r="KL55" s="24"/>
    </row>
    <row r="56" spans="1:298" s="26" customFormat="1" ht="15.95" hidden="1" customHeight="1" x14ac:dyDescent="0.3">
      <c r="A56" s="172"/>
      <c r="B56" s="172"/>
      <c r="C56" s="172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  <c r="AG56" s="173"/>
      <c r="AH56" s="173"/>
      <c r="AI56" s="173"/>
      <c r="AJ56" s="173"/>
      <c r="AK56" s="173"/>
      <c r="AL56" s="173"/>
      <c r="AM56" s="173"/>
      <c r="AN56" s="173"/>
      <c r="AO56" s="173"/>
      <c r="AP56" s="173"/>
      <c r="AQ56" s="173"/>
      <c r="AR56" s="173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4"/>
      <c r="BZ56" s="172"/>
      <c r="CA56" s="172"/>
      <c r="CB56" s="24"/>
      <c r="CC56" s="25"/>
      <c r="CH56" s="183" t="s">
        <v>151</v>
      </c>
      <c r="CI56" s="184" t="e">
        <f>VLOOKUP(에이전트수수료입력!$G$10,할부오토론!$CH$57:$CI$59,2,FALSE)</f>
        <v>#N/A</v>
      </c>
      <c r="CL56" s="49">
        <v>51</v>
      </c>
      <c r="CM56" s="50">
        <f t="shared" si="1"/>
        <v>0</v>
      </c>
      <c r="CO56" s="29"/>
      <c r="CP56" s="28"/>
      <c r="CQ56" s="28"/>
      <c r="CR56" s="28"/>
      <c r="CS56" s="28"/>
      <c r="CT56" s="28"/>
      <c r="CU56" s="28"/>
      <c r="CW56" s="58" t="s">
        <v>101</v>
      </c>
      <c r="CX56" s="59" t="str">
        <f>견적관리자용!$S$8</f>
        <v>승용일반</v>
      </c>
      <c r="CY56" s="60">
        <v>0</v>
      </c>
      <c r="CZ56" s="125">
        <v>0.04</v>
      </c>
      <c r="DA56" s="125">
        <v>0.04</v>
      </c>
      <c r="DB56" s="125">
        <v>0.04</v>
      </c>
      <c r="DC56" s="125">
        <v>0.05</v>
      </c>
      <c r="DD56" s="62">
        <f t="shared" si="2"/>
        <v>0</v>
      </c>
      <c r="DE56" s="63">
        <v>53</v>
      </c>
      <c r="DF56" s="62">
        <f t="shared" si="0"/>
        <v>0</v>
      </c>
      <c r="DG56" s="163">
        <f>SUM(DF56:DF65)</f>
        <v>0</v>
      </c>
      <c r="DJ56" s="25"/>
      <c r="DK56" s="25"/>
      <c r="DL56" s="25"/>
      <c r="DM56" s="24"/>
      <c r="DN56" s="24"/>
      <c r="DO56" s="24"/>
      <c r="DP56" s="24"/>
      <c r="DQ56" s="24"/>
      <c r="DR56" s="24"/>
      <c r="DS56" s="24"/>
      <c r="DT56" s="24"/>
      <c r="DU56" s="24"/>
      <c r="DV56" s="24"/>
      <c r="DW56" s="24"/>
      <c r="DX56" s="24"/>
      <c r="DY56" s="24"/>
      <c r="DZ56" s="24"/>
      <c r="EA56" s="24"/>
      <c r="EB56" s="24"/>
      <c r="EC56" s="24"/>
      <c r="ED56" s="24"/>
      <c r="EE56" s="24"/>
      <c r="EF56" s="24"/>
      <c r="EG56" s="24"/>
      <c r="EH56" s="24"/>
      <c r="EI56" s="24"/>
      <c r="EJ56" s="24"/>
      <c r="EK56" s="24"/>
      <c r="EL56" s="24"/>
      <c r="EM56" s="24"/>
      <c r="EN56" s="24"/>
      <c r="EO56" s="24"/>
      <c r="EP56" s="24"/>
      <c r="EQ56" s="24"/>
      <c r="ER56" s="24"/>
      <c r="ES56" s="24"/>
      <c r="ET56" s="24"/>
      <c r="EU56" s="24"/>
      <c r="EV56" s="24"/>
      <c r="EW56" s="24"/>
      <c r="EX56" s="24"/>
      <c r="EY56" s="24"/>
      <c r="EZ56" s="24"/>
      <c r="FA56" s="24"/>
      <c r="FB56" s="24"/>
      <c r="FC56" s="24"/>
      <c r="FD56" s="24"/>
      <c r="FE56" s="24"/>
      <c r="FF56" s="24"/>
      <c r="FG56" s="24"/>
      <c r="FH56" s="24"/>
      <c r="FI56" s="24"/>
      <c r="FJ56" s="24"/>
      <c r="FK56" s="24"/>
      <c r="FL56" s="24"/>
      <c r="FM56" s="24"/>
      <c r="FN56" s="24"/>
      <c r="FO56" s="24"/>
      <c r="FP56" s="24"/>
      <c r="FQ56" s="24"/>
      <c r="FR56" s="24"/>
      <c r="FS56" s="24"/>
      <c r="FT56" s="24"/>
      <c r="FU56" s="24"/>
      <c r="FV56" s="24"/>
      <c r="FW56" s="24"/>
      <c r="FX56" s="24"/>
      <c r="FY56" s="24"/>
      <c r="FZ56" s="24"/>
      <c r="GA56" s="24"/>
      <c r="GB56" s="24"/>
      <c r="GC56" s="24"/>
      <c r="GD56" s="24"/>
      <c r="GE56" s="24"/>
      <c r="GF56" s="24"/>
      <c r="GG56" s="24"/>
      <c r="GH56" s="24"/>
      <c r="GI56" s="24"/>
      <c r="GJ56" s="24"/>
      <c r="GK56" s="24"/>
      <c r="GL56" s="24"/>
      <c r="GM56" s="24"/>
      <c r="GN56" s="24"/>
      <c r="GO56" s="24"/>
      <c r="GP56" s="24"/>
      <c r="GQ56" s="24"/>
      <c r="GR56" s="24"/>
      <c r="GS56" s="24"/>
      <c r="GT56" s="24"/>
      <c r="GU56" s="24"/>
      <c r="GV56" s="24"/>
      <c r="GW56" s="24"/>
      <c r="GX56" s="24"/>
      <c r="GY56" s="24"/>
      <c r="GZ56" s="24"/>
      <c r="HA56" s="24"/>
      <c r="HB56" s="24"/>
      <c r="HC56" s="24"/>
      <c r="HD56" s="24"/>
      <c r="HE56" s="24"/>
      <c r="HF56" s="24"/>
      <c r="HG56" s="24"/>
      <c r="HH56" s="24"/>
      <c r="HI56" s="24"/>
      <c r="HJ56" s="24"/>
      <c r="HK56" s="24"/>
      <c r="HL56" s="24"/>
      <c r="HM56" s="24"/>
      <c r="HN56" s="24"/>
      <c r="HO56" s="24"/>
      <c r="HP56" s="24"/>
      <c r="HQ56" s="24"/>
      <c r="HR56" s="24"/>
      <c r="HS56" s="24"/>
      <c r="HT56" s="24"/>
      <c r="HU56" s="24"/>
      <c r="HV56" s="24"/>
      <c r="HW56" s="24"/>
      <c r="HX56" s="24"/>
      <c r="HY56" s="24"/>
      <c r="HZ56" s="24"/>
      <c r="IA56" s="24"/>
      <c r="IB56" s="24"/>
      <c r="IC56" s="24"/>
      <c r="ID56" s="24"/>
      <c r="IE56" s="24"/>
      <c r="IF56" s="24"/>
      <c r="IG56" s="24"/>
      <c r="IH56" s="24"/>
      <c r="II56" s="24"/>
      <c r="IJ56" s="24"/>
      <c r="IK56" s="24"/>
      <c r="IL56" s="24"/>
      <c r="IM56" s="24"/>
      <c r="IN56" s="24"/>
      <c r="IO56" s="24"/>
      <c r="IP56" s="24"/>
      <c r="IQ56" s="24"/>
      <c r="IR56" s="24"/>
      <c r="IS56" s="24"/>
      <c r="IT56" s="24"/>
      <c r="IU56" s="24"/>
      <c r="IV56" s="24"/>
      <c r="IW56" s="24"/>
      <c r="IX56" s="24"/>
      <c r="IY56" s="24"/>
      <c r="IZ56" s="24"/>
      <c r="JA56" s="24"/>
      <c r="JB56" s="24"/>
      <c r="JC56" s="24"/>
      <c r="JD56" s="24"/>
      <c r="JE56" s="24"/>
      <c r="JF56" s="24"/>
      <c r="JG56" s="24"/>
      <c r="JH56" s="24"/>
      <c r="JI56" s="24"/>
      <c r="JJ56" s="24"/>
      <c r="JK56" s="24"/>
      <c r="JL56" s="24"/>
      <c r="JM56" s="24"/>
      <c r="JN56" s="24"/>
      <c r="JO56" s="24"/>
      <c r="JP56" s="24"/>
      <c r="JQ56" s="24"/>
      <c r="JR56" s="24"/>
      <c r="JS56" s="24"/>
      <c r="JT56" s="24"/>
      <c r="JU56" s="24"/>
      <c r="JV56" s="24"/>
      <c r="JW56" s="24"/>
      <c r="JX56" s="24"/>
      <c r="JY56" s="24"/>
      <c r="JZ56" s="24"/>
      <c r="KA56" s="24"/>
      <c r="KB56" s="24"/>
      <c r="KC56" s="24"/>
      <c r="KD56" s="24"/>
      <c r="KE56" s="24"/>
      <c r="KF56" s="24"/>
      <c r="KG56" s="24"/>
      <c r="KH56" s="24"/>
      <c r="KI56" s="24"/>
      <c r="KJ56" s="24"/>
      <c r="KK56" s="24"/>
      <c r="KL56" s="24"/>
    </row>
    <row r="57" spans="1:298" s="26" customFormat="1" ht="15.95" hidden="1" customHeight="1" x14ac:dyDescent="0.3">
      <c r="A57" s="172"/>
      <c r="B57" s="172"/>
      <c r="C57" s="172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4"/>
      <c r="BZ57" s="172"/>
      <c r="CA57" s="172"/>
      <c r="CB57" s="24"/>
      <c r="CC57" s="25"/>
      <c r="CH57" s="89" t="s">
        <v>152</v>
      </c>
      <c r="CI57" s="50">
        <f>ROUNDDOWN($CI$23*에이전트수수료입력!$H$10,0)</f>
        <v>0</v>
      </c>
      <c r="CL57" s="49">
        <v>52</v>
      </c>
      <c r="CM57" s="50">
        <f t="shared" si="1"/>
        <v>0</v>
      </c>
      <c r="CO57" s="29"/>
      <c r="CP57" s="28"/>
      <c r="CQ57" s="28"/>
      <c r="CR57" s="28"/>
      <c r="CS57" s="28"/>
      <c r="CT57" s="28"/>
      <c r="CU57" s="28"/>
      <c r="CW57" s="68"/>
      <c r="CX57" s="69" t="str">
        <f>견적관리자용!$S$9</f>
        <v>승용SUV(~5인)</v>
      </c>
      <c r="CY57" s="70">
        <v>0</v>
      </c>
      <c r="CZ57" s="71">
        <v>0.04</v>
      </c>
      <c r="DA57" s="71">
        <v>0.04</v>
      </c>
      <c r="DB57" s="71">
        <v>0.04</v>
      </c>
      <c r="DC57" s="71">
        <v>0.05</v>
      </c>
      <c r="DD57" s="72">
        <f t="shared" si="2"/>
        <v>0</v>
      </c>
      <c r="DE57" s="73">
        <v>54</v>
      </c>
      <c r="DF57" s="72">
        <f t="shared" si="0"/>
        <v>0</v>
      </c>
      <c r="DG57" s="166"/>
      <c r="DJ57" s="25"/>
      <c r="DK57" s="25"/>
      <c r="DL57" s="25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</row>
    <row r="58" spans="1:298" s="26" customFormat="1" ht="15.95" hidden="1" customHeight="1" x14ac:dyDescent="0.3">
      <c r="A58" s="172"/>
      <c r="B58" s="172"/>
      <c r="C58" s="172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  <c r="AP58" s="173"/>
      <c r="AQ58" s="173"/>
      <c r="AR58" s="173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4"/>
      <c r="BZ58" s="172"/>
      <c r="CA58" s="172"/>
      <c r="CB58" s="24"/>
      <c r="CC58" s="25"/>
      <c r="CH58" s="89" t="s">
        <v>119</v>
      </c>
      <c r="CI58" s="99">
        <f>에이전트수수료입력!$I$10</f>
        <v>0</v>
      </c>
      <c r="CL58" s="49">
        <v>53</v>
      </c>
      <c r="CM58" s="50">
        <f t="shared" si="1"/>
        <v>0</v>
      </c>
      <c r="CO58" s="29"/>
      <c r="CP58" s="28"/>
      <c r="CQ58" s="28"/>
      <c r="CR58" s="28"/>
      <c r="CS58" s="28"/>
      <c r="CT58" s="28"/>
      <c r="CU58" s="28"/>
      <c r="CW58" s="68"/>
      <c r="CX58" s="69" t="str">
        <f>견적관리자용!$S$10</f>
        <v>승용SUV(7~10인)</v>
      </c>
      <c r="CY58" s="70">
        <v>0</v>
      </c>
      <c r="CZ58" s="71">
        <v>0.04</v>
      </c>
      <c r="DA58" s="71">
        <v>0.04</v>
      </c>
      <c r="DB58" s="71">
        <v>0.04</v>
      </c>
      <c r="DC58" s="71">
        <v>0.05</v>
      </c>
      <c r="DD58" s="72">
        <f t="shared" si="2"/>
        <v>0</v>
      </c>
      <c r="DE58" s="73">
        <v>55</v>
      </c>
      <c r="DF58" s="72">
        <f t="shared" si="0"/>
        <v>0</v>
      </c>
      <c r="DG58" s="166"/>
      <c r="DJ58" s="25"/>
      <c r="DK58" s="25"/>
      <c r="DL58" s="25"/>
      <c r="DM58" s="24"/>
      <c r="DN58" s="24"/>
      <c r="DO58" s="24"/>
      <c r="DP58" s="24"/>
      <c r="DQ58" s="24"/>
      <c r="DR58" s="24"/>
      <c r="DS58" s="24"/>
      <c r="DT58" s="24"/>
      <c r="DU58" s="24"/>
      <c r="DV58" s="24"/>
      <c r="DW58" s="24"/>
      <c r="DX58" s="24"/>
      <c r="DY58" s="24"/>
      <c r="DZ58" s="24"/>
      <c r="EA58" s="24"/>
      <c r="EB58" s="24"/>
      <c r="EC58" s="24"/>
      <c r="ED58" s="24"/>
      <c r="EE58" s="24"/>
      <c r="EF58" s="24"/>
      <c r="EG58" s="24"/>
      <c r="EH58" s="24"/>
      <c r="EI58" s="24"/>
      <c r="EJ58" s="24"/>
      <c r="EK58" s="24"/>
      <c r="EL58" s="24"/>
      <c r="EM58" s="24"/>
      <c r="EN58" s="24"/>
      <c r="EO58" s="24"/>
      <c r="EP58" s="24"/>
      <c r="EQ58" s="24"/>
      <c r="ER58" s="24"/>
      <c r="ES58" s="24"/>
      <c r="ET58" s="24"/>
      <c r="EU58" s="24"/>
      <c r="EV58" s="24"/>
      <c r="EW58" s="24"/>
      <c r="EX58" s="24"/>
      <c r="EY58" s="24"/>
      <c r="EZ58" s="24"/>
      <c r="FA58" s="24"/>
      <c r="FB58" s="24"/>
      <c r="FC58" s="24"/>
      <c r="FD58" s="24"/>
      <c r="FE58" s="24"/>
      <c r="FF58" s="24"/>
      <c r="FG58" s="24"/>
      <c r="FH58" s="24"/>
      <c r="FI58" s="24"/>
      <c r="FJ58" s="24"/>
      <c r="FK58" s="24"/>
      <c r="FL58" s="24"/>
      <c r="FM58" s="24"/>
      <c r="FN58" s="24"/>
      <c r="FO58" s="24"/>
      <c r="FP58" s="24"/>
      <c r="FQ58" s="24"/>
      <c r="FR58" s="24"/>
      <c r="FS58" s="24"/>
      <c r="FT58" s="24"/>
      <c r="FU58" s="24"/>
      <c r="FV58" s="24"/>
      <c r="FW58" s="24"/>
      <c r="FX58" s="24"/>
      <c r="FY58" s="24"/>
      <c r="FZ58" s="24"/>
      <c r="GA58" s="24"/>
      <c r="GB58" s="24"/>
      <c r="GC58" s="24"/>
      <c r="GD58" s="24"/>
      <c r="GE58" s="24"/>
      <c r="GF58" s="24"/>
      <c r="GG58" s="24"/>
      <c r="GH58" s="24"/>
      <c r="GI58" s="24"/>
      <c r="GJ58" s="24"/>
      <c r="GK58" s="24"/>
      <c r="GL58" s="24"/>
      <c r="GM58" s="24"/>
      <c r="GN58" s="24"/>
      <c r="GO58" s="24"/>
      <c r="GP58" s="24"/>
      <c r="GQ58" s="24"/>
      <c r="GR58" s="24"/>
      <c r="GS58" s="24"/>
      <c r="GT58" s="24"/>
      <c r="GU58" s="24"/>
      <c r="GV58" s="24"/>
      <c r="GW58" s="24"/>
      <c r="GX58" s="24"/>
      <c r="GY58" s="24"/>
      <c r="GZ58" s="24"/>
      <c r="HA58" s="24"/>
      <c r="HB58" s="24"/>
      <c r="HC58" s="24"/>
      <c r="HD58" s="24"/>
      <c r="HE58" s="24"/>
      <c r="HF58" s="24"/>
      <c r="HG58" s="24"/>
      <c r="HH58" s="24"/>
      <c r="HI58" s="24"/>
      <c r="HJ58" s="24"/>
      <c r="HK58" s="24"/>
      <c r="HL58" s="24"/>
      <c r="HM58" s="24"/>
      <c r="HN58" s="24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</row>
    <row r="59" spans="1:298" s="26" customFormat="1" ht="15.95" hidden="1" customHeight="1" x14ac:dyDescent="0.3">
      <c r="A59" s="172"/>
      <c r="B59" s="172"/>
      <c r="C59" s="172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  <c r="AP59" s="173"/>
      <c r="AQ59" s="173"/>
      <c r="AR59" s="173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4"/>
      <c r="BZ59" s="172"/>
      <c r="CA59" s="172"/>
      <c r="CB59" s="24"/>
      <c r="CC59" s="25"/>
      <c r="CH59" s="89" t="s">
        <v>153</v>
      </c>
      <c r="CI59" s="99">
        <f>$CI$57+$CI$58</f>
        <v>0</v>
      </c>
      <c r="CL59" s="49">
        <v>54</v>
      </c>
      <c r="CM59" s="50">
        <f t="shared" si="1"/>
        <v>0</v>
      </c>
      <c r="CO59" s="29"/>
      <c r="CP59" s="28"/>
      <c r="CQ59" s="28"/>
      <c r="CR59" s="28"/>
      <c r="CS59" s="28"/>
      <c r="CT59" s="28"/>
      <c r="CU59" s="28"/>
      <c r="CW59" s="68"/>
      <c r="CX59" s="69" t="str">
        <f>견적관리자용!$S$11</f>
        <v>승합(11~15인)</v>
      </c>
      <c r="CY59" s="70">
        <v>0</v>
      </c>
      <c r="CZ59" s="125">
        <v>0.03</v>
      </c>
      <c r="DA59" s="125">
        <v>0.03</v>
      </c>
      <c r="DB59" s="125">
        <v>0.03</v>
      </c>
      <c r="DC59" s="125">
        <v>0.03</v>
      </c>
      <c r="DD59" s="72">
        <f t="shared" si="2"/>
        <v>0</v>
      </c>
      <c r="DE59" s="73">
        <v>56</v>
      </c>
      <c r="DF59" s="72">
        <f t="shared" si="0"/>
        <v>0</v>
      </c>
      <c r="DG59" s="166"/>
      <c r="DJ59" s="25"/>
      <c r="DK59" s="25"/>
      <c r="DL59" s="25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</row>
    <row r="60" spans="1:298" s="26" customFormat="1" ht="15.95" hidden="1" customHeight="1" x14ac:dyDescent="0.3">
      <c r="A60" s="172"/>
      <c r="B60" s="172"/>
      <c r="C60" s="172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2"/>
      <c r="AT60" s="172"/>
      <c r="AU60" s="172"/>
      <c r="AV60" s="172"/>
      <c r="AW60" s="172"/>
      <c r="AX60" s="172"/>
      <c r="AY60" s="172"/>
      <c r="AZ60" s="172"/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4"/>
      <c r="BZ60" s="172"/>
      <c r="CA60" s="172"/>
      <c r="CB60" s="24"/>
      <c r="CC60" s="25"/>
      <c r="CH60" s="185" t="s">
        <v>155</v>
      </c>
      <c r="CI60" s="186" t="e">
        <f>ROUNDUP($CI$56/$CI$23,4)</f>
        <v>#N/A</v>
      </c>
      <c r="CL60" s="49">
        <v>55</v>
      </c>
      <c r="CM60" s="50">
        <f t="shared" si="1"/>
        <v>0</v>
      </c>
      <c r="CO60" s="29"/>
      <c r="CP60" s="28"/>
      <c r="CQ60" s="28"/>
      <c r="CR60" s="28"/>
      <c r="CS60" s="28"/>
      <c r="CT60" s="28"/>
      <c r="CU60" s="28"/>
      <c r="CW60" s="68"/>
      <c r="CX60" s="69" t="str">
        <f>견적관리자용!$S$12</f>
        <v>화물(1000cc 미만)</v>
      </c>
      <c r="CY60" s="70">
        <v>0</v>
      </c>
      <c r="CZ60" s="70">
        <v>0</v>
      </c>
      <c r="DA60" s="80">
        <v>0</v>
      </c>
      <c r="DB60" s="80">
        <v>0</v>
      </c>
      <c r="DC60" s="80">
        <v>0</v>
      </c>
      <c r="DD60" s="72">
        <f t="shared" si="2"/>
        <v>0</v>
      </c>
      <c r="DE60" s="73">
        <v>57</v>
      </c>
      <c r="DF60" s="72">
        <f t="shared" si="0"/>
        <v>0</v>
      </c>
      <c r="DG60" s="166"/>
      <c r="DJ60" s="25"/>
      <c r="DK60" s="25"/>
      <c r="DL60" s="25"/>
      <c r="DM60" s="24"/>
      <c r="DN60" s="24"/>
      <c r="DO60" s="24"/>
      <c r="DP60" s="24"/>
      <c r="DQ60" s="24"/>
      <c r="DR60" s="24"/>
      <c r="DS60" s="24"/>
      <c r="DT60" s="24"/>
      <c r="DU60" s="24"/>
      <c r="DV60" s="24"/>
      <c r="DW60" s="24"/>
      <c r="DX60" s="24"/>
      <c r="DY60" s="24"/>
      <c r="DZ60" s="24"/>
      <c r="EA60" s="24"/>
      <c r="EB60" s="24"/>
      <c r="EC60" s="24"/>
      <c r="ED60" s="24"/>
      <c r="EE60" s="24"/>
      <c r="EF60" s="24"/>
      <c r="EG60" s="24"/>
      <c r="EH60" s="24"/>
      <c r="EI60" s="24"/>
      <c r="EJ60" s="24"/>
      <c r="EK60" s="24"/>
      <c r="EL60" s="24"/>
      <c r="EM60" s="24"/>
      <c r="EN60" s="24"/>
      <c r="EO60" s="24"/>
      <c r="EP60" s="24"/>
      <c r="EQ60" s="24"/>
      <c r="ER60" s="24"/>
      <c r="ES60" s="24"/>
      <c r="ET60" s="24"/>
      <c r="EU60" s="24"/>
      <c r="EV60" s="24"/>
      <c r="EW60" s="24"/>
      <c r="EX60" s="24"/>
      <c r="EY60" s="24"/>
      <c r="EZ60" s="24"/>
      <c r="FA60" s="24"/>
      <c r="FB60" s="24"/>
      <c r="FC60" s="24"/>
      <c r="FD60" s="24"/>
      <c r="FE60" s="24"/>
      <c r="FF60" s="24"/>
      <c r="FG60" s="24"/>
      <c r="FH60" s="24"/>
      <c r="FI60" s="24"/>
      <c r="FJ60" s="24"/>
      <c r="FK60" s="24"/>
      <c r="FL60" s="24"/>
      <c r="FM60" s="24"/>
      <c r="FN60" s="24"/>
      <c r="FO60" s="24"/>
      <c r="FP60" s="24"/>
      <c r="FQ60" s="24"/>
      <c r="FR60" s="24"/>
      <c r="FS60" s="24"/>
      <c r="FT60" s="24"/>
      <c r="FU60" s="24"/>
      <c r="FV60" s="24"/>
      <c r="FW60" s="24"/>
      <c r="FX60" s="24"/>
      <c r="FY60" s="24"/>
      <c r="FZ60" s="24"/>
      <c r="GA60" s="24"/>
      <c r="GB60" s="24"/>
      <c r="GC60" s="24"/>
      <c r="GD60" s="24"/>
      <c r="GE60" s="24"/>
      <c r="GF60" s="24"/>
      <c r="GG60" s="24"/>
      <c r="GH60" s="24"/>
      <c r="GI60" s="24"/>
      <c r="GJ60" s="24"/>
      <c r="GK60" s="24"/>
      <c r="GL60" s="24"/>
      <c r="GM60" s="24"/>
      <c r="GN60" s="24"/>
      <c r="GO60" s="24"/>
      <c r="GP60" s="24"/>
      <c r="GQ60" s="24"/>
      <c r="GR60" s="24"/>
      <c r="GS60" s="24"/>
      <c r="GT60" s="24"/>
      <c r="GU60" s="24"/>
      <c r="GV60" s="24"/>
      <c r="GW60" s="24"/>
      <c r="GX60" s="24"/>
      <c r="GY60" s="24"/>
      <c r="GZ60" s="24"/>
      <c r="HA60" s="24"/>
      <c r="HB60" s="24"/>
      <c r="HC60" s="24"/>
      <c r="HD60" s="24"/>
      <c r="HE60" s="24"/>
      <c r="HF60" s="24"/>
      <c r="HG60" s="24"/>
      <c r="HH60" s="24"/>
      <c r="HI60" s="24"/>
      <c r="HJ60" s="24"/>
      <c r="HK60" s="24"/>
      <c r="HL60" s="24"/>
      <c r="HM60" s="24"/>
      <c r="HN60" s="24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</row>
    <row r="61" spans="1:298" s="26" customFormat="1" ht="15.95" hidden="1" customHeight="1" x14ac:dyDescent="0.3">
      <c r="A61" s="172"/>
      <c r="B61" s="172"/>
      <c r="C61" s="172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  <c r="AG61" s="173"/>
      <c r="AH61" s="173"/>
      <c r="AI61" s="173"/>
      <c r="AJ61" s="173"/>
      <c r="AK61" s="173"/>
      <c r="AL61" s="173"/>
      <c r="AM61" s="173"/>
      <c r="AN61" s="173"/>
      <c r="AO61" s="173"/>
      <c r="AP61" s="173"/>
      <c r="AQ61" s="173"/>
      <c r="AR61" s="173"/>
      <c r="AS61" s="172"/>
      <c r="AT61" s="172"/>
      <c r="AU61" s="172"/>
      <c r="AV61" s="172"/>
      <c r="AW61" s="172"/>
      <c r="AX61" s="172"/>
      <c r="AY61" s="172"/>
      <c r="AZ61" s="172"/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4"/>
      <c r="BZ61" s="172"/>
      <c r="CA61" s="172"/>
      <c r="CB61" s="24"/>
      <c r="CC61" s="25"/>
      <c r="CH61" s="35" t="s">
        <v>158</v>
      </c>
      <c r="CI61" s="57">
        <f>ROUNDDOWN($CI$23*$BD$25,0)</f>
        <v>0</v>
      </c>
      <c r="CL61" s="49">
        <v>56</v>
      </c>
      <c r="CM61" s="50">
        <f t="shared" si="1"/>
        <v>0</v>
      </c>
      <c r="CO61" s="29"/>
      <c r="CP61" s="28"/>
      <c r="CQ61" s="28"/>
      <c r="CR61" s="28"/>
      <c r="CS61" s="28"/>
      <c r="CT61" s="28"/>
      <c r="CU61" s="28"/>
      <c r="CW61" s="85"/>
      <c r="CX61" s="69" t="str">
        <f>견적관리자용!$S$13</f>
        <v>화물(0.6톤 미만)</v>
      </c>
      <c r="CY61" s="70">
        <v>0</v>
      </c>
      <c r="CZ61" s="125">
        <v>1.4999999999999999E-2</v>
      </c>
      <c r="DA61" s="125">
        <v>1.4999999999999999E-2</v>
      </c>
      <c r="DB61" s="125">
        <v>1.4999999999999999E-2</v>
      </c>
      <c r="DC61" s="125">
        <v>1.4999999999999999E-2</v>
      </c>
      <c r="DD61" s="72">
        <f t="shared" si="2"/>
        <v>0</v>
      </c>
      <c r="DE61" s="73">
        <v>58</v>
      </c>
      <c r="DF61" s="72">
        <f t="shared" si="0"/>
        <v>0</v>
      </c>
      <c r="DG61" s="166"/>
      <c r="DJ61" s="25"/>
      <c r="DK61" s="25"/>
      <c r="DL61" s="25"/>
      <c r="DM61" s="24"/>
      <c r="DN61" s="24"/>
      <c r="DO61" s="24"/>
      <c r="DP61" s="24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4"/>
      <c r="EC61" s="24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4"/>
      <c r="EP61" s="24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4"/>
      <c r="FC61" s="24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4"/>
      <c r="FP61" s="24"/>
      <c r="FQ61" s="24"/>
      <c r="FR61" s="24"/>
      <c r="FS61" s="24"/>
      <c r="FT61" s="24"/>
      <c r="FU61" s="24"/>
      <c r="FV61" s="24"/>
      <c r="FW61" s="24"/>
      <c r="FX61" s="24"/>
      <c r="FY61" s="24"/>
      <c r="FZ61" s="24"/>
      <c r="GA61" s="24"/>
      <c r="GB61" s="24"/>
      <c r="GC61" s="24"/>
      <c r="GD61" s="24"/>
      <c r="GE61" s="24"/>
      <c r="GF61" s="24"/>
      <c r="GG61" s="24"/>
      <c r="GH61" s="24"/>
      <c r="GI61" s="24"/>
      <c r="GJ61" s="24"/>
      <c r="GK61" s="24"/>
      <c r="GL61" s="24"/>
      <c r="GM61" s="24"/>
      <c r="GN61" s="24"/>
      <c r="GO61" s="24"/>
      <c r="GP61" s="24"/>
      <c r="GQ61" s="24"/>
      <c r="GR61" s="24"/>
      <c r="GS61" s="24"/>
      <c r="GT61" s="24"/>
      <c r="GU61" s="24"/>
      <c r="GV61" s="24"/>
      <c r="GW61" s="24"/>
      <c r="GX61" s="24"/>
      <c r="GY61" s="24"/>
      <c r="GZ61" s="24"/>
      <c r="HA61" s="24"/>
      <c r="HB61" s="24"/>
      <c r="HC61" s="24"/>
      <c r="HD61" s="24"/>
      <c r="HE61" s="24"/>
      <c r="HF61" s="24"/>
      <c r="HG61" s="24"/>
      <c r="HH61" s="24"/>
      <c r="HI61" s="24"/>
      <c r="HJ61" s="24"/>
      <c r="HK61" s="24"/>
      <c r="HL61" s="24"/>
      <c r="HM61" s="24"/>
      <c r="HN61" s="24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</row>
    <row r="62" spans="1:298" s="26" customFormat="1" ht="15.95" hidden="1" customHeight="1" x14ac:dyDescent="0.3">
      <c r="A62" s="172"/>
      <c r="B62" s="172"/>
      <c r="C62" s="172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  <c r="AG62" s="173"/>
      <c r="AH62" s="173"/>
      <c r="AI62" s="173"/>
      <c r="AJ62" s="173"/>
      <c r="AK62" s="173"/>
      <c r="AL62" s="173"/>
      <c r="AM62" s="173"/>
      <c r="AN62" s="173"/>
      <c r="AO62" s="173"/>
      <c r="AP62" s="173"/>
      <c r="AQ62" s="173"/>
      <c r="AR62" s="173"/>
      <c r="AS62" s="172"/>
      <c r="AT62" s="172"/>
      <c r="AU62" s="172"/>
      <c r="AV62" s="172"/>
      <c r="AW62" s="172"/>
      <c r="AX62" s="172"/>
      <c r="AY62" s="172"/>
      <c r="AZ62" s="172"/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4"/>
      <c r="BZ62" s="172"/>
      <c r="CA62" s="172"/>
      <c r="CB62" s="24"/>
      <c r="CC62" s="25"/>
      <c r="CH62" s="66" t="s">
        <v>159</v>
      </c>
      <c r="CI62" s="41">
        <f>VLOOKUP(견적관리자용!$Q$10,할부오토론!$CH$63:$CI$65,2,FALSE)</f>
        <v>0</v>
      </c>
      <c r="CL62" s="49">
        <v>57</v>
      </c>
      <c r="CM62" s="50">
        <f t="shared" si="1"/>
        <v>0</v>
      </c>
      <c r="CO62" s="29"/>
      <c r="CP62" s="28"/>
      <c r="CQ62" s="28"/>
      <c r="CR62" s="28"/>
      <c r="CS62" s="28"/>
      <c r="CT62" s="28"/>
      <c r="CU62" s="28"/>
      <c r="CW62" s="85"/>
      <c r="CX62" s="69" t="str">
        <f>견적관리자용!$S$14</f>
        <v>화물(0.6~1톤 미만)</v>
      </c>
      <c r="CY62" s="70">
        <v>0</v>
      </c>
      <c r="CZ62" s="125">
        <v>0.03</v>
      </c>
      <c r="DA62" s="125">
        <v>0.03</v>
      </c>
      <c r="DB62" s="125">
        <v>0.03</v>
      </c>
      <c r="DC62" s="125">
        <v>0.03</v>
      </c>
      <c r="DD62" s="72">
        <f t="shared" si="2"/>
        <v>0</v>
      </c>
      <c r="DE62" s="73">
        <v>59</v>
      </c>
      <c r="DF62" s="72">
        <f t="shared" si="0"/>
        <v>0</v>
      </c>
      <c r="DG62" s="166"/>
      <c r="DJ62" s="25"/>
      <c r="DK62" s="25"/>
      <c r="DL62" s="25"/>
      <c r="DM62" s="24"/>
      <c r="DN62" s="24"/>
      <c r="DO62" s="24"/>
      <c r="DP62" s="24"/>
      <c r="DQ62" s="24"/>
      <c r="DR62" s="24"/>
      <c r="DS62" s="24"/>
      <c r="DT62" s="24"/>
      <c r="DU62" s="24"/>
      <c r="DV62" s="24"/>
      <c r="DW62" s="24"/>
      <c r="DX62" s="24"/>
      <c r="DY62" s="24"/>
      <c r="DZ62" s="24"/>
      <c r="EA62" s="24"/>
      <c r="EB62" s="24"/>
      <c r="EC62" s="24"/>
      <c r="ED62" s="24"/>
      <c r="EE62" s="24"/>
      <c r="EF62" s="24"/>
      <c r="EG62" s="24"/>
      <c r="EH62" s="24"/>
      <c r="EI62" s="24"/>
      <c r="EJ62" s="24"/>
      <c r="EK62" s="24"/>
      <c r="EL62" s="24"/>
      <c r="EM62" s="24"/>
      <c r="EN62" s="24"/>
      <c r="EO62" s="24"/>
      <c r="EP62" s="24"/>
      <c r="EQ62" s="24"/>
      <c r="ER62" s="24"/>
      <c r="ES62" s="24"/>
      <c r="ET62" s="24"/>
      <c r="EU62" s="24"/>
      <c r="EV62" s="24"/>
      <c r="EW62" s="24"/>
      <c r="EX62" s="24"/>
      <c r="EY62" s="24"/>
      <c r="EZ62" s="24"/>
      <c r="FA62" s="24"/>
      <c r="FB62" s="24"/>
      <c r="FC62" s="24"/>
      <c r="FD62" s="24"/>
      <c r="FE62" s="24"/>
      <c r="FF62" s="24"/>
      <c r="FG62" s="24"/>
      <c r="FH62" s="24"/>
      <c r="FI62" s="24"/>
      <c r="FJ62" s="24"/>
      <c r="FK62" s="24"/>
      <c r="FL62" s="24"/>
      <c r="FM62" s="24"/>
      <c r="FN62" s="24"/>
      <c r="FO62" s="24"/>
      <c r="FP62" s="24"/>
      <c r="FQ62" s="24"/>
      <c r="FR62" s="24"/>
      <c r="FS62" s="24"/>
      <c r="FT62" s="24"/>
      <c r="FU62" s="24"/>
      <c r="FV62" s="24"/>
      <c r="FW62" s="24"/>
      <c r="FX62" s="24"/>
      <c r="FY62" s="24"/>
      <c r="FZ62" s="24"/>
      <c r="GA62" s="24"/>
      <c r="GB62" s="24"/>
      <c r="GC62" s="24"/>
      <c r="GD62" s="24"/>
      <c r="GE62" s="24"/>
      <c r="GF62" s="24"/>
      <c r="GG62" s="24"/>
      <c r="GH62" s="24"/>
      <c r="GI62" s="24"/>
      <c r="GJ62" s="24"/>
      <c r="GK62" s="24"/>
      <c r="GL62" s="24"/>
      <c r="GM62" s="24"/>
      <c r="GN62" s="24"/>
      <c r="GO62" s="24"/>
      <c r="GP62" s="24"/>
      <c r="GQ62" s="24"/>
      <c r="GR62" s="24"/>
      <c r="GS62" s="24"/>
      <c r="GT62" s="24"/>
      <c r="GU62" s="24"/>
      <c r="GV62" s="24"/>
      <c r="GW62" s="24"/>
      <c r="GX62" s="24"/>
      <c r="GY62" s="24"/>
      <c r="GZ62" s="24"/>
      <c r="HA62" s="24"/>
      <c r="HB62" s="24"/>
      <c r="HC62" s="24"/>
      <c r="HD62" s="24"/>
      <c r="HE62" s="24"/>
      <c r="HF62" s="24"/>
      <c r="HG62" s="24"/>
      <c r="HH62" s="24"/>
      <c r="HI62" s="24"/>
      <c r="HJ62" s="24"/>
      <c r="HK62" s="24"/>
      <c r="HL62" s="24"/>
      <c r="HM62" s="24"/>
      <c r="HN62" s="24"/>
      <c r="HO62" s="24"/>
      <c r="HP62" s="24"/>
      <c r="HQ62" s="24"/>
      <c r="HR62" s="24"/>
      <c r="HS62" s="24"/>
      <c r="HT62" s="24"/>
      <c r="HU62" s="24"/>
      <c r="HV62" s="24"/>
      <c r="HW62" s="24"/>
      <c r="HX62" s="24"/>
      <c r="HY62" s="24"/>
      <c r="HZ62" s="24"/>
      <c r="IA62" s="24"/>
      <c r="IB62" s="24"/>
      <c r="IC62" s="24"/>
      <c r="ID62" s="24"/>
      <c r="IE62" s="24"/>
      <c r="IF62" s="24"/>
      <c r="IG62" s="24"/>
      <c r="IH62" s="24"/>
      <c r="II62" s="24"/>
      <c r="IJ62" s="24"/>
      <c r="IK62" s="24"/>
      <c r="IL62" s="24"/>
      <c r="IM62" s="24"/>
      <c r="IN62" s="24"/>
      <c r="IO62" s="24"/>
      <c r="IP62" s="24"/>
      <c r="IQ62" s="24"/>
      <c r="IR62" s="24"/>
      <c r="IS62" s="24"/>
      <c r="IT62" s="24"/>
      <c r="IU62" s="24"/>
      <c r="IV62" s="24"/>
      <c r="IW62" s="24"/>
      <c r="IX62" s="24"/>
      <c r="IY62" s="24"/>
      <c r="IZ62" s="24"/>
      <c r="JA62" s="24"/>
      <c r="JB62" s="24"/>
      <c r="JC62" s="24"/>
      <c r="JD62" s="24"/>
      <c r="JE62" s="24"/>
      <c r="JF62" s="24"/>
      <c r="JG62" s="24"/>
      <c r="JH62" s="24"/>
      <c r="JI62" s="24"/>
      <c r="JJ62" s="24"/>
      <c r="JK62" s="24"/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</row>
    <row r="63" spans="1:298" s="26" customFormat="1" ht="15.95" hidden="1" customHeight="1" x14ac:dyDescent="0.3">
      <c r="A63" s="172"/>
      <c r="B63" s="172"/>
      <c r="C63" s="172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/>
      <c r="AM63" s="173"/>
      <c r="AN63" s="173"/>
      <c r="AO63" s="173"/>
      <c r="AP63" s="173"/>
      <c r="AQ63" s="173"/>
      <c r="AR63" s="173"/>
      <c r="AS63" s="172"/>
      <c r="AT63" s="172"/>
      <c r="AU63" s="172"/>
      <c r="AV63" s="172"/>
      <c r="AW63" s="172"/>
      <c r="AX63" s="172"/>
      <c r="AY63" s="172"/>
      <c r="AZ63" s="172"/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4"/>
      <c r="BZ63" s="172"/>
      <c r="CA63" s="172"/>
      <c r="CB63" s="24"/>
      <c r="CC63" s="25"/>
      <c r="CH63" s="89" t="s">
        <v>124</v>
      </c>
      <c r="CI63" s="50">
        <f>ROUNDDOWN($CI$23*견적관리자용!$Q$11,0)</f>
        <v>0</v>
      </c>
      <c r="CL63" s="49">
        <v>58</v>
      </c>
      <c r="CM63" s="50">
        <f t="shared" si="1"/>
        <v>0</v>
      </c>
      <c r="CO63" s="29"/>
      <c r="CP63" s="28"/>
      <c r="CQ63" s="28"/>
      <c r="CR63" s="28"/>
      <c r="CS63" s="28"/>
      <c r="CT63" s="28"/>
      <c r="CU63" s="28"/>
      <c r="CW63" s="85"/>
      <c r="CX63" s="69" t="str">
        <f>견적관리자용!$S$15</f>
        <v>화물(1~2.5톤 미만)</v>
      </c>
      <c r="CY63" s="70">
        <v>0</v>
      </c>
      <c r="CZ63" s="125">
        <v>0.03</v>
      </c>
      <c r="DA63" s="125">
        <v>0.03</v>
      </c>
      <c r="DB63" s="125">
        <v>0.03</v>
      </c>
      <c r="DC63" s="125">
        <v>0.03</v>
      </c>
      <c r="DD63" s="72">
        <f t="shared" si="2"/>
        <v>0</v>
      </c>
      <c r="DE63" s="73">
        <v>60</v>
      </c>
      <c r="DF63" s="72">
        <f t="shared" si="0"/>
        <v>0</v>
      </c>
      <c r="DG63" s="166"/>
      <c r="DJ63" s="25"/>
      <c r="DK63" s="25"/>
      <c r="DL63" s="25"/>
      <c r="DM63" s="24"/>
      <c r="DN63" s="24"/>
      <c r="DO63" s="24"/>
      <c r="DP63" s="24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4"/>
      <c r="EC63" s="24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4"/>
      <c r="EP63" s="24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4"/>
      <c r="FC63" s="24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4"/>
      <c r="FP63" s="24"/>
      <c r="FQ63" s="24"/>
      <c r="FR63" s="24"/>
      <c r="FS63" s="24"/>
      <c r="FT63" s="24"/>
      <c r="FU63" s="24"/>
      <c r="FV63" s="24"/>
      <c r="FW63" s="24"/>
      <c r="FX63" s="24"/>
      <c r="FY63" s="24"/>
      <c r="FZ63" s="24"/>
      <c r="GA63" s="24"/>
      <c r="GB63" s="24"/>
      <c r="GC63" s="24"/>
      <c r="GD63" s="24"/>
      <c r="GE63" s="24"/>
      <c r="GF63" s="24"/>
      <c r="GG63" s="24"/>
      <c r="GH63" s="24"/>
      <c r="GI63" s="24"/>
      <c r="GJ63" s="24"/>
      <c r="GK63" s="24"/>
      <c r="GL63" s="24"/>
      <c r="GM63" s="24"/>
      <c r="GN63" s="24"/>
      <c r="GO63" s="24"/>
      <c r="GP63" s="24"/>
      <c r="GQ63" s="24"/>
      <c r="GR63" s="24"/>
      <c r="GS63" s="24"/>
      <c r="GT63" s="24"/>
      <c r="GU63" s="24"/>
      <c r="GV63" s="24"/>
      <c r="GW63" s="24"/>
      <c r="GX63" s="24"/>
      <c r="GY63" s="24"/>
      <c r="GZ63" s="24"/>
      <c r="HA63" s="24"/>
      <c r="HB63" s="24"/>
      <c r="HC63" s="24"/>
      <c r="HD63" s="24"/>
      <c r="HE63" s="24"/>
      <c r="HF63" s="24"/>
      <c r="HG63" s="24"/>
      <c r="HH63" s="24"/>
      <c r="HI63" s="24"/>
      <c r="HJ63" s="24"/>
      <c r="HK63" s="24"/>
      <c r="HL63" s="24"/>
      <c r="HM63" s="24"/>
      <c r="HN63" s="24"/>
      <c r="HO63" s="24"/>
      <c r="HP63" s="24"/>
      <c r="HQ63" s="24"/>
      <c r="HR63" s="24"/>
      <c r="HS63" s="24"/>
      <c r="HT63" s="24"/>
      <c r="HU63" s="24"/>
      <c r="HV63" s="24"/>
      <c r="HW63" s="24"/>
      <c r="HX63" s="24"/>
      <c r="HY63" s="24"/>
      <c r="HZ63" s="24"/>
      <c r="IA63" s="24"/>
      <c r="IB63" s="24"/>
      <c r="IC63" s="24"/>
      <c r="ID63" s="24"/>
      <c r="IE63" s="24"/>
      <c r="IF63" s="24"/>
      <c r="IG63" s="24"/>
      <c r="IH63" s="24"/>
      <c r="II63" s="24"/>
      <c r="IJ63" s="24"/>
      <c r="IK63" s="24"/>
      <c r="IL63" s="24"/>
      <c r="IM63" s="24"/>
      <c r="IN63" s="24"/>
      <c r="IO63" s="24"/>
      <c r="IP63" s="24"/>
      <c r="IQ63" s="24"/>
      <c r="IR63" s="24"/>
      <c r="IS63" s="24"/>
      <c r="IT63" s="24"/>
      <c r="IU63" s="24"/>
      <c r="IV63" s="24"/>
      <c r="IW63" s="24"/>
      <c r="IX63" s="24"/>
      <c r="IY63" s="24"/>
      <c r="IZ63" s="24"/>
      <c r="JA63" s="24"/>
      <c r="JB63" s="24"/>
      <c r="JC63" s="24"/>
      <c r="JD63" s="24"/>
      <c r="JE63" s="24"/>
      <c r="JF63" s="24"/>
      <c r="JG63" s="24"/>
      <c r="JH63" s="24"/>
      <c r="JI63" s="24"/>
      <c r="JJ63" s="24"/>
      <c r="JK63" s="24"/>
      <c r="JL63" s="24"/>
      <c r="JM63" s="24"/>
      <c r="JN63" s="24"/>
      <c r="JO63" s="24"/>
      <c r="JP63" s="24"/>
      <c r="JQ63" s="24"/>
      <c r="JR63" s="24"/>
      <c r="JS63" s="24"/>
      <c r="JT63" s="24"/>
      <c r="JU63" s="24"/>
      <c r="JV63" s="24"/>
      <c r="JW63" s="24"/>
      <c r="JX63" s="24"/>
      <c r="JY63" s="24"/>
      <c r="JZ63" s="24"/>
      <c r="KA63" s="24"/>
      <c r="KB63" s="24"/>
      <c r="KC63" s="24"/>
      <c r="KD63" s="24"/>
      <c r="KE63" s="24"/>
      <c r="KF63" s="24"/>
      <c r="KG63" s="24"/>
      <c r="KH63" s="24"/>
      <c r="KI63" s="24"/>
      <c r="KJ63" s="24"/>
      <c r="KK63" s="24"/>
      <c r="KL63" s="24"/>
    </row>
    <row r="64" spans="1:298" s="26" customFormat="1" ht="15.95" hidden="1" customHeight="1" x14ac:dyDescent="0.3">
      <c r="A64" s="172"/>
      <c r="B64" s="172"/>
      <c r="C64" s="172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/>
      <c r="AO64" s="173"/>
      <c r="AP64" s="173"/>
      <c r="AQ64" s="173"/>
      <c r="AR64" s="173"/>
      <c r="AS64" s="172"/>
      <c r="AT64" s="172"/>
      <c r="AU64" s="172"/>
      <c r="AV64" s="172"/>
      <c r="AW64" s="172"/>
      <c r="AX64" s="172"/>
      <c r="AY64" s="172"/>
      <c r="AZ64" s="172"/>
      <c r="BA64" s="172"/>
      <c r="BB64" s="172"/>
      <c r="BC64" s="172"/>
      <c r="BD64" s="172"/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4"/>
      <c r="BZ64" s="172"/>
      <c r="CA64" s="172"/>
      <c r="CB64" s="24"/>
      <c r="CC64" s="25"/>
      <c r="CH64" s="89" t="s">
        <v>125</v>
      </c>
      <c r="CI64" s="50">
        <f>견적관리자용!$Q$12</f>
        <v>0</v>
      </c>
      <c r="CL64" s="49">
        <v>59</v>
      </c>
      <c r="CM64" s="50">
        <f t="shared" si="1"/>
        <v>0</v>
      </c>
      <c r="CO64" s="29"/>
      <c r="CP64" s="28"/>
      <c r="CQ64" s="28"/>
      <c r="CR64" s="28"/>
      <c r="CS64" s="28"/>
      <c r="CT64" s="28"/>
      <c r="CU64" s="28"/>
      <c r="CW64" s="85"/>
      <c r="CX64" s="69" t="str">
        <f>견적관리자용!$S$16</f>
        <v>화물(2.5~4.6톤 미만)</v>
      </c>
      <c r="CY64" s="70">
        <v>0</v>
      </c>
      <c r="CZ64" s="125">
        <v>0.03</v>
      </c>
      <c r="DA64" s="125">
        <v>0.03</v>
      </c>
      <c r="DB64" s="125">
        <v>0.03</v>
      </c>
      <c r="DC64" s="125">
        <v>0.03</v>
      </c>
      <c r="DD64" s="72">
        <f t="shared" si="2"/>
        <v>0</v>
      </c>
      <c r="DE64" s="73">
        <v>61</v>
      </c>
      <c r="DF64" s="72">
        <f t="shared" si="0"/>
        <v>0</v>
      </c>
      <c r="DG64" s="166"/>
      <c r="DJ64" s="25"/>
      <c r="DK64" s="25"/>
      <c r="DL64" s="25"/>
      <c r="DM64" s="24"/>
      <c r="DN64" s="24"/>
      <c r="DO64" s="24"/>
      <c r="DP64" s="24"/>
      <c r="DQ64" s="24"/>
      <c r="DR64" s="24"/>
      <c r="DS64" s="24"/>
      <c r="DT64" s="24"/>
      <c r="DU64" s="24"/>
      <c r="DV64" s="24"/>
      <c r="DW64" s="24"/>
      <c r="DX64" s="24"/>
      <c r="DY64" s="24"/>
      <c r="DZ64" s="24"/>
      <c r="EA64" s="24"/>
      <c r="EB64" s="24"/>
      <c r="EC64" s="24"/>
      <c r="ED64" s="24"/>
      <c r="EE64" s="24"/>
      <c r="EF64" s="24"/>
      <c r="EG64" s="24"/>
      <c r="EH64" s="24"/>
      <c r="EI64" s="24"/>
      <c r="EJ64" s="24"/>
      <c r="EK64" s="24"/>
      <c r="EL64" s="24"/>
      <c r="EM64" s="24"/>
      <c r="EN64" s="24"/>
      <c r="EO64" s="24"/>
      <c r="EP64" s="24"/>
      <c r="EQ64" s="24"/>
      <c r="ER64" s="24"/>
      <c r="ES64" s="24"/>
      <c r="ET64" s="24"/>
      <c r="EU64" s="24"/>
      <c r="EV64" s="24"/>
      <c r="EW64" s="24"/>
      <c r="EX64" s="24"/>
      <c r="EY64" s="24"/>
      <c r="EZ64" s="24"/>
      <c r="FA64" s="24"/>
      <c r="FB64" s="24"/>
      <c r="FC64" s="24"/>
      <c r="FD64" s="24"/>
      <c r="FE64" s="24"/>
      <c r="FF64" s="24"/>
      <c r="FG64" s="24"/>
      <c r="FH64" s="24"/>
      <c r="FI64" s="24"/>
      <c r="FJ64" s="24"/>
      <c r="FK64" s="24"/>
      <c r="FL64" s="24"/>
      <c r="FM64" s="24"/>
      <c r="FN64" s="24"/>
      <c r="FO64" s="24"/>
      <c r="FP64" s="24"/>
      <c r="FQ64" s="24"/>
      <c r="FR64" s="24"/>
      <c r="FS64" s="24"/>
      <c r="FT64" s="24"/>
      <c r="FU64" s="24"/>
      <c r="FV64" s="24"/>
      <c r="FW64" s="24"/>
      <c r="FX64" s="24"/>
      <c r="FY64" s="24"/>
      <c r="FZ64" s="24"/>
      <c r="GA64" s="24"/>
      <c r="GB64" s="24"/>
      <c r="GC64" s="24"/>
      <c r="GD64" s="24"/>
      <c r="GE64" s="24"/>
      <c r="GF64" s="24"/>
      <c r="GG64" s="24"/>
      <c r="GH64" s="24"/>
      <c r="GI64" s="24"/>
      <c r="GJ64" s="24"/>
      <c r="GK64" s="24"/>
      <c r="GL64" s="24"/>
      <c r="GM64" s="24"/>
      <c r="GN64" s="24"/>
      <c r="GO64" s="24"/>
      <c r="GP64" s="24"/>
      <c r="GQ64" s="24"/>
      <c r="GR64" s="24"/>
      <c r="GS64" s="24"/>
      <c r="GT64" s="24"/>
      <c r="GU64" s="24"/>
      <c r="GV64" s="24"/>
      <c r="GW64" s="24"/>
      <c r="GX64" s="24"/>
      <c r="GY64" s="24"/>
      <c r="GZ64" s="24"/>
      <c r="HA64" s="24"/>
      <c r="HB64" s="24"/>
      <c r="HC64" s="24"/>
      <c r="HD64" s="24"/>
      <c r="HE64" s="24"/>
      <c r="HF64" s="24"/>
      <c r="HG64" s="24"/>
      <c r="HH64" s="24"/>
      <c r="HI64" s="24"/>
      <c r="HJ64" s="24"/>
      <c r="HK64" s="24"/>
      <c r="HL64" s="24"/>
      <c r="HM64" s="24"/>
      <c r="HN64" s="24"/>
      <c r="HO64" s="24"/>
      <c r="HP64" s="24"/>
      <c r="HQ64" s="24"/>
      <c r="HR64" s="24"/>
      <c r="HS64" s="24"/>
      <c r="HT64" s="24"/>
      <c r="HU64" s="24"/>
      <c r="HV64" s="24"/>
      <c r="HW64" s="24"/>
      <c r="HX64" s="24"/>
      <c r="HY64" s="24"/>
      <c r="HZ64" s="24"/>
      <c r="IA64" s="24"/>
      <c r="IB64" s="24"/>
      <c r="IC64" s="24"/>
      <c r="ID64" s="24"/>
      <c r="IE64" s="24"/>
      <c r="IF64" s="24"/>
      <c r="IG64" s="24"/>
      <c r="IH64" s="24"/>
      <c r="II64" s="24"/>
      <c r="IJ64" s="24"/>
      <c r="IK64" s="24"/>
      <c r="IL64" s="24"/>
      <c r="IM64" s="24"/>
      <c r="IN64" s="24"/>
      <c r="IO64" s="24"/>
      <c r="IP64" s="24"/>
      <c r="IQ64" s="24"/>
      <c r="IR64" s="24"/>
      <c r="IS64" s="24"/>
      <c r="IT64" s="24"/>
      <c r="IU64" s="24"/>
      <c r="IV64" s="24"/>
      <c r="IW64" s="24"/>
      <c r="IX64" s="24"/>
      <c r="IY64" s="24"/>
      <c r="IZ64" s="24"/>
      <c r="JA64" s="24"/>
      <c r="JB64" s="24"/>
      <c r="JC64" s="24"/>
      <c r="JD64" s="24"/>
      <c r="JE64" s="24"/>
      <c r="JF64" s="24"/>
      <c r="JG64" s="24"/>
      <c r="JH64" s="24"/>
      <c r="JI64" s="24"/>
      <c r="JJ64" s="24"/>
      <c r="JK64" s="24"/>
      <c r="JL64" s="24"/>
      <c r="JM64" s="24"/>
      <c r="JN64" s="24"/>
      <c r="JO64" s="24"/>
      <c r="JP64" s="24"/>
      <c r="JQ64" s="24"/>
      <c r="JR64" s="24"/>
      <c r="JS64" s="24"/>
      <c r="JT64" s="24"/>
      <c r="JU64" s="24"/>
      <c r="JV64" s="24"/>
      <c r="JW64" s="24"/>
      <c r="JX64" s="24"/>
      <c r="JY64" s="24"/>
      <c r="JZ64" s="24"/>
      <c r="KA64" s="24"/>
      <c r="KB64" s="24"/>
      <c r="KC64" s="24"/>
      <c r="KD64" s="24"/>
      <c r="KE64" s="24"/>
      <c r="KF64" s="24"/>
      <c r="KG64" s="24"/>
      <c r="KH64" s="24"/>
      <c r="KI64" s="24"/>
      <c r="KJ64" s="24"/>
      <c r="KK64" s="24"/>
      <c r="KL64" s="24"/>
    </row>
    <row r="65" spans="1:298" s="26" customFormat="1" ht="15.95" hidden="1" customHeight="1" x14ac:dyDescent="0.3">
      <c r="A65" s="172"/>
      <c r="B65" s="172"/>
      <c r="C65" s="172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  <c r="AG65" s="173"/>
      <c r="AH65" s="173"/>
      <c r="AI65" s="173"/>
      <c r="AJ65" s="173"/>
      <c r="AK65" s="173"/>
      <c r="AL65" s="173"/>
      <c r="AM65" s="173"/>
      <c r="AN65" s="173"/>
      <c r="AO65" s="173"/>
      <c r="AP65" s="173"/>
      <c r="AQ65" s="173"/>
      <c r="AR65" s="173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4"/>
      <c r="BZ65" s="172"/>
      <c r="CA65" s="172"/>
      <c r="CB65" s="24"/>
      <c r="CC65" s="25"/>
      <c r="CH65" s="185" t="s">
        <v>162</v>
      </c>
      <c r="CI65" s="97">
        <f>$CI$63+$CI$64</f>
        <v>0</v>
      </c>
      <c r="CL65" s="98">
        <v>60</v>
      </c>
      <c r="CM65" s="97">
        <f t="shared" si="1"/>
        <v>0</v>
      </c>
      <c r="CO65" s="29"/>
      <c r="CP65" s="28"/>
      <c r="CQ65" s="28"/>
      <c r="CR65" s="28"/>
      <c r="CS65" s="28"/>
      <c r="CT65" s="28"/>
      <c r="CU65" s="28"/>
      <c r="CW65" s="90"/>
      <c r="CX65" s="91" t="str">
        <f>견적관리자용!$S$17</f>
        <v>화물(4.6톤 이상)</v>
      </c>
      <c r="CY65" s="92">
        <v>0</v>
      </c>
      <c r="CZ65" s="180">
        <v>0.03</v>
      </c>
      <c r="DA65" s="180">
        <v>0.03</v>
      </c>
      <c r="DB65" s="180">
        <v>0.03</v>
      </c>
      <c r="DC65" s="180">
        <v>0.03</v>
      </c>
      <c r="DD65" s="93">
        <f t="shared" si="2"/>
        <v>0</v>
      </c>
      <c r="DE65" s="94">
        <v>62</v>
      </c>
      <c r="DF65" s="93">
        <f t="shared" si="0"/>
        <v>0</v>
      </c>
      <c r="DG65" s="181"/>
      <c r="DJ65" s="25"/>
      <c r="DK65" s="25"/>
      <c r="DL65" s="25"/>
      <c r="DM65" s="24"/>
      <c r="DN65" s="24"/>
      <c r="DO65" s="24"/>
      <c r="DP65" s="24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4"/>
      <c r="EC65" s="24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4"/>
      <c r="EP65" s="24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4"/>
      <c r="FC65" s="24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4"/>
      <c r="FP65" s="24"/>
      <c r="FQ65" s="24"/>
      <c r="FR65" s="24"/>
      <c r="FS65" s="24"/>
      <c r="FT65" s="24"/>
      <c r="FU65" s="24"/>
      <c r="FV65" s="24"/>
      <c r="FW65" s="24"/>
      <c r="FX65" s="24"/>
      <c r="FY65" s="24"/>
      <c r="FZ65" s="24"/>
      <c r="GA65" s="24"/>
      <c r="GB65" s="24"/>
      <c r="GC65" s="24"/>
      <c r="GD65" s="24"/>
      <c r="GE65" s="24"/>
      <c r="GF65" s="24"/>
      <c r="GG65" s="24"/>
      <c r="GH65" s="24"/>
      <c r="GI65" s="24"/>
      <c r="GJ65" s="24"/>
      <c r="GK65" s="24"/>
      <c r="GL65" s="24"/>
      <c r="GM65" s="24"/>
      <c r="GN65" s="24"/>
      <c r="GO65" s="24"/>
      <c r="GP65" s="24"/>
      <c r="GQ65" s="24"/>
      <c r="GR65" s="24"/>
      <c r="GS65" s="24"/>
      <c r="GT65" s="24"/>
      <c r="GU65" s="24"/>
      <c r="GV65" s="24"/>
      <c r="GW65" s="24"/>
      <c r="GX65" s="24"/>
      <c r="GY65" s="24"/>
      <c r="GZ65" s="24"/>
      <c r="HA65" s="24"/>
      <c r="HB65" s="24"/>
      <c r="HC65" s="24"/>
      <c r="HD65" s="24"/>
      <c r="HE65" s="24"/>
      <c r="HF65" s="24"/>
      <c r="HG65" s="24"/>
      <c r="HH65" s="24"/>
      <c r="HI65" s="24"/>
      <c r="HJ65" s="24"/>
      <c r="HK65" s="24"/>
      <c r="HL65" s="24"/>
      <c r="HM65" s="24"/>
      <c r="HN65" s="24"/>
      <c r="HO65" s="24"/>
      <c r="HP65" s="24"/>
      <c r="HQ65" s="24"/>
      <c r="HR65" s="24"/>
      <c r="HS65" s="24"/>
      <c r="HT65" s="24"/>
      <c r="HU65" s="24"/>
      <c r="HV65" s="24"/>
      <c r="HW65" s="24"/>
      <c r="HX65" s="24"/>
      <c r="HY65" s="24"/>
      <c r="HZ65" s="24"/>
      <c r="IA65" s="24"/>
      <c r="IB65" s="24"/>
      <c r="IC65" s="24"/>
      <c r="ID65" s="24"/>
      <c r="IE65" s="24"/>
      <c r="IF65" s="24"/>
      <c r="IG65" s="24"/>
      <c r="IH65" s="24"/>
      <c r="II65" s="24"/>
      <c r="IJ65" s="24"/>
      <c r="IK65" s="24"/>
      <c r="IL65" s="24"/>
      <c r="IM65" s="24"/>
      <c r="IN65" s="24"/>
      <c r="IO65" s="24"/>
      <c r="IP65" s="24"/>
      <c r="IQ65" s="24"/>
      <c r="IR65" s="24"/>
      <c r="IS65" s="24"/>
      <c r="IT65" s="24"/>
      <c r="IU65" s="24"/>
      <c r="IV65" s="24"/>
      <c r="IW65" s="24"/>
      <c r="IX65" s="24"/>
      <c r="IY65" s="24"/>
      <c r="IZ65" s="24"/>
      <c r="JA65" s="24"/>
      <c r="JB65" s="24"/>
      <c r="JC65" s="24"/>
      <c r="JD65" s="24"/>
      <c r="JE65" s="24"/>
      <c r="JF65" s="24"/>
      <c r="JG65" s="24"/>
      <c r="JH65" s="24"/>
      <c r="JI65" s="24"/>
      <c r="JJ65" s="24"/>
      <c r="JK65" s="24"/>
      <c r="JL65" s="24"/>
      <c r="JM65" s="24"/>
      <c r="JN65" s="24"/>
      <c r="JO65" s="24"/>
      <c r="JP65" s="24"/>
      <c r="JQ65" s="24"/>
      <c r="JR65" s="24"/>
      <c r="JS65" s="24"/>
      <c r="JT65" s="24"/>
      <c r="JU65" s="24"/>
      <c r="JV65" s="24"/>
      <c r="JW65" s="24"/>
      <c r="JX65" s="24"/>
      <c r="JY65" s="24"/>
      <c r="JZ65" s="24"/>
      <c r="KA65" s="24"/>
      <c r="KB65" s="24"/>
      <c r="KC65" s="24"/>
      <c r="KD65" s="24"/>
      <c r="KE65" s="24"/>
      <c r="KF65" s="24"/>
      <c r="KG65" s="24"/>
      <c r="KH65" s="24"/>
      <c r="KI65" s="24"/>
      <c r="KJ65" s="24"/>
      <c r="KK65" s="24"/>
      <c r="KL65" s="24"/>
    </row>
    <row r="66" spans="1:298" s="26" customFormat="1" ht="15.95" hidden="1" customHeight="1" x14ac:dyDescent="0.3">
      <c r="A66" s="172"/>
      <c r="B66" s="172"/>
      <c r="C66" s="172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4"/>
      <c r="BZ66" s="172"/>
      <c r="CA66" s="172"/>
      <c r="CB66" s="24"/>
      <c r="CC66" s="25"/>
      <c r="CH66" s="66" t="s">
        <v>163</v>
      </c>
      <c r="CI66" s="41">
        <f>VLOOKUP(견적관리자용!$Q$10,할부오토론!$CH$67:$CI$69,2,FALSE)</f>
        <v>0</v>
      </c>
      <c r="CL66" s="28"/>
      <c r="CM66" s="28"/>
      <c r="CO66" s="29"/>
      <c r="CP66" s="28"/>
      <c r="CQ66" s="28"/>
      <c r="CR66" s="28"/>
      <c r="CS66" s="28"/>
      <c r="CT66" s="28"/>
      <c r="CU66" s="28"/>
      <c r="CW66" s="68" t="s">
        <v>102</v>
      </c>
      <c r="CX66" s="124" t="str">
        <f>견적관리자용!$S$8</f>
        <v>승용일반</v>
      </c>
      <c r="CY66" s="70">
        <v>0</v>
      </c>
      <c r="CZ66" s="125">
        <v>0.06</v>
      </c>
      <c r="DA66" s="125">
        <v>0.06</v>
      </c>
      <c r="DB66" s="125">
        <v>0.08</v>
      </c>
      <c r="DC66" s="125">
        <v>0.12</v>
      </c>
      <c r="DD66" s="72">
        <f t="shared" si="2"/>
        <v>0</v>
      </c>
      <c r="DE66" s="73">
        <v>63</v>
      </c>
      <c r="DF66" s="72">
        <f t="shared" si="0"/>
        <v>0</v>
      </c>
      <c r="DG66" s="166">
        <f>SUM(DF66:DF75)</f>
        <v>0</v>
      </c>
      <c r="DJ66" s="25"/>
      <c r="DK66" s="25"/>
      <c r="DL66" s="25"/>
      <c r="DM66" s="24"/>
      <c r="DN66" s="24"/>
      <c r="DO66" s="24"/>
      <c r="DP66" s="24"/>
      <c r="DQ66" s="24"/>
      <c r="DR66" s="24"/>
      <c r="DS66" s="24"/>
      <c r="DT66" s="24"/>
      <c r="DU66" s="24"/>
      <c r="DV66" s="24"/>
      <c r="DW66" s="24"/>
      <c r="DX66" s="24"/>
      <c r="DY66" s="24"/>
      <c r="DZ66" s="24"/>
      <c r="EA66" s="24"/>
      <c r="EB66" s="24"/>
      <c r="EC66" s="24"/>
      <c r="ED66" s="24"/>
      <c r="EE66" s="24"/>
      <c r="EF66" s="24"/>
      <c r="EG66" s="24"/>
      <c r="EH66" s="24"/>
      <c r="EI66" s="24"/>
      <c r="EJ66" s="24"/>
      <c r="EK66" s="24"/>
      <c r="EL66" s="24"/>
      <c r="EM66" s="24"/>
      <c r="EN66" s="24"/>
      <c r="EO66" s="24"/>
      <c r="EP66" s="24"/>
      <c r="EQ66" s="24"/>
      <c r="ER66" s="24"/>
      <c r="ES66" s="24"/>
      <c r="ET66" s="24"/>
      <c r="EU66" s="24"/>
      <c r="EV66" s="24"/>
      <c r="EW66" s="24"/>
      <c r="EX66" s="24"/>
      <c r="EY66" s="24"/>
      <c r="EZ66" s="24"/>
      <c r="FA66" s="24"/>
      <c r="FB66" s="24"/>
      <c r="FC66" s="24"/>
      <c r="FD66" s="24"/>
      <c r="FE66" s="24"/>
      <c r="FF66" s="24"/>
      <c r="FG66" s="24"/>
      <c r="FH66" s="24"/>
      <c r="FI66" s="24"/>
      <c r="FJ66" s="24"/>
      <c r="FK66" s="24"/>
      <c r="FL66" s="24"/>
      <c r="FM66" s="24"/>
      <c r="FN66" s="24"/>
      <c r="FO66" s="24"/>
      <c r="FP66" s="24"/>
      <c r="FQ66" s="24"/>
      <c r="FR66" s="24"/>
      <c r="FS66" s="24"/>
      <c r="FT66" s="24"/>
      <c r="FU66" s="24"/>
      <c r="FV66" s="24"/>
      <c r="FW66" s="24"/>
      <c r="FX66" s="24"/>
      <c r="FY66" s="24"/>
      <c r="FZ66" s="24"/>
      <c r="GA66" s="24"/>
      <c r="GB66" s="24"/>
      <c r="GC66" s="24"/>
      <c r="GD66" s="24"/>
      <c r="GE66" s="24"/>
      <c r="GF66" s="24"/>
      <c r="GG66" s="24"/>
      <c r="GH66" s="24"/>
      <c r="GI66" s="24"/>
      <c r="GJ66" s="24"/>
      <c r="GK66" s="24"/>
      <c r="GL66" s="24"/>
      <c r="GM66" s="24"/>
      <c r="GN66" s="24"/>
      <c r="GO66" s="24"/>
      <c r="GP66" s="24"/>
      <c r="GQ66" s="24"/>
      <c r="GR66" s="24"/>
      <c r="GS66" s="24"/>
      <c r="GT66" s="24"/>
      <c r="GU66" s="24"/>
      <c r="GV66" s="24"/>
      <c r="GW66" s="24"/>
      <c r="GX66" s="24"/>
      <c r="GY66" s="24"/>
      <c r="GZ66" s="24"/>
      <c r="HA66" s="24"/>
      <c r="HB66" s="24"/>
      <c r="HC66" s="24"/>
      <c r="HD66" s="24"/>
      <c r="HE66" s="24"/>
      <c r="HF66" s="24"/>
      <c r="HG66" s="24"/>
      <c r="HH66" s="24"/>
      <c r="HI66" s="24"/>
      <c r="HJ66" s="24"/>
      <c r="HK66" s="24"/>
      <c r="HL66" s="24"/>
      <c r="HM66" s="24"/>
      <c r="HN66" s="24"/>
      <c r="HO66" s="24"/>
      <c r="HP66" s="24"/>
      <c r="HQ66" s="24"/>
      <c r="HR66" s="24"/>
      <c r="HS66" s="24"/>
      <c r="HT66" s="24"/>
      <c r="HU66" s="24"/>
      <c r="HV66" s="24"/>
      <c r="HW66" s="24"/>
      <c r="HX66" s="24"/>
      <c r="HY66" s="24"/>
      <c r="HZ66" s="24"/>
      <c r="IA66" s="24"/>
      <c r="IB66" s="24"/>
      <c r="IC66" s="24"/>
      <c r="ID66" s="24"/>
      <c r="IE66" s="24"/>
      <c r="IF66" s="24"/>
      <c r="IG66" s="24"/>
      <c r="IH66" s="24"/>
      <c r="II66" s="24"/>
      <c r="IJ66" s="24"/>
      <c r="IK66" s="24"/>
      <c r="IL66" s="24"/>
      <c r="IM66" s="24"/>
      <c r="IN66" s="24"/>
      <c r="IO66" s="24"/>
      <c r="IP66" s="24"/>
      <c r="IQ66" s="24"/>
      <c r="IR66" s="24"/>
      <c r="IS66" s="24"/>
      <c r="IT66" s="24"/>
      <c r="IU66" s="24"/>
      <c r="IV66" s="24"/>
      <c r="IW66" s="24"/>
      <c r="IX66" s="24"/>
      <c r="IY66" s="24"/>
      <c r="IZ66" s="24"/>
      <c r="JA66" s="24"/>
      <c r="JB66" s="24"/>
      <c r="JC66" s="24"/>
      <c r="JD66" s="24"/>
      <c r="JE66" s="24"/>
      <c r="JF66" s="24"/>
      <c r="JG66" s="24"/>
      <c r="JH66" s="24"/>
      <c r="JI66" s="24"/>
      <c r="JJ66" s="24"/>
      <c r="JK66" s="24"/>
      <c r="JL66" s="24"/>
      <c r="JM66" s="24"/>
      <c r="JN66" s="24"/>
      <c r="JO66" s="24"/>
      <c r="JP66" s="24"/>
      <c r="JQ66" s="24"/>
      <c r="JR66" s="24"/>
      <c r="JS66" s="24"/>
      <c r="JT66" s="24"/>
      <c r="JU66" s="24"/>
      <c r="JV66" s="24"/>
      <c r="JW66" s="24"/>
      <c r="JX66" s="24"/>
      <c r="JY66" s="24"/>
      <c r="JZ66" s="24"/>
      <c r="KA66" s="24"/>
      <c r="KB66" s="24"/>
      <c r="KC66" s="24"/>
      <c r="KD66" s="24"/>
      <c r="KE66" s="24"/>
      <c r="KF66" s="24"/>
      <c r="KG66" s="24"/>
      <c r="KH66" s="24"/>
      <c r="KI66" s="24"/>
      <c r="KJ66" s="24"/>
      <c r="KK66" s="24"/>
      <c r="KL66" s="24"/>
    </row>
    <row r="67" spans="1:298" s="26" customFormat="1" ht="15.95" hidden="1" customHeight="1" x14ac:dyDescent="0.3">
      <c r="A67" s="172"/>
      <c r="B67" s="172"/>
      <c r="C67" s="172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2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4"/>
      <c r="BZ67" s="172"/>
      <c r="CA67" s="172"/>
      <c r="CB67" s="24"/>
      <c r="CC67" s="25"/>
      <c r="CH67" s="89" t="s">
        <v>124</v>
      </c>
      <c r="CI67" s="50">
        <f>ROUNDDOWN($CI$23*견적관리자용!$Q$11,0)</f>
        <v>0</v>
      </c>
      <c r="CL67" s="28"/>
      <c r="CM67" s="28"/>
      <c r="CO67" s="29"/>
      <c r="CP67" s="28"/>
      <c r="CQ67" s="28"/>
      <c r="CR67" s="28"/>
      <c r="CS67" s="28"/>
      <c r="CT67" s="28"/>
      <c r="CU67" s="28"/>
      <c r="CW67" s="68" t="s">
        <v>103</v>
      </c>
      <c r="CX67" s="69" t="str">
        <f>견적관리자용!$S$9</f>
        <v>승용SUV(~5인)</v>
      </c>
      <c r="CY67" s="70">
        <v>0</v>
      </c>
      <c r="CZ67" s="71">
        <v>0.06</v>
      </c>
      <c r="DA67" s="71">
        <v>0.06</v>
      </c>
      <c r="DB67" s="71">
        <v>0.08</v>
      </c>
      <c r="DC67" s="71">
        <v>0.12</v>
      </c>
      <c r="DD67" s="72">
        <f t="shared" si="2"/>
        <v>0</v>
      </c>
      <c r="DE67" s="73">
        <v>64</v>
      </c>
      <c r="DF67" s="72">
        <f t="shared" si="0"/>
        <v>0</v>
      </c>
      <c r="DG67" s="166"/>
      <c r="DJ67" s="25"/>
      <c r="DK67" s="25"/>
      <c r="DL67" s="25"/>
      <c r="DM67" s="24"/>
      <c r="DN67" s="24"/>
      <c r="DO67" s="24"/>
      <c r="DP67" s="24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4"/>
      <c r="EC67" s="24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4"/>
      <c r="EP67" s="24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4"/>
      <c r="FC67" s="24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4"/>
      <c r="FP67" s="24"/>
      <c r="FQ67" s="24"/>
      <c r="FR67" s="24"/>
      <c r="FS67" s="24"/>
      <c r="FT67" s="24"/>
      <c r="FU67" s="24"/>
      <c r="FV67" s="24"/>
      <c r="FW67" s="24"/>
      <c r="FX67" s="24"/>
      <c r="FY67" s="24"/>
      <c r="FZ67" s="24"/>
      <c r="GA67" s="24"/>
      <c r="GB67" s="24"/>
      <c r="GC67" s="24"/>
      <c r="GD67" s="24"/>
      <c r="GE67" s="24"/>
      <c r="GF67" s="24"/>
      <c r="GG67" s="24"/>
      <c r="GH67" s="24"/>
      <c r="GI67" s="24"/>
      <c r="GJ67" s="24"/>
      <c r="GK67" s="24"/>
      <c r="GL67" s="24"/>
      <c r="GM67" s="24"/>
      <c r="GN67" s="24"/>
      <c r="GO67" s="24"/>
      <c r="GP67" s="24"/>
      <c r="GQ67" s="24"/>
      <c r="GR67" s="24"/>
      <c r="GS67" s="24"/>
      <c r="GT67" s="24"/>
      <c r="GU67" s="24"/>
      <c r="GV67" s="24"/>
      <c r="GW67" s="24"/>
      <c r="GX67" s="24"/>
      <c r="GY67" s="24"/>
      <c r="GZ67" s="24"/>
      <c r="HA67" s="24"/>
      <c r="HB67" s="24"/>
      <c r="HC67" s="24"/>
      <c r="HD67" s="24"/>
      <c r="HE67" s="24"/>
      <c r="HF67" s="24"/>
      <c r="HG67" s="24"/>
      <c r="HH67" s="24"/>
      <c r="HI67" s="24"/>
      <c r="HJ67" s="24"/>
      <c r="HK67" s="24"/>
      <c r="HL67" s="24"/>
      <c r="HM67" s="24"/>
      <c r="HN67" s="24"/>
      <c r="HO67" s="24"/>
      <c r="HP67" s="24"/>
      <c r="HQ67" s="24"/>
      <c r="HR67" s="24"/>
      <c r="HS67" s="24"/>
      <c r="HT67" s="24"/>
      <c r="HU67" s="24"/>
      <c r="HV67" s="24"/>
      <c r="HW67" s="24"/>
      <c r="HX67" s="24"/>
      <c r="HY67" s="24"/>
      <c r="HZ67" s="24"/>
      <c r="IA67" s="24"/>
      <c r="IB67" s="24"/>
      <c r="IC67" s="24"/>
      <c r="ID67" s="24"/>
      <c r="IE67" s="24"/>
      <c r="IF67" s="24"/>
      <c r="IG67" s="24"/>
      <c r="IH67" s="24"/>
      <c r="II67" s="24"/>
      <c r="IJ67" s="24"/>
      <c r="IK67" s="24"/>
      <c r="IL67" s="24"/>
      <c r="IM67" s="24"/>
      <c r="IN67" s="24"/>
      <c r="IO67" s="24"/>
      <c r="IP67" s="24"/>
      <c r="IQ67" s="24"/>
      <c r="IR67" s="24"/>
      <c r="IS67" s="24"/>
      <c r="IT67" s="24"/>
      <c r="IU67" s="24"/>
      <c r="IV67" s="24"/>
      <c r="IW67" s="24"/>
      <c r="IX67" s="24"/>
      <c r="IY67" s="24"/>
      <c r="IZ67" s="24"/>
      <c r="JA67" s="24"/>
      <c r="JB67" s="24"/>
      <c r="JC67" s="24"/>
      <c r="JD67" s="24"/>
      <c r="JE67" s="24"/>
      <c r="JF67" s="24"/>
      <c r="JG67" s="24"/>
      <c r="JH67" s="24"/>
      <c r="JI67" s="24"/>
      <c r="JJ67" s="24"/>
      <c r="JK67" s="24"/>
      <c r="JL67" s="24"/>
      <c r="JM67" s="24"/>
      <c r="JN67" s="24"/>
      <c r="JO67" s="24"/>
      <c r="JP67" s="24"/>
      <c r="JQ67" s="24"/>
      <c r="JR67" s="24"/>
      <c r="JS67" s="24"/>
      <c r="JT67" s="24"/>
      <c r="JU67" s="24"/>
      <c r="JV67" s="24"/>
      <c r="JW67" s="24"/>
      <c r="JX67" s="24"/>
      <c r="JY67" s="24"/>
      <c r="JZ67" s="24"/>
      <c r="KA67" s="24"/>
      <c r="KB67" s="24"/>
      <c r="KC67" s="24"/>
      <c r="KD67" s="24"/>
      <c r="KE67" s="24"/>
      <c r="KF67" s="24"/>
      <c r="KG67" s="24"/>
      <c r="KH67" s="24"/>
      <c r="KI67" s="24"/>
      <c r="KJ67" s="24"/>
      <c r="KK67" s="24"/>
      <c r="KL67" s="24"/>
    </row>
    <row r="68" spans="1:298" s="26" customFormat="1" ht="15.95" hidden="1" customHeight="1" x14ac:dyDescent="0.3">
      <c r="A68" s="172"/>
      <c r="B68" s="172"/>
      <c r="C68" s="172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  <c r="AG68" s="173"/>
      <c r="AH68" s="173"/>
      <c r="AI68" s="173"/>
      <c r="AJ68" s="173"/>
      <c r="AK68" s="173"/>
      <c r="AL68" s="173"/>
      <c r="AM68" s="173"/>
      <c r="AN68" s="173"/>
      <c r="AO68" s="173"/>
      <c r="AP68" s="173"/>
      <c r="AQ68" s="173"/>
      <c r="AR68" s="173"/>
      <c r="AS68" s="172"/>
      <c r="AT68" s="172"/>
      <c r="AU68" s="172"/>
      <c r="AV68" s="172"/>
      <c r="AW68" s="172"/>
      <c r="AX68" s="172"/>
      <c r="AY68" s="172"/>
      <c r="AZ68" s="172"/>
      <c r="BA68" s="172"/>
      <c r="BB68" s="172"/>
      <c r="BC68" s="172"/>
      <c r="BD68" s="172"/>
      <c r="BE68" s="172"/>
      <c r="BF68" s="172"/>
      <c r="BG68" s="172"/>
      <c r="BH68" s="172"/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4"/>
      <c r="BZ68" s="172"/>
      <c r="CA68" s="172"/>
      <c r="CB68" s="24"/>
      <c r="CC68" s="25"/>
      <c r="CH68" s="89" t="s">
        <v>125</v>
      </c>
      <c r="CI68" s="50">
        <f>견적관리자용!$Q$12</f>
        <v>0</v>
      </c>
      <c r="CL68" s="42"/>
      <c r="CM68" s="28"/>
      <c r="CO68" s="29"/>
      <c r="CP68" s="28"/>
      <c r="CQ68" s="28"/>
      <c r="CR68" s="28"/>
      <c r="CS68" s="28"/>
      <c r="CT68" s="28"/>
      <c r="CU68" s="28"/>
      <c r="CW68" s="68" t="s">
        <v>104</v>
      </c>
      <c r="CX68" s="69" t="str">
        <f>견적관리자용!$S$10</f>
        <v>승용SUV(7~10인)</v>
      </c>
      <c r="CY68" s="70">
        <v>0</v>
      </c>
      <c r="CZ68" s="71">
        <v>0.06</v>
      </c>
      <c r="DA68" s="71">
        <v>0.06</v>
      </c>
      <c r="DB68" s="71">
        <v>0.08</v>
      </c>
      <c r="DC68" s="71">
        <v>0.12</v>
      </c>
      <c r="DD68" s="72">
        <f t="shared" si="2"/>
        <v>0</v>
      </c>
      <c r="DE68" s="73">
        <v>65</v>
      </c>
      <c r="DF68" s="72">
        <f t="shared" si="0"/>
        <v>0</v>
      </c>
      <c r="DG68" s="166"/>
      <c r="DJ68" s="25"/>
      <c r="DK68" s="25"/>
      <c r="DL68" s="25"/>
      <c r="DM68" s="24"/>
      <c r="DN68" s="24"/>
      <c r="DO68" s="24"/>
      <c r="DP68" s="24"/>
      <c r="DQ68" s="24"/>
      <c r="DR68" s="24"/>
      <c r="DS68" s="24"/>
      <c r="DT68" s="24"/>
      <c r="DU68" s="24"/>
      <c r="DV68" s="24"/>
      <c r="DW68" s="24"/>
      <c r="DX68" s="24"/>
      <c r="DY68" s="24"/>
      <c r="DZ68" s="24"/>
      <c r="EA68" s="24"/>
      <c r="EB68" s="24"/>
      <c r="EC68" s="24"/>
      <c r="ED68" s="24"/>
      <c r="EE68" s="24"/>
      <c r="EF68" s="24"/>
      <c r="EG68" s="24"/>
      <c r="EH68" s="24"/>
      <c r="EI68" s="24"/>
      <c r="EJ68" s="24"/>
      <c r="EK68" s="24"/>
      <c r="EL68" s="24"/>
      <c r="EM68" s="24"/>
      <c r="EN68" s="24"/>
      <c r="EO68" s="24"/>
      <c r="EP68" s="24"/>
      <c r="EQ68" s="24"/>
      <c r="ER68" s="24"/>
      <c r="ES68" s="24"/>
      <c r="ET68" s="24"/>
      <c r="EU68" s="24"/>
      <c r="EV68" s="24"/>
      <c r="EW68" s="24"/>
      <c r="EX68" s="24"/>
      <c r="EY68" s="24"/>
      <c r="EZ68" s="24"/>
      <c r="FA68" s="24"/>
      <c r="FB68" s="24"/>
      <c r="FC68" s="24"/>
      <c r="FD68" s="24"/>
      <c r="FE68" s="24"/>
      <c r="FF68" s="24"/>
      <c r="FG68" s="24"/>
      <c r="FH68" s="24"/>
      <c r="FI68" s="24"/>
      <c r="FJ68" s="24"/>
      <c r="FK68" s="24"/>
      <c r="FL68" s="24"/>
      <c r="FM68" s="24"/>
      <c r="FN68" s="24"/>
      <c r="FO68" s="24"/>
      <c r="FP68" s="24"/>
      <c r="FQ68" s="24"/>
      <c r="FR68" s="24"/>
      <c r="FS68" s="24"/>
      <c r="FT68" s="24"/>
      <c r="FU68" s="24"/>
      <c r="FV68" s="24"/>
      <c r="FW68" s="24"/>
      <c r="FX68" s="24"/>
      <c r="FY68" s="24"/>
      <c r="FZ68" s="24"/>
      <c r="GA68" s="24"/>
      <c r="GB68" s="24"/>
      <c r="GC68" s="24"/>
      <c r="GD68" s="24"/>
      <c r="GE68" s="24"/>
      <c r="GF68" s="24"/>
      <c r="GG68" s="24"/>
      <c r="GH68" s="24"/>
      <c r="GI68" s="24"/>
      <c r="GJ68" s="24"/>
      <c r="GK68" s="24"/>
      <c r="GL68" s="24"/>
      <c r="GM68" s="24"/>
      <c r="GN68" s="24"/>
      <c r="GO68" s="24"/>
      <c r="GP68" s="24"/>
      <c r="GQ68" s="24"/>
      <c r="GR68" s="24"/>
      <c r="GS68" s="24"/>
      <c r="GT68" s="24"/>
      <c r="GU68" s="24"/>
      <c r="GV68" s="24"/>
      <c r="GW68" s="24"/>
      <c r="GX68" s="24"/>
      <c r="GY68" s="24"/>
      <c r="GZ68" s="24"/>
      <c r="HA68" s="24"/>
      <c r="HB68" s="24"/>
      <c r="HC68" s="24"/>
      <c r="HD68" s="24"/>
      <c r="HE68" s="24"/>
      <c r="HF68" s="24"/>
      <c r="HG68" s="24"/>
      <c r="HH68" s="24"/>
      <c r="HI68" s="24"/>
      <c r="HJ68" s="24"/>
      <c r="HK68" s="24"/>
      <c r="HL68" s="24"/>
      <c r="HM68" s="24"/>
      <c r="HN68" s="24"/>
      <c r="HO68" s="24"/>
      <c r="HP68" s="24"/>
      <c r="HQ68" s="24"/>
      <c r="HR68" s="24"/>
      <c r="HS68" s="24"/>
      <c r="HT68" s="24"/>
      <c r="HU68" s="24"/>
      <c r="HV68" s="24"/>
      <c r="HW68" s="24"/>
      <c r="HX68" s="24"/>
      <c r="HY68" s="24"/>
      <c r="HZ68" s="24"/>
      <c r="IA68" s="24"/>
      <c r="IB68" s="24"/>
      <c r="IC68" s="24"/>
      <c r="ID68" s="24"/>
      <c r="IE68" s="24"/>
      <c r="IF68" s="24"/>
      <c r="IG68" s="24"/>
      <c r="IH68" s="24"/>
      <c r="II68" s="24"/>
      <c r="IJ68" s="24"/>
      <c r="IK68" s="24"/>
      <c r="IL68" s="24"/>
      <c r="IM68" s="24"/>
      <c r="IN68" s="24"/>
      <c r="IO68" s="24"/>
      <c r="IP68" s="24"/>
      <c r="IQ68" s="24"/>
      <c r="IR68" s="24"/>
      <c r="IS68" s="24"/>
      <c r="IT68" s="24"/>
      <c r="IU68" s="24"/>
      <c r="IV68" s="24"/>
      <c r="IW68" s="24"/>
      <c r="IX68" s="24"/>
      <c r="IY68" s="24"/>
      <c r="IZ68" s="24"/>
      <c r="JA68" s="24"/>
      <c r="JB68" s="24"/>
      <c r="JC68" s="24"/>
      <c r="JD68" s="24"/>
      <c r="JE68" s="24"/>
      <c r="JF68" s="24"/>
      <c r="JG68" s="24"/>
      <c r="JH68" s="24"/>
      <c r="JI68" s="24"/>
      <c r="JJ68" s="24"/>
      <c r="JK68" s="24"/>
      <c r="JL68" s="24"/>
      <c r="JM68" s="24"/>
      <c r="JN68" s="24"/>
      <c r="JO68" s="24"/>
      <c r="JP68" s="24"/>
      <c r="JQ68" s="24"/>
      <c r="JR68" s="24"/>
      <c r="JS68" s="24"/>
      <c r="JT68" s="24"/>
      <c r="JU68" s="24"/>
      <c r="JV68" s="24"/>
      <c r="JW68" s="24"/>
      <c r="JX68" s="24"/>
      <c r="JY68" s="24"/>
      <c r="JZ68" s="24"/>
      <c r="KA68" s="24"/>
      <c r="KB68" s="24"/>
      <c r="KC68" s="24"/>
      <c r="KD68" s="24"/>
      <c r="KE68" s="24"/>
      <c r="KF68" s="24"/>
      <c r="KG68" s="24"/>
      <c r="KH68" s="24"/>
      <c r="KI68" s="24"/>
      <c r="KJ68" s="24"/>
      <c r="KK68" s="24"/>
      <c r="KL68" s="24"/>
    </row>
    <row r="69" spans="1:298" s="26" customFormat="1" ht="15.95" hidden="1" customHeight="1" x14ac:dyDescent="0.3">
      <c r="A69" s="172"/>
      <c r="B69" s="172"/>
      <c r="C69" s="172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173"/>
      <c r="AH69" s="173"/>
      <c r="AI69" s="173"/>
      <c r="AJ69" s="173"/>
      <c r="AK69" s="173"/>
      <c r="AL69" s="173"/>
      <c r="AM69" s="173"/>
      <c r="AN69" s="173"/>
      <c r="AO69" s="173"/>
      <c r="AP69" s="173"/>
      <c r="AQ69" s="173"/>
      <c r="AR69" s="173"/>
      <c r="AS69" s="172"/>
      <c r="AT69" s="172"/>
      <c r="AU69" s="172"/>
      <c r="AV69" s="172"/>
      <c r="AW69" s="172"/>
      <c r="AX69" s="172"/>
      <c r="AY69" s="172"/>
      <c r="AZ69" s="172"/>
      <c r="BA69" s="172"/>
      <c r="BB69" s="172"/>
      <c r="BC69" s="172"/>
      <c r="BD69" s="172"/>
      <c r="BE69" s="172"/>
      <c r="BF69" s="172"/>
      <c r="BG69" s="172"/>
      <c r="BH69" s="172"/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4"/>
      <c r="BZ69" s="172"/>
      <c r="CA69" s="172"/>
      <c r="CB69" s="24"/>
      <c r="CC69" s="25"/>
      <c r="CH69" s="185" t="s">
        <v>162</v>
      </c>
      <c r="CI69" s="97">
        <f>$CI$67+$CI$68</f>
        <v>0</v>
      </c>
      <c r="CL69" s="28"/>
      <c r="CM69" s="28"/>
      <c r="CO69" s="29"/>
      <c r="CP69" s="28"/>
      <c r="CQ69" s="28"/>
      <c r="CR69" s="28"/>
      <c r="CS69" s="28"/>
      <c r="CT69" s="28"/>
      <c r="CU69" s="28"/>
      <c r="CW69" s="68"/>
      <c r="CX69" s="69" t="str">
        <f>견적관리자용!$S$11</f>
        <v>승합(11~15인)</v>
      </c>
      <c r="CY69" s="70">
        <v>0</v>
      </c>
      <c r="CZ69" s="125">
        <v>0.03</v>
      </c>
      <c r="DA69" s="125">
        <v>0.03</v>
      </c>
      <c r="DB69" s="125">
        <v>0.03</v>
      </c>
      <c r="DC69" s="125">
        <v>0.03</v>
      </c>
      <c r="DD69" s="72">
        <f t="shared" si="2"/>
        <v>0</v>
      </c>
      <c r="DE69" s="73">
        <v>66</v>
      </c>
      <c r="DF69" s="72">
        <f t="shared" si="0"/>
        <v>0</v>
      </c>
      <c r="DG69" s="166"/>
      <c r="DJ69" s="25"/>
      <c r="DK69" s="25"/>
      <c r="DL69" s="25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4"/>
      <c r="EP69" s="24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4"/>
      <c r="FC69" s="24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4"/>
      <c r="FP69" s="24"/>
      <c r="FQ69" s="24"/>
      <c r="FR69" s="24"/>
      <c r="FS69" s="24"/>
      <c r="FT69" s="24"/>
      <c r="FU69" s="24"/>
      <c r="FV69" s="24"/>
      <c r="FW69" s="24"/>
      <c r="FX69" s="24"/>
      <c r="FY69" s="24"/>
      <c r="FZ69" s="24"/>
      <c r="GA69" s="24"/>
      <c r="GB69" s="24"/>
      <c r="GC69" s="24"/>
      <c r="GD69" s="24"/>
      <c r="GE69" s="24"/>
      <c r="GF69" s="24"/>
      <c r="GG69" s="24"/>
      <c r="GH69" s="24"/>
      <c r="GI69" s="24"/>
      <c r="GJ69" s="24"/>
      <c r="GK69" s="24"/>
      <c r="GL69" s="24"/>
      <c r="GM69" s="24"/>
      <c r="GN69" s="24"/>
      <c r="GO69" s="24"/>
      <c r="GP69" s="24"/>
      <c r="GQ69" s="24"/>
      <c r="GR69" s="24"/>
      <c r="GS69" s="24"/>
      <c r="GT69" s="24"/>
      <c r="GU69" s="24"/>
      <c r="GV69" s="24"/>
      <c r="GW69" s="24"/>
      <c r="GX69" s="24"/>
      <c r="GY69" s="24"/>
      <c r="GZ69" s="24"/>
      <c r="HA69" s="24"/>
      <c r="HB69" s="24"/>
      <c r="HC69" s="24"/>
      <c r="HD69" s="24"/>
      <c r="HE69" s="24"/>
      <c r="HF69" s="24"/>
      <c r="HG69" s="24"/>
      <c r="HH69" s="24"/>
      <c r="HI69" s="24"/>
      <c r="HJ69" s="24"/>
      <c r="HK69" s="24"/>
      <c r="HL69" s="24"/>
      <c r="HM69" s="24"/>
      <c r="HN69" s="24"/>
      <c r="HO69" s="24"/>
      <c r="HP69" s="24"/>
      <c r="HQ69" s="24"/>
      <c r="HR69" s="24"/>
      <c r="HS69" s="24"/>
      <c r="HT69" s="24"/>
      <c r="HU69" s="24"/>
      <c r="HV69" s="24"/>
      <c r="HW69" s="24"/>
      <c r="HX69" s="24"/>
      <c r="HY69" s="24"/>
      <c r="HZ69" s="24"/>
      <c r="IA69" s="24"/>
      <c r="IB69" s="24"/>
      <c r="IC69" s="24"/>
      <c r="ID69" s="24"/>
      <c r="IE69" s="24"/>
      <c r="IF69" s="24"/>
      <c r="IG69" s="24"/>
      <c r="IH69" s="24"/>
      <c r="II69" s="24"/>
      <c r="IJ69" s="24"/>
      <c r="IK69" s="24"/>
      <c r="IL69" s="24"/>
      <c r="IM69" s="24"/>
      <c r="IN69" s="24"/>
      <c r="IO69" s="24"/>
      <c r="IP69" s="24"/>
      <c r="IQ69" s="24"/>
      <c r="IR69" s="24"/>
      <c r="IS69" s="24"/>
      <c r="IT69" s="24"/>
      <c r="IU69" s="24"/>
      <c r="IV69" s="24"/>
      <c r="IW69" s="24"/>
      <c r="IX69" s="24"/>
      <c r="IY69" s="24"/>
      <c r="IZ69" s="24"/>
      <c r="JA69" s="24"/>
      <c r="JB69" s="24"/>
      <c r="JC69" s="24"/>
      <c r="JD69" s="24"/>
      <c r="JE69" s="24"/>
      <c r="JF69" s="24"/>
      <c r="JG69" s="24"/>
      <c r="JH69" s="24"/>
      <c r="JI69" s="24"/>
      <c r="JJ69" s="24"/>
      <c r="JK69" s="24"/>
      <c r="JL69" s="24"/>
      <c r="JM69" s="24"/>
      <c r="JN69" s="24"/>
      <c r="JO69" s="24"/>
      <c r="JP69" s="24"/>
      <c r="JQ69" s="24"/>
      <c r="JR69" s="24"/>
      <c r="JS69" s="24"/>
      <c r="JT69" s="24"/>
      <c r="JU69" s="24"/>
      <c r="JV69" s="24"/>
      <c r="JW69" s="24"/>
      <c r="JX69" s="24"/>
      <c r="JY69" s="24"/>
      <c r="JZ69" s="24"/>
      <c r="KA69" s="24"/>
      <c r="KB69" s="24"/>
      <c r="KC69" s="24"/>
      <c r="KD69" s="24"/>
      <c r="KE69" s="24"/>
      <c r="KF69" s="24"/>
      <c r="KG69" s="24"/>
      <c r="KH69" s="24"/>
      <c r="KI69" s="24"/>
      <c r="KJ69" s="24"/>
      <c r="KK69" s="24"/>
      <c r="KL69" s="24"/>
    </row>
    <row r="70" spans="1:298" s="26" customFormat="1" ht="15.95" hidden="1" customHeight="1" x14ac:dyDescent="0.3">
      <c r="A70" s="172"/>
      <c r="B70" s="172"/>
      <c r="C70" s="172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2"/>
      <c r="AT70" s="172"/>
      <c r="AU70" s="172"/>
      <c r="AV70" s="172"/>
      <c r="AW70" s="172"/>
      <c r="AX70" s="172"/>
      <c r="AY70" s="172"/>
      <c r="AZ70" s="172"/>
      <c r="BA70" s="172"/>
      <c r="BB70" s="172"/>
      <c r="BC70" s="172"/>
      <c r="BD70" s="172"/>
      <c r="BE70" s="172"/>
      <c r="BF70" s="172"/>
      <c r="BG70" s="172"/>
      <c r="BH70" s="172"/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4"/>
      <c r="BZ70" s="172"/>
      <c r="CA70" s="172"/>
      <c r="CB70" s="24"/>
      <c r="CC70" s="25"/>
      <c r="CH70" s="35" t="s">
        <v>164</v>
      </c>
      <c r="CI70" s="57">
        <f>IF($BD$15="할부사명의(부산등록)",$CI$62,$CI$66)</f>
        <v>0</v>
      </c>
      <c r="CL70" s="28"/>
      <c r="CM70" s="28"/>
      <c r="CO70" s="29"/>
      <c r="CP70" s="28"/>
      <c r="CQ70" s="28"/>
      <c r="CR70" s="28"/>
      <c r="CS70" s="28"/>
      <c r="CT70" s="28"/>
      <c r="CU70" s="28"/>
      <c r="CW70" s="68"/>
      <c r="CX70" s="69" t="str">
        <f>견적관리자용!$S$12</f>
        <v>화물(1000cc 미만)</v>
      </c>
      <c r="CY70" s="70">
        <v>0</v>
      </c>
      <c r="CZ70" s="70">
        <v>0</v>
      </c>
      <c r="DA70" s="70">
        <v>0</v>
      </c>
      <c r="DB70" s="70">
        <v>0</v>
      </c>
      <c r="DC70" s="70">
        <v>0</v>
      </c>
      <c r="DD70" s="72">
        <f t="shared" si="2"/>
        <v>0</v>
      </c>
      <c r="DE70" s="73">
        <v>67</v>
      </c>
      <c r="DF70" s="72">
        <f t="shared" ref="DF70:DF133" si="3">IF($CI$5=CX70,DD70,0)</f>
        <v>0</v>
      </c>
      <c r="DG70" s="166"/>
      <c r="DJ70" s="25"/>
      <c r="DK70" s="25"/>
      <c r="DL70" s="25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</row>
    <row r="71" spans="1:298" s="26" customFormat="1" ht="15.95" hidden="1" customHeight="1" x14ac:dyDescent="0.3">
      <c r="A71" s="172"/>
      <c r="B71" s="172"/>
      <c r="C71" s="172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2"/>
      <c r="AT71" s="172"/>
      <c r="AU71" s="172"/>
      <c r="AV71" s="172"/>
      <c r="AW71" s="172"/>
      <c r="AX71" s="172"/>
      <c r="AY71" s="172"/>
      <c r="AZ71" s="172"/>
      <c r="BA71" s="172"/>
      <c r="BB71" s="172"/>
      <c r="BC71" s="172"/>
      <c r="BD71" s="172"/>
      <c r="BE71" s="172"/>
      <c r="BF71" s="172"/>
      <c r="BG71" s="172"/>
      <c r="BH71" s="172"/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4"/>
      <c r="BZ71" s="172"/>
      <c r="CA71" s="172"/>
      <c r="CB71" s="24"/>
      <c r="CC71" s="25"/>
      <c r="CH71" s="66" t="s">
        <v>165</v>
      </c>
      <c r="CI71" s="41">
        <f>VLOOKUP(견적관리자용!$Q$18,할부오토론!$CH$72:$CI$74,2,FALSE)</f>
        <v>0</v>
      </c>
      <c r="CL71" s="28"/>
      <c r="CM71" s="28"/>
      <c r="CO71" s="29"/>
      <c r="CP71" s="28"/>
      <c r="CQ71" s="28"/>
      <c r="CR71" s="28"/>
      <c r="CS71" s="28"/>
      <c r="CT71" s="28"/>
      <c r="CU71" s="28"/>
      <c r="CW71" s="85"/>
      <c r="CX71" s="69" t="str">
        <f>견적관리자용!$S$13</f>
        <v>화물(0.6톤 미만)</v>
      </c>
      <c r="CY71" s="70">
        <v>0</v>
      </c>
      <c r="CZ71" s="125">
        <v>1.4999999999999999E-2</v>
      </c>
      <c r="DA71" s="125">
        <v>1.4999999999999999E-2</v>
      </c>
      <c r="DB71" s="125">
        <v>1.4999999999999999E-2</v>
      </c>
      <c r="DC71" s="125">
        <v>1.4999999999999999E-2</v>
      </c>
      <c r="DD71" s="72">
        <f t="shared" si="2"/>
        <v>0</v>
      </c>
      <c r="DE71" s="73">
        <v>68</v>
      </c>
      <c r="DF71" s="72">
        <f t="shared" si="3"/>
        <v>0</v>
      </c>
      <c r="DG71" s="166"/>
      <c r="DJ71" s="25"/>
      <c r="DK71" s="25"/>
      <c r="DL71" s="25"/>
      <c r="DM71" s="24"/>
      <c r="DN71" s="24"/>
      <c r="DO71" s="24"/>
      <c r="DP71" s="24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4"/>
      <c r="EC71" s="24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4"/>
      <c r="EP71" s="24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4"/>
      <c r="FC71" s="24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4"/>
      <c r="FP71" s="24"/>
      <c r="FQ71" s="24"/>
      <c r="FR71" s="24"/>
      <c r="FS71" s="24"/>
      <c r="FT71" s="24"/>
      <c r="FU71" s="24"/>
      <c r="FV71" s="24"/>
      <c r="FW71" s="24"/>
      <c r="FX71" s="24"/>
      <c r="FY71" s="24"/>
      <c r="FZ71" s="24"/>
      <c r="GA71" s="24"/>
      <c r="GB71" s="24"/>
      <c r="GC71" s="24"/>
      <c r="GD71" s="24"/>
      <c r="GE71" s="24"/>
      <c r="GF71" s="24"/>
      <c r="GG71" s="24"/>
      <c r="GH71" s="24"/>
      <c r="GI71" s="24"/>
      <c r="GJ71" s="24"/>
      <c r="GK71" s="24"/>
      <c r="GL71" s="24"/>
      <c r="GM71" s="24"/>
      <c r="GN71" s="24"/>
      <c r="GO71" s="24"/>
      <c r="GP71" s="24"/>
      <c r="GQ71" s="24"/>
      <c r="GR71" s="24"/>
      <c r="GS71" s="24"/>
      <c r="GT71" s="24"/>
      <c r="GU71" s="24"/>
      <c r="GV71" s="24"/>
      <c r="GW71" s="24"/>
      <c r="GX71" s="24"/>
      <c r="GY71" s="24"/>
      <c r="GZ71" s="24"/>
      <c r="HA71" s="24"/>
      <c r="HB71" s="24"/>
      <c r="HC71" s="24"/>
      <c r="HD71" s="24"/>
      <c r="HE71" s="24"/>
      <c r="HF71" s="24"/>
      <c r="HG71" s="24"/>
      <c r="HH71" s="24"/>
      <c r="HI71" s="24"/>
      <c r="HJ71" s="24"/>
      <c r="HK71" s="24"/>
      <c r="HL71" s="24"/>
      <c r="HM71" s="24"/>
      <c r="HN71" s="24"/>
      <c r="HO71" s="24"/>
      <c r="HP71" s="24"/>
      <c r="HQ71" s="24"/>
      <c r="HR71" s="24"/>
      <c r="HS71" s="24"/>
      <c r="HT71" s="24"/>
      <c r="HU71" s="24"/>
      <c r="HV71" s="24"/>
      <c r="HW71" s="24"/>
      <c r="HX71" s="24"/>
      <c r="HY71" s="24"/>
      <c r="HZ71" s="24"/>
      <c r="IA71" s="24"/>
      <c r="IB71" s="24"/>
      <c r="IC71" s="24"/>
      <c r="ID71" s="24"/>
      <c r="IE71" s="24"/>
      <c r="IF71" s="24"/>
      <c r="IG71" s="24"/>
      <c r="IH71" s="24"/>
      <c r="II71" s="24"/>
      <c r="IJ71" s="24"/>
      <c r="IK71" s="24"/>
      <c r="IL71" s="24"/>
      <c r="IM71" s="24"/>
      <c r="IN71" s="24"/>
      <c r="IO71" s="24"/>
      <c r="IP71" s="24"/>
      <c r="IQ71" s="24"/>
      <c r="IR71" s="24"/>
      <c r="IS71" s="24"/>
      <c r="IT71" s="24"/>
      <c r="IU71" s="24"/>
      <c r="IV71" s="24"/>
      <c r="IW71" s="24"/>
      <c r="IX71" s="24"/>
      <c r="IY71" s="24"/>
      <c r="IZ71" s="24"/>
      <c r="JA71" s="24"/>
      <c r="JB71" s="24"/>
      <c r="JC71" s="24"/>
      <c r="JD71" s="24"/>
      <c r="JE71" s="24"/>
      <c r="JF71" s="24"/>
      <c r="JG71" s="24"/>
      <c r="JH71" s="24"/>
      <c r="JI71" s="24"/>
      <c r="JJ71" s="24"/>
      <c r="JK71" s="24"/>
      <c r="JL71" s="24"/>
      <c r="JM71" s="24"/>
      <c r="JN71" s="24"/>
      <c r="JO71" s="24"/>
      <c r="JP71" s="24"/>
      <c r="JQ71" s="24"/>
      <c r="JR71" s="24"/>
      <c r="JS71" s="24"/>
      <c r="JT71" s="24"/>
      <c r="JU71" s="24"/>
      <c r="JV71" s="24"/>
      <c r="JW71" s="24"/>
      <c r="JX71" s="24"/>
      <c r="JY71" s="24"/>
      <c r="JZ71" s="24"/>
      <c r="KA71" s="24"/>
      <c r="KB71" s="24"/>
      <c r="KC71" s="24"/>
      <c r="KD71" s="24"/>
      <c r="KE71" s="24"/>
      <c r="KF71" s="24"/>
      <c r="KG71" s="24"/>
      <c r="KH71" s="24"/>
      <c r="KI71" s="24"/>
      <c r="KJ71" s="24"/>
      <c r="KK71" s="24"/>
      <c r="KL71" s="24"/>
    </row>
    <row r="72" spans="1:298" s="26" customFormat="1" ht="15.95" hidden="1" customHeight="1" x14ac:dyDescent="0.3">
      <c r="A72" s="172"/>
      <c r="B72" s="172"/>
      <c r="C72" s="172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  <c r="AG72" s="173"/>
      <c r="AH72" s="173"/>
      <c r="AI72" s="173"/>
      <c r="AJ72" s="173"/>
      <c r="AK72" s="173"/>
      <c r="AL72" s="173"/>
      <c r="AM72" s="173"/>
      <c r="AN72" s="173"/>
      <c r="AO72" s="173"/>
      <c r="AP72" s="173"/>
      <c r="AQ72" s="173"/>
      <c r="AR72" s="173"/>
      <c r="AS72" s="172"/>
      <c r="AT72" s="172"/>
      <c r="AU72" s="172"/>
      <c r="AV72" s="172"/>
      <c r="AW72" s="172"/>
      <c r="AX72" s="172"/>
      <c r="AY72" s="172"/>
      <c r="AZ72" s="172"/>
      <c r="BA72" s="172"/>
      <c r="BB72" s="172"/>
      <c r="BC72" s="172"/>
      <c r="BD72" s="172"/>
      <c r="BE72" s="172"/>
      <c r="BF72" s="172"/>
      <c r="BG72" s="172"/>
      <c r="BH72" s="172"/>
      <c r="BI72" s="172"/>
      <c r="BJ72" s="172"/>
      <c r="BK72" s="172"/>
      <c r="BL72" s="172"/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4"/>
      <c r="BZ72" s="172"/>
      <c r="CA72" s="172"/>
      <c r="CB72" s="24"/>
      <c r="CC72" s="25"/>
      <c r="CH72" s="89" t="s">
        <v>124</v>
      </c>
      <c r="CI72" s="50">
        <f>ROUNDDOWN($CI$23*견적관리자용!$Q$19,0)</f>
        <v>0</v>
      </c>
      <c r="CL72" s="28"/>
      <c r="CM72" s="28"/>
      <c r="CO72" s="29"/>
      <c r="CP72" s="28"/>
      <c r="CQ72" s="28"/>
      <c r="CR72" s="28"/>
      <c r="CS72" s="28"/>
      <c r="CT72" s="28"/>
      <c r="CU72" s="28"/>
      <c r="CW72" s="85"/>
      <c r="CX72" s="69" t="str">
        <f>견적관리자용!$S$14</f>
        <v>화물(0.6~1톤 미만)</v>
      </c>
      <c r="CY72" s="70">
        <v>0</v>
      </c>
      <c r="CZ72" s="125">
        <v>0.03</v>
      </c>
      <c r="DA72" s="125">
        <v>0.03</v>
      </c>
      <c r="DB72" s="125">
        <v>0.03</v>
      </c>
      <c r="DC72" s="125">
        <v>0.03</v>
      </c>
      <c r="DD72" s="72">
        <f t="shared" ref="DD72:DD135" si="4">HLOOKUP($CI$6,$CY$4:$DC$145,DE72,TRUE)</f>
        <v>0</v>
      </c>
      <c r="DE72" s="73">
        <v>69</v>
      </c>
      <c r="DF72" s="72">
        <f t="shared" si="3"/>
        <v>0</v>
      </c>
      <c r="DG72" s="166"/>
      <c r="DJ72" s="25"/>
      <c r="DK72" s="25"/>
      <c r="DL72" s="25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  <c r="EG72" s="24"/>
      <c r="EH72" s="24"/>
      <c r="EI72" s="24"/>
      <c r="EJ72" s="24"/>
      <c r="EK72" s="24"/>
      <c r="EL72" s="24"/>
      <c r="EM72" s="24"/>
      <c r="EN72" s="24"/>
      <c r="EO72" s="24"/>
      <c r="EP72" s="24"/>
      <c r="EQ72" s="24"/>
      <c r="ER72" s="24"/>
      <c r="ES72" s="24"/>
      <c r="ET72" s="24"/>
      <c r="EU72" s="24"/>
      <c r="EV72" s="24"/>
      <c r="EW72" s="24"/>
      <c r="EX72" s="24"/>
      <c r="EY72" s="24"/>
      <c r="EZ72" s="24"/>
      <c r="FA72" s="24"/>
      <c r="FB72" s="24"/>
      <c r="FC72" s="24"/>
      <c r="FD72" s="24"/>
      <c r="FE72" s="24"/>
      <c r="FF72" s="24"/>
      <c r="FG72" s="24"/>
      <c r="FH72" s="24"/>
      <c r="FI72" s="24"/>
      <c r="FJ72" s="24"/>
      <c r="FK72" s="24"/>
      <c r="FL72" s="24"/>
      <c r="FM72" s="24"/>
      <c r="FN72" s="24"/>
      <c r="FO72" s="24"/>
      <c r="FP72" s="24"/>
      <c r="FQ72" s="24"/>
      <c r="FR72" s="24"/>
      <c r="FS72" s="24"/>
      <c r="FT72" s="24"/>
      <c r="FU72" s="24"/>
      <c r="FV72" s="24"/>
      <c r="FW72" s="24"/>
      <c r="FX72" s="24"/>
      <c r="FY72" s="24"/>
      <c r="FZ72" s="24"/>
      <c r="GA72" s="24"/>
      <c r="GB72" s="24"/>
      <c r="GC72" s="24"/>
      <c r="GD72" s="24"/>
      <c r="GE72" s="24"/>
      <c r="GF72" s="24"/>
      <c r="GG72" s="24"/>
      <c r="GH72" s="24"/>
      <c r="GI72" s="24"/>
      <c r="GJ72" s="24"/>
      <c r="GK72" s="24"/>
      <c r="GL72" s="24"/>
      <c r="GM72" s="24"/>
      <c r="GN72" s="24"/>
      <c r="GO72" s="24"/>
      <c r="GP72" s="24"/>
      <c r="GQ72" s="24"/>
      <c r="GR72" s="24"/>
      <c r="GS72" s="24"/>
      <c r="GT72" s="24"/>
      <c r="GU72" s="24"/>
      <c r="GV72" s="24"/>
      <c r="GW72" s="24"/>
      <c r="GX72" s="24"/>
      <c r="GY72" s="24"/>
      <c r="GZ72" s="24"/>
      <c r="HA72" s="24"/>
      <c r="HB72" s="24"/>
      <c r="HC72" s="24"/>
      <c r="HD72" s="24"/>
      <c r="HE72" s="24"/>
      <c r="HF72" s="24"/>
      <c r="HG72" s="24"/>
      <c r="HH72" s="24"/>
      <c r="HI72" s="24"/>
      <c r="HJ72" s="24"/>
      <c r="HK72" s="24"/>
      <c r="HL72" s="24"/>
      <c r="HM72" s="24"/>
      <c r="HN72" s="24"/>
      <c r="HO72" s="24"/>
      <c r="HP72" s="24"/>
      <c r="HQ72" s="24"/>
      <c r="HR72" s="24"/>
      <c r="HS72" s="24"/>
      <c r="HT72" s="24"/>
      <c r="HU72" s="24"/>
      <c r="HV72" s="24"/>
      <c r="HW72" s="24"/>
      <c r="HX72" s="24"/>
      <c r="HY72" s="24"/>
      <c r="HZ72" s="24"/>
      <c r="IA72" s="24"/>
      <c r="IB72" s="24"/>
      <c r="IC72" s="24"/>
      <c r="ID72" s="24"/>
      <c r="IE72" s="24"/>
      <c r="IF72" s="24"/>
      <c r="IG72" s="24"/>
      <c r="IH72" s="24"/>
      <c r="II72" s="24"/>
      <c r="IJ72" s="24"/>
      <c r="IK72" s="24"/>
      <c r="IL72" s="24"/>
      <c r="IM72" s="24"/>
      <c r="IN72" s="24"/>
      <c r="IO72" s="24"/>
      <c r="IP72" s="24"/>
      <c r="IQ72" s="24"/>
      <c r="IR72" s="24"/>
      <c r="IS72" s="24"/>
      <c r="IT72" s="24"/>
      <c r="IU72" s="24"/>
      <c r="IV72" s="24"/>
      <c r="IW72" s="24"/>
      <c r="IX72" s="24"/>
      <c r="IY72" s="24"/>
      <c r="IZ72" s="24"/>
      <c r="JA72" s="24"/>
      <c r="JB72" s="24"/>
      <c r="JC72" s="24"/>
      <c r="JD72" s="24"/>
      <c r="JE72" s="24"/>
      <c r="JF72" s="24"/>
      <c r="JG72" s="24"/>
      <c r="JH72" s="24"/>
      <c r="JI72" s="24"/>
      <c r="JJ72" s="24"/>
      <c r="JK72" s="24"/>
      <c r="JL72" s="24"/>
      <c r="JM72" s="24"/>
      <c r="JN72" s="24"/>
      <c r="JO72" s="24"/>
      <c r="JP72" s="24"/>
      <c r="JQ72" s="24"/>
      <c r="JR72" s="24"/>
      <c r="JS72" s="24"/>
      <c r="JT72" s="24"/>
      <c r="JU72" s="24"/>
      <c r="JV72" s="24"/>
      <c r="JW72" s="24"/>
      <c r="JX72" s="24"/>
      <c r="JY72" s="24"/>
      <c r="JZ72" s="24"/>
      <c r="KA72" s="24"/>
      <c r="KB72" s="24"/>
      <c r="KC72" s="24"/>
      <c r="KD72" s="24"/>
      <c r="KE72" s="24"/>
      <c r="KF72" s="24"/>
      <c r="KG72" s="24"/>
      <c r="KH72" s="24"/>
      <c r="KI72" s="24"/>
      <c r="KJ72" s="24"/>
      <c r="KK72" s="24"/>
      <c r="KL72" s="24"/>
    </row>
    <row r="73" spans="1:298" s="26" customFormat="1" ht="15.95" hidden="1" customHeight="1" x14ac:dyDescent="0.3">
      <c r="A73" s="172"/>
      <c r="B73" s="172"/>
      <c r="C73" s="172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  <c r="AG73" s="173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/>
      <c r="AR73" s="173"/>
      <c r="AS73" s="172"/>
      <c r="AT73" s="172"/>
      <c r="AU73" s="172"/>
      <c r="AV73" s="172"/>
      <c r="AW73" s="172"/>
      <c r="AX73" s="172"/>
      <c r="AY73" s="172"/>
      <c r="AZ73" s="172"/>
      <c r="BA73" s="172"/>
      <c r="BB73" s="172"/>
      <c r="BC73" s="172"/>
      <c r="BD73" s="172"/>
      <c r="BE73" s="172"/>
      <c r="BF73" s="172"/>
      <c r="BG73" s="172"/>
      <c r="BH73" s="172"/>
      <c r="BI73" s="172"/>
      <c r="BJ73" s="172"/>
      <c r="BK73" s="172"/>
      <c r="BL73" s="172"/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4"/>
      <c r="BZ73" s="172"/>
      <c r="CA73" s="172"/>
      <c r="CB73" s="24"/>
      <c r="CC73" s="25"/>
      <c r="CH73" s="89" t="s">
        <v>125</v>
      </c>
      <c r="CI73" s="50">
        <f>견적관리자용!$Q$20</f>
        <v>0</v>
      </c>
      <c r="CL73" s="42"/>
      <c r="CM73" s="28"/>
      <c r="CO73" s="29"/>
      <c r="CP73" s="28"/>
      <c r="CQ73" s="28"/>
      <c r="CR73" s="28"/>
      <c r="CS73" s="28"/>
      <c r="CT73" s="28"/>
      <c r="CU73" s="28"/>
      <c r="CW73" s="85"/>
      <c r="CX73" s="69" t="str">
        <f>견적관리자용!$S$15</f>
        <v>화물(1~2.5톤 미만)</v>
      </c>
      <c r="CY73" s="70">
        <v>0</v>
      </c>
      <c r="CZ73" s="125">
        <v>0.03</v>
      </c>
      <c r="DA73" s="125">
        <v>0.03</v>
      </c>
      <c r="DB73" s="125">
        <v>0.03</v>
      </c>
      <c r="DC73" s="125">
        <v>0.03</v>
      </c>
      <c r="DD73" s="72">
        <f t="shared" si="4"/>
        <v>0</v>
      </c>
      <c r="DE73" s="73">
        <v>70</v>
      </c>
      <c r="DF73" s="72">
        <f t="shared" si="3"/>
        <v>0</v>
      </c>
      <c r="DG73" s="166"/>
      <c r="DJ73" s="25"/>
      <c r="DK73" s="25"/>
      <c r="DL73" s="25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24"/>
      <c r="KK73" s="24"/>
      <c r="KL73" s="24"/>
    </row>
    <row r="74" spans="1:298" s="26" customFormat="1" ht="15.95" hidden="1" customHeight="1" x14ac:dyDescent="0.3">
      <c r="A74" s="172"/>
      <c r="B74" s="172"/>
      <c r="C74" s="172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  <c r="AG74" s="173"/>
      <c r="AH74" s="173"/>
      <c r="AI74" s="173"/>
      <c r="AJ74" s="173"/>
      <c r="AK74" s="173"/>
      <c r="AL74" s="173"/>
      <c r="AM74" s="173"/>
      <c r="AN74" s="173"/>
      <c r="AO74" s="173"/>
      <c r="AP74" s="173"/>
      <c r="AQ74" s="173"/>
      <c r="AR74" s="173"/>
      <c r="AS74" s="172"/>
      <c r="AT74" s="172"/>
      <c r="AU74" s="172"/>
      <c r="AV74" s="172"/>
      <c r="AW74" s="172"/>
      <c r="AX74" s="172"/>
      <c r="AY74" s="172"/>
      <c r="AZ74" s="172"/>
      <c r="BA74" s="172"/>
      <c r="BB74" s="172"/>
      <c r="BC74" s="172"/>
      <c r="BD74" s="172"/>
      <c r="BE74" s="172"/>
      <c r="BF74" s="172"/>
      <c r="BG74" s="172"/>
      <c r="BH74" s="172"/>
      <c r="BI74" s="172"/>
      <c r="BJ74" s="172"/>
      <c r="BK74" s="172"/>
      <c r="BL74" s="172"/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4"/>
      <c r="BZ74" s="172"/>
      <c r="CA74" s="172"/>
      <c r="CB74" s="24"/>
      <c r="CC74" s="25"/>
      <c r="CH74" s="185" t="s">
        <v>162</v>
      </c>
      <c r="CI74" s="97">
        <f>$CI$72+$CI$73</f>
        <v>0</v>
      </c>
      <c r="CL74" s="28"/>
      <c r="CM74" s="28"/>
      <c r="CO74" s="29"/>
      <c r="CP74" s="28"/>
      <c r="CQ74" s="28"/>
      <c r="CR74" s="28"/>
      <c r="CS74" s="28"/>
      <c r="CT74" s="28"/>
      <c r="CU74" s="28"/>
      <c r="CW74" s="85"/>
      <c r="CX74" s="69" t="str">
        <f>견적관리자용!$S$16</f>
        <v>화물(2.5~4.6톤 미만)</v>
      </c>
      <c r="CY74" s="70">
        <v>0</v>
      </c>
      <c r="CZ74" s="125">
        <v>0.03</v>
      </c>
      <c r="DA74" s="125">
        <v>0.03</v>
      </c>
      <c r="DB74" s="125">
        <v>0.03</v>
      </c>
      <c r="DC74" s="125">
        <v>0.03</v>
      </c>
      <c r="DD74" s="72">
        <f t="shared" si="4"/>
        <v>0</v>
      </c>
      <c r="DE74" s="73">
        <v>71</v>
      </c>
      <c r="DF74" s="72">
        <f t="shared" si="3"/>
        <v>0</v>
      </c>
      <c r="DG74" s="166"/>
      <c r="DJ74" s="25"/>
      <c r="DK74" s="25"/>
      <c r="DL74" s="25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  <c r="EG74" s="24"/>
      <c r="EH74" s="24"/>
      <c r="EI74" s="24"/>
      <c r="EJ74" s="24"/>
      <c r="EK74" s="24"/>
      <c r="EL74" s="24"/>
      <c r="EM74" s="24"/>
      <c r="EN74" s="24"/>
      <c r="EO74" s="24"/>
      <c r="EP74" s="24"/>
      <c r="EQ74" s="24"/>
      <c r="ER74" s="24"/>
      <c r="ES74" s="24"/>
      <c r="ET74" s="24"/>
      <c r="EU74" s="24"/>
      <c r="EV74" s="24"/>
      <c r="EW74" s="24"/>
      <c r="EX74" s="24"/>
      <c r="EY74" s="24"/>
      <c r="EZ74" s="24"/>
      <c r="FA74" s="24"/>
      <c r="FB74" s="24"/>
      <c r="FC74" s="24"/>
      <c r="FD74" s="24"/>
      <c r="FE74" s="24"/>
      <c r="FF74" s="24"/>
      <c r="FG74" s="24"/>
      <c r="FH74" s="24"/>
      <c r="FI74" s="24"/>
      <c r="FJ74" s="24"/>
      <c r="FK74" s="24"/>
      <c r="FL74" s="24"/>
      <c r="FM74" s="24"/>
      <c r="FN74" s="24"/>
      <c r="FO74" s="24"/>
      <c r="FP74" s="24"/>
      <c r="FQ74" s="24"/>
      <c r="FR74" s="24"/>
      <c r="FS74" s="24"/>
      <c r="FT74" s="24"/>
      <c r="FU74" s="24"/>
      <c r="FV74" s="24"/>
      <c r="FW74" s="24"/>
      <c r="FX74" s="24"/>
      <c r="FY74" s="24"/>
      <c r="FZ74" s="24"/>
      <c r="GA74" s="24"/>
      <c r="GB74" s="24"/>
      <c r="GC74" s="24"/>
      <c r="GD74" s="24"/>
      <c r="GE74" s="24"/>
      <c r="GF74" s="24"/>
      <c r="GG74" s="24"/>
      <c r="GH74" s="24"/>
      <c r="GI74" s="24"/>
      <c r="GJ74" s="24"/>
      <c r="GK74" s="24"/>
      <c r="GL74" s="24"/>
      <c r="GM74" s="24"/>
      <c r="GN74" s="24"/>
      <c r="GO74" s="24"/>
      <c r="GP74" s="24"/>
      <c r="GQ74" s="24"/>
      <c r="GR74" s="24"/>
      <c r="GS74" s="24"/>
      <c r="GT74" s="24"/>
      <c r="GU74" s="24"/>
      <c r="GV74" s="24"/>
      <c r="GW74" s="24"/>
      <c r="GX74" s="24"/>
      <c r="GY74" s="24"/>
      <c r="GZ74" s="24"/>
      <c r="HA74" s="24"/>
      <c r="HB74" s="24"/>
      <c r="HC74" s="24"/>
      <c r="HD74" s="24"/>
      <c r="HE74" s="24"/>
      <c r="HF74" s="24"/>
      <c r="HG74" s="24"/>
      <c r="HH74" s="24"/>
      <c r="HI74" s="24"/>
      <c r="HJ74" s="24"/>
      <c r="HK74" s="24"/>
      <c r="HL74" s="24"/>
      <c r="HM74" s="24"/>
      <c r="HN74" s="24"/>
      <c r="HO74" s="24"/>
      <c r="HP74" s="24"/>
      <c r="HQ74" s="24"/>
      <c r="HR74" s="24"/>
      <c r="HS74" s="24"/>
      <c r="HT74" s="24"/>
      <c r="HU74" s="24"/>
      <c r="HV74" s="24"/>
      <c r="HW74" s="24"/>
      <c r="HX74" s="24"/>
      <c r="HY74" s="24"/>
      <c r="HZ74" s="24"/>
      <c r="IA74" s="24"/>
      <c r="IB74" s="24"/>
      <c r="IC74" s="24"/>
      <c r="ID74" s="24"/>
      <c r="IE74" s="24"/>
      <c r="IF74" s="24"/>
      <c r="IG74" s="24"/>
      <c r="IH74" s="24"/>
      <c r="II74" s="24"/>
      <c r="IJ74" s="24"/>
      <c r="IK74" s="24"/>
      <c r="IL74" s="24"/>
      <c r="IM74" s="24"/>
      <c r="IN74" s="24"/>
      <c r="IO74" s="24"/>
      <c r="IP74" s="24"/>
      <c r="IQ74" s="24"/>
      <c r="IR74" s="24"/>
      <c r="IS74" s="24"/>
      <c r="IT74" s="24"/>
      <c r="IU74" s="24"/>
      <c r="IV74" s="24"/>
      <c r="IW74" s="24"/>
      <c r="IX74" s="24"/>
      <c r="IY74" s="24"/>
      <c r="IZ74" s="24"/>
      <c r="JA74" s="24"/>
      <c r="JB74" s="24"/>
      <c r="JC74" s="24"/>
      <c r="JD74" s="24"/>
      <c r="JE74" s="24"/>
      <c r="JF74" s="24"/>
      <c r="JG74" s="24"/>
      <c r="JH74" s="24"/>
      <c r="JI74" s="24"/>
      <c r="JJ74" s="24"/>
      <c r="JK74" s="24"/>
      <c r="JL74" s="24"/>
      <c r="JM74" s="24"/>
      <c r="JN74" s="24"/>
      <c r="JO74" s="24"/>
      <c r="JP74" s="24"/>
      <c r="JQ74" s="24"/>
      <c r="JR74" s="24"/>
      <c r="JS74" s="24"/>
      <c r="JT74" s="24"/>
      <c r="JU74" s="24"/>
      <c r="JV74" s="24"/>
      <c r="JW74" s="24"/>
      <c r="JX74" s="24"/>
      <c r="JY74" s="24"/>
      <c r="JZ74" s="24"/>
      <c r="KA74" s="24"/>
      <c r="KB74" s="24"/>
      <c r="KC74" s="24"/>
      <c r="KD74" s="24"/>
      <c r="KE74" s="24"/>
      <c r="KF74" s="24"/>
      <c r="KG74" s="24"/>
      <c r="KH74" s="24"/>
      <c r="KI74" s="24"/>
      <c r="KJ74" s="24"/>
      <c r="KK74" s="24"/>
      <c r="KL74" s="24"/>
    </row>
    <row r="75" spans="1:298" s="26" customFormat="1" ht="15.95" hidden="1" customHeight="1" x14ac:dyDescent="0.3">
      <c r="A75" s="172"/>
      <c r="B75" s="172"/>
      <c r="C75" s="172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  <c r="BI75" s="172"/>
      <c r="BJ75" s="172"/>
      <c r="BK75" s="172"/>
      <c r="BL75" s="172"/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4"/>
      <c r="BZ75" s="172"/>
      <c r="CA75" s="172"/>
      <c r="CB75" s="24"/>
      <c r="CC75" s="25"/>
      <c r="CH75" s="66" t="s">
        <v>166</v>
      </c>
      <c r="CI75" s="41">
        <f>VLOOKUP(견적관리자용!$Q$18,할부오토론!$CH$76:$CI$78,2,FALSE)</f>
        <v>0</v>
      </c>
      <c r="CL75" s="28"/>
      <c r="CM75" s="28"/>
      <c r="CO75" s="29"/>
      <c r="CP75" s="28"/>
      <c r="CQ75" s="28"/>
      <c r="CR75" s="28"/>
      <c r="CS75" s="28"/>
      <c r="CT75" s="28"/>
      <c r="CU75" s="28"/>
      <c r="CW75" s="85"/>
      <c r="CX75" s="69" t="str">
        <f>견적관리자용!$S$17</f>
        <v>화물(4.6톤 이상)</v>
      </c>
      <c r="CY75" s="70">
        <v>0</v>
      </c>
      <c r="CZ75" s="125">
        <v>0.03</v>
      </c>
      <c r="DA75" s="125">
        <v>0.03</v>
      </c>
      <c r="DB75" s="125">
        <v>0.03</v>
      </c>
      <c r="DC75" s="125">
        <v>0.03</v>
      </c>
      <c r="DD75" s="72">
        <f t="shared" si="4"/>
        <v>0</v>
      </c>
      <c r="DE75" s="73">
        <v>72</v>
      </c>
      <c r="DF75" s="72">
        <f t="shared" si="3"/>
        <v>0</v>
      </c>
      <c r="DG75" s="166"/>
      <c r="DJ75" s="25"/>
      <c r="DK75" s="25"/>
      <c r="DL75" s="25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4"/>
      <c r="EP75" s="24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4"/>
      <c r="FC75" s="24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4"/>
      <c r="FP75" s="24"/>
      <c r="FQ75" s="24"/>
      <c r="FR75" s="24"/>
      <c r="FS75" s="24"/>
      <c r="FT75" s="24"/>
      <c r="FU75" s="24"/>
      <c r="FV75" s="24"/>
      <c r="FW75" s="24"/>
      <c r="FX75" s="24"/>
      <c r="FY75" s="24"/>
      <c r="FZ75" s="24"/>
      <c r="GA75" s="24"/>
      <c r="GB75" s="24"/>
      <c r="GC75" s="24"/>
      <c r="GD75" s="24"/>
      <c r="GE75" s="24"/>
      <c r="GF75" s="24"/>
      <c r="GG75" s="24"/>
      <c r="GH75" s="24"/>
      <c r="GI75" s="24"/>
      <c r="GJ75" s="24"/>
      <c r="GK75" s="24"/>
      <c r="GL75" s="24"/>
      <c r="GM75" s="24"/>
      <c r="GN75" s="24"/>
      <c r="GO75" s="24"/>
      <c r="GP75" s="24"/>
      <c r="GQ75" s="24"/>
      <c r="GR75" s="24"/>
      <c r="GS75" s="24"/>
      <c r="GT75" s="24"/>
      <c r="GU75" s="24"/>
      <c r="GV75" s="24"/>
      <c r="GW75" s="24"/>
      <c r="GX75" s="24"/>
      <c r="GY75" s="24"/>
      <c r="GZ75" s="24"/>
      <c r="HA75" s="24"/>
      <c r="HB75" s="24"/>
      <c r="HC75" s="24"/>
      <c r="HD75" s="24"/>
      <c r="HE75" s="24"/>
      <c r="HF75" s="24"/>
      <c r="HG75" s="24"/>
      <c r="HH75" s="24"/>
      <c r="HI75" s="24"/>
      <c r="HJ75" s="24"/>
      <c r="HK75" s="24"/>
      <c r="HL75" s="24"/>
      <c r="HM75" s="24"/>
      <c r="HN75" s="24"/>
      <c r="HO75" s="24"/>
      <c r="HP75" s="24"/>
      <c r="HQ75" s="24"/>
      <c r="HR75" s="24"/>
      <c r="HS75" s="24"/>
      <c r="HT75" s="24"/>
      <c r="HU75" s="24"/>
      <c r="HV75" s="24"/>
      <c r="HW75" s="24"/>
      <c r="HX75" s="24"/>
      <c r="HY75" s="24"/>
      <c r="HZ75" s="24"/>
      <c r="IA75" s="24"/>
      <c r="IB75" s="24"/>
      <c r="IC75" s="24"/>
      <c r="ID75" s="24"/>
      <c r="IE75" s="24"/>
      <c r="IF75" s="24"/>
      <c r="IG75" s="24"/>
      <c r="IH75" s="24"/>
      <c r="II75" s="24"/>
      <c r="IJ75" s="24"/>
      <c r="IK75" s="24"/>
      <c r="IL75" s="24"/>
      <c r="IM75" s="24"/>
      <c r="IN75" s="24"/>
      <c r="IO75" s="24"/>
      <c r="IP75" s="24"/>
      <c r="IQ75" s="24"/>
      <c r="IR75" s="24"/>
      <c r="IS75" s="24"/>
      <c r="IT75" s="24"/>
      <c r="IU75" s="24"/>
      <c r="IV75" s="24"/>
      <c r="IW75" s="24"/>
      <c r="IX75" s="24"/>
      <c r="IY75" s="24"/>
      <c r="IZ75" s="24"/>
      <c r="JA75" s="24"/>
      <c r="JB75" s="24"/>
      <c r="JC75" s="24"/>
      <c r="JD75" s="24"/>
      <c r="JE75" s="24"/>
      <c r="JF75" s="24"/>
      <c r="JG75" s="24"/>
      <c r="JH75" s="24"/>
      <c r="JI75" s="24"/>
      <c r="JJ75" s="24"/>
      <c r="JK75" s="24"/>
      <c r="JL75" s="24"/>
      <c r="JM75" s="24"/>
      <c r="JN75" s="24"/>
      <c r="JO75" s="24"/>
      <c r="JP75" s="24"/>
      <c r="JQ75" s="24"/>
      <c r="JR75" s="24"/>
      <c r="JS75" s="24"/>
      <c r="JT75" s="24"/>
      <c r="JU75" s="24"/>
      <c r="JV75" s="24"/>
      <c r="JW75" s="24"/>
      <c r="JX75" s="24"/>
      <c r="JY75" s="24"/>
      <c r="JZ75" s="24"/>
      <c r="KA75" s="24"/>
      <c r="KB75" s="24"/>
      <c r="KC75" s="24"/>
      <c r="KD75" s="24"/>
      <c r="KE75" s="24"/>
      <c r="KF75" s="24"/>
      <c r="KG75" s="24"/>
      <c r="KH75" s="24"/>
      <c r="KI75" s="24"/>
      <c r="KJ75" s="24"/>
      <c r="KK75" s="24"/>
      <c r="KL75" s="24"/>
    </row>
    <row r="76" spans="1:298" s="26" customFormat="1" ht="15.95" hidden="1" customHeight="1" x14ac:dyDescent="0.3">
      <c r="A76" s="172"/>
      <c r="B76" s="172"/>
      <c r="C76" s="172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3"/>
      <c r="AK76" s="173"/>
      <c r="AL76" s="173"/>
      <c r="AM76" s="173"/>
      <c r="AN76" s="173"/>
      <c r="AO76" s="173"/>
      <c r="AP76" s="173"/>
      <c r="AQ76" s="173"/>
      <c r="AR76" s="173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  <c r="BI76" s="172"/>
      <c r="BJ76" s="172"/>
      <c r="BK76" s="172"/>
      <c r="BL76" s="172"/>
      <c r="BM76" s="172"/>
      <c r="BN76" s="172"/>
      <c r="BO76" s="172"/>
      <c r="BP76" s="172"/>
      <c r="BQ76" s="172"/>
      <c r="BR76" s="172"/>
      <c r="BS76" s="172"/>
      <c r="BT76" s="172"/>
      <c r="BU76" s="172"/>
      <c r="BV76" s="172"/>
      <c r="BW76" s="172"/>
      <c r="BX76" s="172"/>
      <c r="BY76" s="174"/>
      <c r="BZ76" s="172"/>
      <c r="CA76" s="172"/>
      <c r="CB76" s="24"/>
      <c r="CC76" s="25"/>
      <c r="CH76" s="89" t="s">
        <v>124</v>
      </c>
      <c r="CI76" s="50">
        <f>ROUNDDOWN($CI$23*견적관리자용!$Q$19,0)</f>
        <v>0</v>
      </c>
      <c r="CL76" s="28"/>
      <c r="CM76" s="28"/>
      <c r="CO76" s="29"/>
      <c r="CP76" s="28"/>
      <c r="CQ76" s="28"/>
      <c r="CR76" s="28"/>
      <c r="CS76" s="28"/>
      <c r="CT76" s="28"/>
      <c r="CU76" s="28"/>
      <c r="CW76" s="58" t="s">
        <v>98</v>
      </c>
      <c r="CX76" s="59" t="str">
        <f>견적관리자용!$S$8</f>
        <v>승용일반</v>
      </c>
      <c r="CY76" s="60">
        <v>0</v>
      </c>
      <c r="CZ76" s="61">
        <v>0.03</v>
      </c>
      <c r="DA76" s="61">
        <v>0.03</v>
      </c>
      <c r="DB76" s="61">
        <v>0.04</v>
      </c>
      <c r="DC76" s="61">
        <v>0.05</v>
      </c>
      <c r="DD76" s="62">
        <f t="shared" si="4"/>
        <v>0</v>
      </c>
      <c r="DE76" s="63">
        <v>73</v>
      </c>
      <c r="DF76" s="62">
        <f t="shared" si="3"/>
        <v>0</v>
      </c>
      <c r="DG76" s="163">
        <f>SUM(DF76:DF85)</f>
        <v>0</v>
      </c>
      <c r="DJ76" s="25"/>
      <c r="DK76" s="25"/>
      <c r="DL76" s="25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  <c r="EG76" s="24"/>
      <c r="EH76" s="24"/>
      <c r="EI76" s="24"/>
      <c r="EJ76" s="24"/>
      <c r="EK76" s="24"/>
      <c r="EL76" s="24"/>
      <c r="EM76" s="24"/>
      <c r="EN76" s="24"/>
      <c r="EO76" s="24"/>
      <c r="EP76" s="24"/>
      <c r="EQ76" s="24"/>
      <c r="ER76" s="24"/>
      <c r="ES76" s="24"/>
      <c r="ET76" s="24"/>
      <c r="EU76" s="24"/>
      <c r="EV76" s="24"/>
      <c r="EW76" s="24"/>
      <c r="EX76" s="24"/>
      <c r="EY76" s="24"/>
      <c r="EZ76" s="24"/>
      <c r="FA76" s="24"/>
      <c r="FB76" s="24"/>
      <c r="FC76" s="24"/>
      <c r="FD76" s="24"/>
      <c r="FE76" s="24"/>
      <c r="FF76" s="24"/>
      <c r="FG76" s="24"/>
      <c r="FH76" s="24"/>
      <c r="FI76" s="24"/>
      <c r="FJ76" s="24"/>
      <c r="FK76" s="24"/>
      <c r="FL76" s="24"/>
      <c r="FM76" s="24"/>
      <c r="FN76" s="24"/>
      <c r="FO76" s="24"/>
      <c r="FP76" s="24"/>
      <c r="FQ76" s="24"/>
      <c r="FR76" s="24"/>
      <c r="FS76" s="24"/>
      <c r="FT76" s="24"/>
      <c r="FU76" s="24"/>
      <c r="FV76" s="24"/>
      <c r="FW76" s="24"/>
      <c r="FX76" s="24"/>
      <c r="FY76" s="24"/>
      <c r="FZ76" s="24"/>
      <c r="GA76" s="24"/>
      <c r="GB76" s="24"/>
      <c r="GC76" s="24"/>
      <c r="GD76" s="24"/>
      <c r="GE76" s="24"/>
      <c r="GF76" s="24"/>
      <c r="GG76" s="24"/>
      <c r="GH76" s="24"/>
      <c r="GI76" s="24"/>
      <c r="GJ76" s="24"/>
      <c r="GK76" s="24"/>
      <c r="GL76" s="24"/>
      <c r="GM76" s="24"/>
      <c r="GN76" s="24"/>
      <c r="GO76" s="24"/>
      <c r="GP76" s="24"/>
      <c r="GQ76" s="24"/>
      <c r="GR76" s="24"/>
      <c r="GS76" s="24"/>
      <c r="GT76" s="24"/>
      <c r="GU76" s="24"/>
      <c r="GV76" s="24"/>
      <c r="GW76" s="24"/>
      <c r="GX76" s="24"/>
      <c r="GY76" s="24"/>
      <c r="GZ76" s="24"/>
      <c r="HA76" s="24"/>
      <c r="HB76" s="24"/>
      <c r="HC76" s="24"/>
      <c r="HD76" s="24"/>
      <c r="HE76" s="24"/>
      <c r="HF76" s="24"/>
      <c r="HG76" s="24"/>
      <c r="HH76" s="24"/>
      <c r="HI76" s="24"/>
      <c r="HJ76" s="24"/>
      <c r="HK76" s="24"/>
      <c r="HL76" s="24"/>
      <c r="HM76" s="24"/>
      <c r="HN76" s="24"/>
      <c r="HO76" s="24"/>
      <c r="HP76" s="24"/>
      <c r="HQ76" s="24"/>
      <c r="HR76" s="24"/>
      <c r="HS76" s="24"/>
      <c r="HT76" s="24"/>
      <c r="HU76" s="24"/>
      <c r="HV76" s="24"/>
      <c r="HW76" s="24"/>
      <c r="HX76" s="24"/>
      <c r="HY76" s="24"/>
      <c r="HZ76" s="24"/>
      <c r="IA76" s="24"/>
      <c r="IB76" s="24"/>
      <c r="IC76" s="24"/>
      <c r="ID76" s="24"/>
      <c r="IE76" s="24"/>
      <c r="IF76" s="24"/>
      <c r="IG76" s="24"/>
      <c r="IH76" s="24"/>
      <c r="II76" s="24"/>
      <c r="IJ76" s="24"/>
      <c r="IK76" s="24"/>
      <c r="IL76" s="24"/>
      <c r="IM76" s="24"/>
      <c r="IN76" s="24"/>
      <c r="IO76" s="24"/>
      <c r="IP76" s="24"/>
      <c r="IQ76" s="24"/>
      <c r="IR76" s="24"/>
      <c r="IS76" s="24"/>
      <c r="IT76" s="24"/>
      <c r="IU76" s="24"/>
      <c r="IV76" s="24"/>
      <c r="IW76" s="24"/>
      <c r="IX76" s="24"/>
      <c r="IY76" s="24"/>
      <c r="IZ76" s="24"/>
      <c r="JA76" s="24"/>
      <c r="JB76" s="24"/>
      <c r="JC76" s="24"/>
      <c r="JD76" s="24"/>
      <c r="JE76" s="24"/>
      <c r="JF76" s="24"/>
      <c r="JG76" s="24"/>
      <c r="JH76" s="24"/>
      <c r="JI76" s="24"/>
      <c r="JJ76" s="24"/>
      <c r="JK76" s="24"/>
      <c r="JL76" s="24"/>
      <c r="JM76" s="24"/>
      <c r="JN76" s="24"/>
      <c r="JO76" s="24"/>
      <c r="JP76" s="24"/>
      <c r="JQ76" s="24"/>
      <c r="JR76" s="24"/>
      <c r="JS76" s="24"/>
      <c r="JT76" s="24"/>
      <c r="JU76" s="24"/>
      <c r="JV76" s="24"/>
      <c r="JW76" s="24"/>
      <c r="JX76" s="24"/>
      <c r="JY76" s="24"/>
      <c r="JZ76" s="24"/>
      <c r="KA76" s="24"/>
      <c r="KB76" s="24"/>
      <c r="KC76" s="24"/>
      <c r="KD76" s="24"/>
      <c r="KE76" s="24"/>
      <c r="KF76" s="24"/>
      <c r="KG76" s="24"/>
      <c r="KH76" s="24"/>
      <c r="KI76" s="24"/>
      <c r="KJ76" s="24"/>
      <c r="KK76" s="24"/>
      <c r="KL76" s="24"/>
    </row>
    <row r="77" spans="1:298" s="26" customFormat="1" ht="15.95" hidden="1" customHeight="1" x14ac:dyDescent="0.3">
      <c r="A77" s="172"/>
      <c r="B77" s="172"/>
      <c r="C77" s="172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3"/>
      <c r="AI77" s="173"/>
      <c r="AJ77" s="173"/>
      <c r="AK77" s="173"/>
      <c r="AL77" s="173"/>
      <c r="AM77" s="173"/>
      <c r="AN77" s="173"/>
      <c r="AO77" s="173"/>
      <c r="AP77" s="173"/>
      <c r="AQ77" s="173"/>
      <c r="AR77" s="173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/>
      <c r="BF77" s="172"/>
      <c r="BG77" s="172"/>
      <c r="BH77" s="172"/>
      <c r="BI77" s="172"/>
      <c r="BJ77" s="172"/>
      <c r="BK77" s="172"/>
      <c r="BL77" s="172"/>
      <c r="BM77" s="172"/>
      <c r="BN77" s="172"/>
      <c r="BO77" s="172"/>
      <c r="BP77" s="172"/>
      <c r="BQ77" s="172"/>
      <c r="BR77" s="172"/>
      <c r="BS77" s="172"/>
      <c r="BT77" s="172"/>
      <c r="BU77" s="172"/>
      <c r="BV77" s="172"/>
      <c r="BW77" s="172"/>
      <c r="BX77" s="172"/>
      <c r="BY77" s="174"/>
      <c r="BZ77" s="172"/>
      <c r="CA77" s="172"/>
      <c r="CB77" s="24"/>
      <c r="CC77" s="25"/>
      <c r="CH77" s="89" t="s">
        <v>125</v>
      </c>
      <c r="CI77" s="50">
        <f>견적관리자용!$Q$20</f>
        <v>0</v>
      </c>
      <c r="CL77" s="28"/>
      <c r="CM77" s="28"/>
      <c r="CO77" s="29"/>
      <c r="CP77" s="28"/>
      <c r="CQ77" s="28"/>
      <c r="CR77" s="28"/>
      <c r="CS77" s="28"/>
      <c r="CT77" s="28"/>
      <c r="CU77" s="28"/>
      <c r="CW77" s="68"/>
      <c r="CX77" s="69" t="str">
        <f>견적관리자용!$S$9</f>
        <v>승용SUV(~5인)</v>
      </c>
      <c r="CY77" s="70">
        <v>0</v>
      </c>
      <c r="CZ77" s="71">
        <v>0.04</v>
      </c>
      <c r="DA77" s="71">
        <v>0.04</v>
      </c>
      <c r="DB77" s="71">
        <v>0.04</v>
      </c>
      <c r="DC77" s="71">
        <v>0.04</v>
      </c>
      <c r="DD77" s="72">
        <f t="shared" si="4"/>
        <v>0</v>
      </c>
      <c r="DE77" s="73">
        <v>74</v>
      </c>
      <c r="DF77" s="72">
        <f t="shared" si="3"/>
        <v>0</v>
      </c>
      <c r="DG77" s="166"/>
      <c r="DJ77" s="25"/>
      <c r="DK77" s="25"/>
      <c r="DL77" s="25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4"/>
      <c r="EP77" s="24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4"/>
      <c r="FC77" s="24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4"/>
      <c r="FP77" s="24"/>
      <c r="FQ77" s="24"/>
      <c r="FR77" s="24"/>
      <c r="FS77" s="24"/>
      <c r="FT77" s="24"/>
      <c r="FU77" s="24"/>
      <c r="FV77" s="24"/>
      <c r="FW77" s="24"/>
      <c r="FX77" s="24"/>
      <c r="FY77" s="24"/>
      <c r="FZ77" s="24"/>
      <c r="GA77" s="24"/>
      <c r="GB77" s="24"/>
      <c r="GC77" s="24"/>
      <c r="GD77" s="24"/>
      <c r="GE77" s="24"/>
      <c r="GF77" s="24"/>
      <c r="GG77" s="24"/>
      <c r="GH77" s="24"/>
      <c r="GI77" s="24"/>
      <c r="GJ77" s="24"/>
      <c r="GK77" s="24"/>
      <c r="GL77" s="24"/>
      <c r="GM77" s="24"/>
      <c r="GN77" s="24"/>
      <c r="GO77" s="24"/>
      <c r="GP77" s="24"/>
      <c r="GQ77" s="24"/>
      <c r="GR77" s="24"/>
      <c r="GS77" s="24"/>
      <c r="GT77" s="24"/>
      <c r="GU77" s="24"/>
      <c r="GV77" s="24"/>
      <c r="GW77" s="24"/>
      <c r="GX77" s="24"/>
      <c r="GY77" s="24"/>
      <c r="GZ77" s="24"/>
      <c r="HA77" s="24"/>
      <c r="HB77" s="24"/>
      <c r="HC77" s="24"/>
      <c r="HD77" s="24"/>
      <c r="HE77" s="24"/>
      <c r="HF77" s="24"/>
      <c r="HG77" s="24"/>
      <c r="HH77" s="24"/>
      <c r="HI77" s="24"/>
      <c r="HJ77" s="24"/>
      <c r="HK77" s="24"/>
      <c r="HL77" s="24"/>
      <c r="HM77" s="24"/>
      <c r="HN77" s="24"/>
      <c r="HO77" s="24"/>
      <c r="HP77" s="24"/>
      <c r="HQ77" s="24"/>
      <c r="HR77" s="24"/>
      <c r="HS77" s="24"/>
      <c r="HT77" s="24"/>
      <c r="HU77" s="24"/>
      <c r="HV77" s="24"/>
      <c r="HW77" s="24"/>
      <c r="HX77" s="24"/>
      <c r="HY77" s="24"/>
      <c r="HZ77" s="24"/>
      <c r="IA77" s="24"/>
      <c r="IB77" s="24"/>
      <c r="IC77" s="24"/>
      <c r="ID77" s="24"/>
      <c r="IE77" s="24"/>
      <c r="IF77" s="24"/>
      <c r="IG77" s="24"/>
      <c r="IH77" s="24"/>
      <c r="II77" s="24"/>
      <c r="IJ77" s="24"/>
      <c r="IK77" s="24"/>
      <c r="IL77" s="24"/>
      <c r="IM77" s="24"/>
      <c r="IN77" s="24"/>
      <c r="IO77" s="24"/>
      <c r="IP77" s="24"/>
      <c r="IQ77" s="24"/>
      <c r="IR77" s="24"/>
      <c r="IS77" s="24"/>
      <c r="IT77" s="24"/>
      <c r="IU77" s="24"/>
      <c r="IV77" s="24"/>
      <c r="IW77" s="24"/>
      <c r="IX77" s="24"/>
      <c r="IY77" s="24"/>
      <c r="IZ77" s="24"/>
      <c r="JA77" s="24"/>
      <c r="JB77" s="24"/>
      <c r="JC77" s="24"/>
      <c r="JD77" s="24"/>
      <c r="JE77" s="24"/>
      <c r="JF77" s="24"/>
      <c r="JG77" s="24"/>
      <c r="JH77" s="24"/>
      <c r="JI77" s="24"/>
      <c r="JJ77" s="24"/>
      <c r="JK77" s="24"/>
      <c r="JL77" s="24"/>
      <c r="JM77" s="24"/>
      <c r="JN77" s="24"/>
      <c r="JO77" s="24"/>
      <c r="JP77" s="24"/>
      <c r="JQ77" s="24"/>
      <c r="JR77" s="24"/>
      <c r="JS77" s="24"/>
      <c r="JT77" s="24"/>
      <c r="JU77" s="24"/>
      <c r="JV77" s="24"/>
      <c r="JW77" s="24"/>
      <c r="JX77" s="24"/>
      <c r="JY77" s="24"/>
      <c r="JZ77" s="24"/>
      <c r="KA77" s="24"/>
      <c r="KB77" s="24"/>
      <c r="KC77" s="24"/>
      <c r="KD77" s="24"/>
      <c r="KE77" s="24"/>
      <c r="KF77" s="24"/>
      <c r="KG77" s="24"/>
      <c r="KH77" s="24"/>
      <c r="KI77" s="24"/>
      <c r="KJ77" s="24"/>
      <c r="KK77" s="24"/>
      <c r="KL77" s="24"/>
    </row>
    <row r="78" spans="1:298" s="26" customFormat="1" ht="15.95" hidden="1" customHeight="1" x14ac:dyDescent="0.3">
      <c r="A78" s="172"/>
      <c r="B78" s="172"/>
      <c r="C78" s="172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  <c r="AG78" s="173"/>
      <c r="AH78" s="173"/>
      <c r="AI78" s="173"/>
      <c r="AJ78" s="173"/>
      <c r="AK78" s="173"/>
      <c r="AL78" s="173"/>
      <c r="AM78" s="173"/>
      <c r="AN78" s="173"/>
      <c r="AO78" s="173"/>
      <c r="AP78" s="173"/>
      <c r="AQ78" s="173"/>
      <c r="AR78" s="173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/>
      <c r="BF78" s="172"/>
      <c r="BG78" s="172"/>
      <c r="BH78" s="172"/>
      <c r="BI78" s="172"/>
      <c r="BJ78" s="172"/>
      <c r="BK78" s="172"/>
      <c r="BL78" s="172"/>
      <c r="BM78" s="172"/>
      <c r="BN78" s="172"/>
      <c r="BO78" s="172"/>
      <c r="BP78" s="172"/>
      <c r="BQ78" s="172"/>
      <c r="BR78" s="172"/>
      <c r="BS78" s="172"/>
      <c r="BT78" s="172"/>
      <c r="BU78" s="172"/>
      <c r="BV78" s="172"/>
      <c r="BW78" s="172"/>
      <c r="BX78" s="172"/>
      <c r="BY78" s="174"/>
      <c r="BZ78" s="172"/>
      <c r="CA78" s="172"/>
      <c r="CB78" s="24"/>
      <c r="CC78" s="25"/>
      <c r="CH78" s="185" t="s">
        <v>162</v>
      </c>
      <c r="CI78" s="97">
        <f>$CI$76+$CI$77</f>
        <v>0</v>
      </c>
      <c r="CL78" s="28"/>
      <c r="CM78" s="28"/>
      <c r="CO78" s="29"/>
      <c r="CP78" s="28"/>
      <c r="CQ78" s="28"/>
      <c r="CR78" s="28"/>
      <c r="CS78" s="28"/>
      <c r="CT78" s="28"/>
      <c r="CU78" s="28"/>
      <c r="CW78" s="68"/>
      <c r="CX78" s="69" t="str">
        <f>견적관리자용!$S$10</f>
        <v>승용SUV(7~10인)</v>
      </c>
      <c r="CY78" s="70">
        <v>0</v>
      </c>
      <c r="CZ78" s="70">
        <v>390000</v>
      </c>
      <c r="DA78" s="80">
        <v>390000</v>
      </c>
      <c r="DB78" s="80">
        <v>390000</v>
      </c>
      <c r="DC78" s="80">
        <v>390000</v>
      </c>
      <c r="DD78" s="72">
        <f t="shared" si="4"/>
        <v>0</v>
      </c>
      <c r="DE78" s="73">
        <v>75</v>
      </c>
      <c r="DF78" s="72">
        <f t="shared" si="3"/>
        <v>0</v>
      </c>
      <c r="DG78" s="166"/>
      <c r="DJ78" s="25"/>
      <c r="DK78" s="25"/>
      <c r="DL78" s="25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  <c r="HX78" s="24"/>
      <c r="HY78" s="24"/>
      <c r="HZ78" s="24"/>
      <c r="IA78" s="24"/>
      <c r="IB78" s="24"/>
      <c r="IC78" s="24"/>
      <c r="ID78" s="24"/>
      <c r="IE78" s="24"/>
      <c r="IF78" s="24"/>
      <c r="IG78" s="24"/>
      <c r="IH78" s="24"/>
      <c r="II78" s="24"/>
      <c r="IJ78" s="24"/>
      <c r="IK78" s="24"/>
      <c r="IL78" s="24"/>
      <c r="IM78" s="24"/>
      <c r="IN78" s="24"/>
      <c r="IO78" s="24"/>
      <c r="IP78" s="24"/>
      <c r="IQ78" s="24"/>
      <c r="IR78" s="24"/>
      <c r="IS78" s="24"/>
      <c r="IT78" s="24"/>
      <c r="IU78" s="24"/>
      <c r="IV78" s="24"/>
      <c r="IW78" s="24"/>
      <c r="IX78" s="24"/>
      <c r="IY78" s="24"/>
      <c r="IZ78" s="24"/>
      <c r="JA78" s="24"/>
      <c r="JB78" s="24"/>
      <c r="JC78" s="24"/>
      <c r="JD78" s="24"/>
      <c r="JE78" s="24"/>
      <c r="JF78" s="24"/>
      <c r="JG78" s="24"/>
      <c r="JH78" s="24"/>
      <c r="JI78" s="24"/>
      <c r="JJ78" s="24"/>
      <c r="JK78" s="24"/>
      <c r="JL78" s="24"/>
      <c r="JM78" s="24"/>
      <c r="JN78" s="24"/>
      <c r="JO78" s="24"/>
      <c r="JP78" s="24"/>
      <c r="JQ78" s="24"/>
      <c r="JR78" s="24"/>
      <c r="JS78" s="24"/>
      <c r="JT78" s="24"/>
      <c r="JU78" s="24"/>
      <c r="JV78" s="24"/>
      <c r="JW78" s="24"/>
      <c r="JX78" s="24"/>
      <c r="JY78" s="24"/>
      <c r="JZ78" s="24"/>
      <c r="KA78" s="24"/>
      <c r="KB78" s="24"/>
      <c r="KC78" s="24"/>
      <c r="KD78" s="24"/>
      <c r="KE78" s="24"/>
      <c r="KF78" s="24"/>
      <c r="KG78" s="24"/>
      <c r="KH78" s="24"/>
      <c r="KI78" s="24"/>
      <c r="KJ78" s="24"/>
      <c r="KK78" s="24"/>
      <c r="KL78" s="24"/>
    </row>
    <row r="79" spans="1:298" s="26" customFormat="1" ht="15.95" hidden="1" customHeight="1" x14ac:dyDescent="0.3">
      <c r="A79" s="172"/>
      <c r="B79" s="172"/>
      <c r="C79" s="172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  <c r="AG79" s="173"/>
      <c r="AH79" s="173"/>
      <c r="AI79" s="173"/>
      <c r="AJ79" s="173"/>
      <c r="AK79" s="173"/>
      <c r="AL79" s="173"/>
      <c r="AM79" s="173"/>
      <c r="AN79" s="173"/>
      <c r="AO79" s="173"/>
      <c r="AP79" s="173"/>
      <c r="AQ79" s="173"/>
      <c r="AR79" s="173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/>
      <c r="BF79" s="172"/>
      <c r="BG79" s="172"/>
      <c r="BH79" s="172"/>
      <c r="BI79" s="172"/>
      <c r="BJ79" s="172"/>
      <c r="BK79" s="172"/>
      <c r="BL79" s="172"/>
      <c r="BM79" s="172"/>
      <c r="BN79" s="172"/>
      <c r="BO79" s="172"/>
      <c r="BP79" s="172"/>
      <c r="BQ79" s="172"/>
      <c r="BR79" s="172"/>
      <c r="BS79" s="172"/>
      <c r="BT79" s="172"/>
      <c r="BU79" s="172"/>
      <c r="BV79" s="172"/>
      <c r="BW79" s="172"/>
      <c r="BX79" s="172"/>
      <c r="BY79" s="174"/>
      <c r="BZ79" s="172"/>
      <c r="CA79" s="172"/>
      <c r="CB79" s="24"/>
      <c r="CC79" s="25"/>
      <c r="CH79" s="35" t="s">
        <v>167</v>
      </c>
      <c r="CI79" s="57">
        <f>IF($BD$15="당사자명의(부산등록)",$CI$71,$CI$75)</f>
        <v>0</v>
      </c>
      <c r="CL79" s="37">
        <v>0</v>
      </c>
      <c r="CM79" s="41">
        <v>0</v>
      </c>
      <c r="CO79" s="29"/>
      <c r="CP79" s="28"/>
      <c r="CQ79" s="28"/>
      <c r="CR79" s="28"/>
      <c r="CS79" s="28"/>
      <c r="CT79" s="28"/>
      <c r="CU79" s="28"/>
      <c r="CW79" s="68"/>
      <c r="CX79" s="69" t="str">
        <f>견적관리자용!$S$11</f>
        <v>승합(11~15인)</v>
      </c>
      <c r="CY79" s="70">
        <v>0</v>
      </c>
      <c r="CZ79" s="125">
        <v>1.4999999999999999E-2</v>
      </c>
      <c r="DA79" s="125">
        <v>1.4999999999999999E-2</v>
      </c>
      <c r="DB79" s="125">
        <v>1.4999999999999999E-2</v>
      </c>
      <c r="DC79" s="125">
        <v>1.4999999999999999E-2</v>
      </c>
      <c r="DD79" s="72">
        <f t="shared" si="4"/>
        <v>0</v>
      </c>
      <c r="DE79" s="73">
        <v>76</v>
      </c>
      <c r="DF79" s="72">
        <f t="shared" si="3"/>
        <v>0</v>
      </c>
      <c r="DG79" s="166"/>
      <c r="DJ79" s="25"/>
      <c r="DK79" s="25"/>
      <c r="DL79" s="25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4"/>
      <c r="EP79" s="24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4"/>
      <c r="FC79" s="24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4"/>
      <c r="FP79" s="24"/>
      <c r="FQ79" s="24"/>
      <c r="FR79" s="24"/>
      <c r="FS79" s="24"/>
      <c r="FT79" s="24"/>
      <c r="FU79" s="24"/>
      <c r="FV79" s="24"/>
      <c r="FW79" s="24"/>
      <c r="FX79" s="24"/>
      <c r="FY79" s="24"/>
      <c r="FZ79" s="24"/>
      <c r="GA79" s="24"/>
      <c r="GB79" s="24"/>
      <c r="GC79" s="24"/>
      <c r="GD79" s="24"/>
      <c r="GE79" s="24"/>
      <c r="GF79" s="24"/>
      <c r="GG79" s="24"/>
      <c r="GH79" s="24"/>
      <c r="GI79" s="24"/>
      <c r="GJ79" s="24"/>
      <c r="GK79" s="24"/>
      <c r="GL79" s="24"/>
      <c r="GM79" s="24"/>
      <c r="GN79" s="24"/>
      <c r="GO79" s="24"/>
      <c r="GP79" s="24"/>
      <c r="GQ79" s="24"/>
      <c r="GR79" s="24"/>
      <c r="GS79" s="24"/>
      <c r="GT79" s="24"/>
      <c r="GU79" s="24"/>
      <c r="GV79" s="24"/>
      <c r="GW79" s="24"/>
      <c r="GX79" s="24"/>
      <c r="GY79" s="24"/>
      <c r="GZ79" s="24"/>
      <c r="HA79" s="24"/>
      <c r="HB79" s="24"/>
      <c r="HC79" s="24"/>
      <c r="HD79" s="24"/>
      <c r="HE79" s="24"/>
      <c r="HF79" s="24"/>
      <c r="HG79" s="24"/>
      <c r="HH79" s="24"/>
      <c r="HI79" s="24"/>
      <c r="HJ79" s="24"/>
      <c r="HK79" s="24"/>
      <c r="HL79" s="24"/>
      <c r="HM79" s="24"/>
      <c r="HN79" s="24"/>
      <c r="HO79" s="24"/>
      <c r="HP79" s="24"/>
      <c r="HQ79" s="24"/>
      <c r="HR79" s="24"/>
      <c r="HS79" s="24"/>
      <c r="HT79" s="24"/>
      <c r="HU79" s="24"/>
      <c r="HV79" s="24"/>
      <c r="HW79" s="24"/>
      <c r="HX79" s="24"/>
      <c r="HY79" s="24"/>
      <c r="HZ79" s="24"/>
      <c r="IA79" s="24"/>
      <c r="IB79" s="24"/>
      <c r="IC79" s="24"/>
      <c r="ID79" s="24"/>
      <c r="IE79" s="24"/>
      <c r="IF79" s="24"/>
      <c r="IG79" s="24"/>
      <c r="IH79" s="24"/>
      <c r="II79" s="24"/>
      <c r="IJ79" s="24"/>
      <c r="IK79" s="24"/>
      <c r="IL79" s="24"/>
      <c r="IM79" s="24"/>
      <c r="IN79" s="24"/>
      <c r="IO79" s="24"/>
      <c r="IP79" s="24"/>
      <c r="IQ79" s="24"/>
      <c r="IR79" s="24"/>
      <c r="IS79" s="24"/>
      <c r="IT79" s="24"/>
      <c r="IU79" s="24"/>
      <c r="IV79" s="24"/>
      <c r="IW79" s="24"/>
      <c r="IX79" s="24"/>
      <c r="IY79" s="24"/>
      <c r="IZ79" s="24"/>
      <c r="JA79" s="24"/>
      <c r="JB79" s="24"/>
      <c r="JC79" s="24"/>
      <c r="JD79" s="24"/>
      <c r="JE79" s="24"/>
      <c r="JF79" s="24"/>
      <c r="JG79" s="24"/>
      <c r="JH79" s="24"/>
      <c r="JI79" s="24"/>
      <c r="JJ79" s="24"/>
      <c r="JK79" s="24"/>
      <c r="JL79" s="24"/>
      <c r="JM79" s="24"/>
      <c r="JN79" s="24"/>
      <c r="JO79" s="24"/>
      <c r="JP79" s="24"/>
      <c r="JQ79" s="24"/>
      <c r="JR79" s="24"/>
      <c r="JS79" s="24"/>
      <c r="JT79" s="24"/>
      <c r="JU79" s="24"/>
      <c r="JV79" s="24"/>
      <c r="JW79" s="24"/>
      <c r="JX79" s="24"/>
      <c r="JY79" s="24"/>
      <c r="JZ79" s="24"/>
      <c r="KA79" s="24"/>
      <c r="KB79" s="24"/>
      <c r="KC79" s="24"/>
      <c r="KD79" s="24"/>
      <c r="KE79" s="24"/>
      <c r="KF79" s="24"/>
      <c r="KG79" s="24"/>
      <c r="KH79" s="24"/>
      <c r="KI79" s="24"/>
      <c r="KJ79" s="24"/>
      <c r="KK79" s="24"/>
      <c r="KL79" s="24"/>
    </row>
    <row r="80" spans="1:298" s="26" customFormat="1" ht="15.95" hidden="1" customHeight="1" x14ac:dyDescent="0.3">
      <c r="A80" s="172"/>
      <c r="B80" s="172"/>
      <c r="C80" s="172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  <c r="AG80" s="173"/>
      <c r="AH80" s="173"/>
      <c r="AI80" s="173"/>
      <c r="AJ80" s="173"/>
      <c r="AK80" s="173"/>
      <c r="AL80" s="173"/>
      <c r="AM80" s="173"/>
      <c r="AN80" s="173"/>
      <c r="AO80" s="173"/>
      <c r="AP80" s="173"/>
      <c r="AQ80" s="173"/>
      <c r="AR80" s="173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/>
      <c r="BJ80" s="172"/>
      <c r="BK80" s="172"/>
      <c r="BL80" s="172"/>
      <c r="BM80" s="172"/>
      <c r="BN80" s="172"/>
      <c r="BO80" s="172"/>
      <c r="BP80" s="172"/>
      <c r="BQ80" s="172"/>
      <c r="BR80" s="172"/>
      <c r="BS80" s="172"/>
      <c r="BT80" s="172"/>
      <c r="BU80" s="172"/>
      <c r="BV80" s="172"/>
      <c r="BW80" s="172"/>
      <c r="BX80" s="172"/>
      <c r="BY80" s="174"/>
      <c r="BZ80" s="172"/>
      <c r="CA80" s="172"/>
      <c r="CB80" s="24"/>
      <c r="CC80" s="25"/>
      <c r="CH80" s="35" t="s">
        <v>168</v>
      </c>
      <c r="CI80" s="57">
        <f>VLOOKUP(CI23,CL79:CM81,2,TRUE)</f>
        <v>35000</v>
      </c>
      <c r="CL80" s="49">
        <v>50000001</v>
      </c>
      <c r="CM80" s="50">
        <v>35000</v>
      </c>
      <c r="CO80" s="29"/>
      <c r="CP80" s="28"/>
      <c r="CQ80" s="28"/>
      <c r="CR80" s="28"/>
      <c r="CS80" s="28"/>
      <c r="CT80" s="28"/>
      <c r="CU80" s="28"/>
      <c r="CW80" s="68"/>
      <c r="CX80" s="69" t="str">
        <f>견적관리자용!$S$12</f>
        <v>화물(1000cc 미만)</v>
      </c>
      <c r="CY80" s="70">
        <v>0</v>
      </c>
      <c r="CZ80" s="70">
        <v>0</v>
      </c>
      <c r="DA80" s="80">
        <v>0</v>
      </c>
      <c r="DB80" s="80">
        <v>0</v>
      </c>
      <c r="DC80" s="80">
        <v>0</v>
      </c>
      <c r="DD80" s="72">
        <f t="shared" si="4"/>
        <v>0</v>
      </c>
      <c r="DE80" s="73">
        <v>77</v>
      </c>
      <c r="DF80" s="72">
        <f t="shared" si="3"/>
        <v>0</v>
      </c>
      <c r="DG80" s="166"/>
      <c r="DJ80" s="25"/>
      <c r="DK80" s="25"/>
      <c r="DL80" s="25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  <c r="EG80" s="24"/>
      <c r="EH80" s="24"/>
      <c r="EI80" s="24"/>
      <c r="EJ80" s="24"/>
      <c r="EK80" s="24"/>
      <c r="EL80" s="24"/>
      <c r="EM80" s="24"/>
      <c r="EN80" s="24"/>
      <c r="EO80" s="24"/>
      <c r="EP80" s="24"/>
      <c r="EQ80" s="24"/>
      <c r="ER80" s="24"/>
      <c r="ES80" s="24"/>
      <c r="ET80" s="24"/>
      <c r="EU80" s="24"/>
      <c r="EV80" s="24"/>
      <c r="EW80" s="24"/>
      <c r="EX80" s="24"/>
      <c r="EY80" s="24"/>
      <c r="EZ80" s="24"/>
      <c r="FA80" s="24"/>
      <c r="FB80" s="24"/>
      <c r="FC80" s="24"/>
      <c r="FD80" s="24"/>
      <c r="FE80" s="24"/>
      <c r="FF80" s="24"/>
      <c r="FG80" s="24"/>
      <c r="FH80" s="24"/>
      <c r="FI80" s="24"/>
      <c r="FJ80" s="24"/>
      <c r="FK80" s="24"/>
      <c r="FL80" s="24"/>
      <c r="FM80" s="24"/>
      <c r="FN80" s="24"/>
      <c r="FO80" s="24"/>
      <c r="FP80" s="24"/>
      <c r="FQ80" s="24"/>
      <c r="FR80" s="24"/>
      <c r="FS80" s="24"/>
      <c r="FT80" s="24"/>
      <c r="FU80" s="24"/>
      <c r="FV80" s="24"/>
      <c r="FW80" s="24"/>
      <c r="FX80" s="24"/>
      <c r="FY80" s="24"/>
      <c r="FZ80" s="24"/>
      <c r="GA80" s="24"/>
      <c r="GB80" s="24"/>
      <c r="GC80" s="24"/>
      <c r="GD80" s="24"/>
      <c r="GE80" s="24"/>
      <c r="GF80" s="24"/>
      <c r="GG80" s="24"/>
      <c r="GH80" s="24"/>
      <c r="GI80" s="24"/>
      <c r="GJ80" s="24"/>
      <c r="GK80" s="24"/>
      <c r="GL80" s="24"/>
      <c r="GM80" s="24"/>
      <c r="GN80" s="24"/>
      <c r="GO80" s="24"/>
      <c r="GP80" s="24"/>
      <c r="GQ80" s="24"/>
      <c r="GR80" s="24"/>
      <c r="GS80" s="24"/>
      <c r="GT80" s="24"/>
      <c r="GU80" s="24"/>
      <c r="GV80" s="24"/>
      <c r="GW80" s="24"/>
      <c r="GX80" s="24"/>
      <c r="GY80" s="24"/>
      <c r="GZ80" s="24"/>
      <c r="HA80" s="24"/>
      <c r="HB80" s="24"/>
      <c r="HC80" s="24"/>
      <c r="HD80" s="24"/>
      <c r="HE80" s="24"/>
      <c r="HF80" s="24"/>
      <c r="HG80" s="24"/>
      <c r="HH80" s="24"/>
      <c r="HI80" s="24"/>
      <c r="HJ80" s="24"/>
      <c r="HK80" s="24"/>
      <c r="HL80" s="24"/>
      <c r="HM80" s="24"/>
      <c r="HN80" s="24"/>
      <c r="HO80" s="24"/>
      <c r="HP80" s="24"/>
      <c r="HQ80" s="24"/>
      <c r="HR80" s="24"/>
      <c r="HS80" s="24"/>
      <c r="HT80" s="24"/>
      <c r="HU80" s="24"/>
      <c r="HV80" s="24"/>
      <c r="HW80" s="24"/>
      <c r="HX80" s="24"/>
      <c r="HY80" s="24"/>
      <c r="HZ80" s="24"/>
      <c r="IA80" s="24"/>
      <c r="IB80" s="24"/>
      <c r="IC80" s="24"/>
      <c r="ID80" s="24"/>
      <c r="IE80" s="24"/>
      <c r="IF80" s="24"/>
      <c r="IG80" s="24"/>
      <c r="IH80" s="24"/>
      <c r="II80" s="24"/>
      <c r="IJ80" s="24"/>
      <c r="IK80" s="24"/>
      <c r="IL80" s="24"/>
      <c r="IM80" s="24"/>
      <c r="IN80" s="24"/>
      <c r="IO80" s="24"/>
      <c r="IP80" s="24"/>
      <c r="IQ80" s="24"/>
      <c r="IR80" s="24"/>
      <c r="IS80" s="24"/>
      <c r="IT80" s="24"/>
      <c r="IU80" s="24"/>
      <c r="IV80" s="24"/>
      <c r="IW80" s="24"/>
      <c r="IX80" s="24"/>
      <c r="IY80" s="24"/>
      <c r="IZ80" s="24"/>
      <c r="JA80" s="24"/>
      <c r="JB80" s="24"/>
      <c r="JC80" s="24"/>
      <c r="JD80" s="24"/>
      <c r="JE80" s="24"/>
      <c r="JF80" s="24"/>
      <c r="JG80" s="24"/>
      <c r="JH80" s="24"/>
      <c r="JI80" s="24"/>
      <c r="JJ80" s="24"/>
      <c r="JK80" s="24"/>
      <c r="JL80" s="24"/>
      <c r="JM80" s="24"/>
      <c r="JN80" s="24"/>
      <c r="JO80" s="24"/>
      <c r="JP80" s="24"/>
      <c r="JQ80" s="24"/>
      <c r="JR80" s="24"/>
      <c r="JS80" s="24"/>
      <c r="JT80" s="24"/>
      <c r="JU80" s="24"/>
      <c r="JV80" s="24"/>
      <c r="JW80" s="24"/>
      <c r="JX80" s="24"/>
      <c r="JY80" s="24"/>
      <c r="JZ80" s="24"/>
      <c r="KA80" s="24"/>
      <c r="KB80" s="24"/>
      <c r="KC80" s="24"/>
      <c r="KD80" s="24"/>
      <c r="KE80" s="24"/>
      <c r="KF80" s="24"/>
      <c r="KG80" s="24"/>
      <c r="KH80" s="24"/>
      <c r="KI80" s="24"/>
      <c r="KJ80" s="24"/>
      <c r="KK80" s="24"/>
      <c r="KL80" s="24"/>
    </row>
    <row r="81" spans="1:298" s="26" customFormat="1" ht="15.95" hidden="1" customHeight="1" x14ac:dyDescent="0.3">
      <c r="A81" s="172"/>
      <c r="B81" s="172"/>
      <c r="C81" s="172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/>
      <c r="BJ81" s="172"/>
      <c r="BK81" s="172"/>
      <c r="BL81" s="172"/>
      <c r="BM81" s="172"/>
      <c r="BN81" s="172"/>
      <c r="BO81" s="172"/>
      <c r="BP81" s="172"/>
      <c r="BQ81" s="172"/>
      <c r="BR81" s="172"/>
      <c r="BS81" s="172"/>
      <c r="BT81" s="172"/>
      <c r="BU81" s="172"/>
      <c r="BV81" s="172"/>
      <c r="BW81" s="172"/>
      <c r="BX81" s="172"/>
      <c r="BY81" s="174"/>
      <c r="BZ81" s="172"/>
      <c r="CA81" s="172"/>
      <c r="CB81" s="24"/>
      <c r="CC81" s="25"/>
      <c r="CH81" s="66" t="s">
        <v>169</v>
      </c>
      <c r="CI81" s="184">
        <f>VLOOKUP(BD26,CL83:CM87,2,FALSE)</f>
        <v>74130000</v>
      </c>
      <c r="CL81" s="98">
        <v>100000001</v>
      </c>
      <c r="CM81" s="97">
        <v>75000</v>
      </c>
      <c r="CO81" s="29"/>
      <c r="CP81" s="28"/>
      <c r="CQ81" s="28"/>
      <c r="CR81" s="28"/>
      <c r="CS81" s="28"/>
      <c r="CT81" s="28"/>
      <c r="CU81" s="28"/>
      <c r="CW81" s="85"/>
      <c r="CX81" s="69" t="str">
        <f>견적관리자용!$S$13</f>
        <v>화물(0.6톤 미만)</v>
      </c>
      <c r="CY81" s="70">
        <v>0</v>
      </c>
      <c r="CZ81" s="125">
        <v>1.4999999999999999E-2</v>
      </c>
      <c r="DA81" s="125">
        <v>1.4999999999999999E-2</v>
      </c>
      <c r="DB81" s="125">
        <v>1.4999999999999999E-2</v>
      </c>
      <c r="DC81" s="125">
        <v>1.4999999999999999E-2</v>
      </c>
      <c r="DD81" s="72">
        <f t="shared" si="4"/>
        <v>0</v>
      </c>
      <c r="DE81" s="73">
        <v>78</v>
      </c>
      <c r="DF81" s="72">
        <f t="shared" si="3"/>
        <v>0</v>
      </c>
      <c r="DG81" s="166"/>
      <c r="DJ81" s="25"/>
      <c r="DK81" s="25"/>
      <c r="DL81" s="25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4"/>
      <c r="EP81" s="24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4"/>
      <c r="FC81" s="24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4"/>
      <c r="FP81" s="24"/>
      <c r="FQ81" s="24"/>
      <c r="FR81" s="24"/>
      <c r="FS81" s="24"/>
      <c r="FT81" s="24"/>
      <c r="FU81" s="24"/>
      <c r="FV81" s="24"/>
      <c r="FW81" s="24"/>
      <c r="FX81" s="24"/>
      <c r="FY81" s="24"/>
      <c r="FZ81" s="24"/>
      <c r="GA81" s="24"/>
      <c r="GB81" s="24"/>
      <c r="GC81" s="24"/>
      <c r="GD81" s="24"/>
      <c r="GE81" s="24"/>
      <c r="GF81" s="24"/>
      <c r="GG81" s="24"/>
      <c r="GH81" s="24"/>
      <c r="GI81" s="24"/>
      <c r="GJ81" s="24"/>
      <c r="GK81" s="24"/>
      <c r="GL81" s="24"/>
      <c r="GM81" s="24"/>
      <c r="GN81" s="24"/>
      <c r="GO81" s="24"/>
      <c r="GP81" s="24"/>
      <c r="GQ81" s="24"/>
      <c r="GR81" s="24"/>
      <c r="GS81" s="24"/>
      <c r="GT81" s="24"/>
      <c r="GU81" s="24"/>
      <c r="GV81" s="24"/>
      <c r="GW81" s="24"/>
      <c r="GX81" s="24"/>
      <c r="GY81" s="24"/>
      <c r="GZ81" s="24"/>
      <c r="HA81" s="24"/>
      <c r="HB81" s="24"/>
      <c r="HC81" s="24"/>
      <c r="HD81" s="24"/>
      <c r="HE81" s="24"/>
      <c r="HF81" s="24"/>
      <c r="HG81" s="24"/>
      <c r="HH81" s="24"/>
      <c r="HI81" s="24"/>
      <c r="HJ81" s="24"/>
      <c r="HK81" s="24"/>
      <c r="HL81" s="24"/>
      <c r="HM81" s="24"/>
      <c r="HN81" s="24"/>
      <c r="HO81" s="24"/>
      <c r="HP81" s="24"/>
      <c r="HQ81" s="24"/>
      <c r="HR81" s="24"/>
      <c r="HS81" s="24"/>
      <c r="HT81" s="24"/>
      <c r="HU81" s="24"/>
      <c r="HV81" s="24"/>
      <c r="HW81" s="24"/>
      <c r="HX81" s="24"/>
      <c r="HY81" s="24"/>
      <c r="HZ81" s="24"/>
      <c r="IA81" s="24"/>
      <c r="IB81" s="24"/>
      <c r="IC81" s="24"/>
      <c r="ID81" s="24"/>
      <c r="IE81" s="24"/>
      <c r="IF81" s="24"/>
      <c r="IG81" s="24"/>
      <c r="IH81" s="24"/>
      <c r="II81" s="24"/>
      <c r="IJ81" s="24"/>
      <c r="IK81" s="24"/>
      <c r="IL81" s="24"/>
      <c r="IM81" s="24"/>
      <c r="IN81" s="24"/>
      <c r="IO81" s="24"/>
      <c r="IP81" s="24"/>
      <c r="IQ81" s="24"/>
      <c r="IR81" s="24"/>
      <c r="IS81" s="24"/>
      <c r="IT81" s="24"/>
      <c r="IU81" s="24"/>
      <c r="IV81" s="24"/>
      <c r="IW81" s="24"/>
      <c r="IX81" s="24"/>
      <c r="IY81" s="24"/>
      <c r="IZ81" s="24"/>
      <c r="JA81" s="24"/>
      <c r="JB81" s="24"/>
      <c r="JC81" s="24"/>
      <c r="JD81" s="24"/>
      <c r="JE81" s="24"/>
      <c r="JF81" s="24"/>
      <c r="JG81" s="24"/>
      <c r="JH81" s="24"/>
      <c r="JI81" s="24"/>
      <c r="JJ81" s="24"/>
      <c r="JK81" s="24"/>
      <c r="JL81" s="24"/>
      <c r="JM81" s="24"/>
      <c r="JN81" s="24"/>
      <c r="JO81" s="24"/>
      <c r="JP81" s="24"/>
      <c r="JQ81" s="24"/>
      <c r="JR81" s="24"/>
      <c r="JS81" s="24"/>
      <c r="JT81" s="24"/>
      <c r="JU81" s="24"/>
      <c r="JV81" s="24"/>
      <c r="JW81" s="24"/>
      <c r="JX81" s="24"/>
      <c r="JY81" s="24"/>
      <c r="JZ81" s="24"/>
      <c r="KA81" s="24"/>
      <c r="KB81" s="24"/>
      <c r="KC81" s="24"/>
      <c r="KD81" s="24"/>
      <c r="KE81" s="24"/>
      <c r="KF81" s="24"/>
      <c r="KG81" s="24"/>
      <c r="KH81" s="24"/>
      <c r="KI81" s="24"/>
      <c r="KJ81" s="24"/>
      <c r="KK81" s="24"/>
      <c r="KL81" s="24"/>
    </row>
    <row r="82" spans="1:298" s="26" customFormat="1" ht="15.95" hidden="1" customHeight="1" x14ac:dyDescent="0.3">
      <c r="A82" s="172"/>
      <c r="B82" s="172"/>
      <c r="C82" s="172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  <c r="AG82" s="173"/>
      <c r="AH82" s="173"/>
      <c r="AI82" s="173"/>
      <c r="AJ82" s="173"/>
      <c r="AK82" s="173"/>
      <c r="AL82" s="173"/>
      <c r="AM82" s="173"/>
      <c r="AN82" s="173"/>
      <c r="AO82" s="173"/>
      <c r="AP82" s="173"/>
      <c r="AQ82" s="173"/>
      <c r="AR82" s="173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/>
      <c r="BJ82" s="172"/>
      <c r="BK82" s="172"/>
      <c r="BL82" s="172"/>
      <c r="BM82" s="172"/>
      <c r="BN82" s="172"/>
      <c r="BO82" s="172"/>
      <c r="BP82" s="172"/>
      <c r="BQ82" s="172"/>
      <c r="BR82" s="172"/>
      <c r="BS82" s="172"/>
      <c r="BT82" s="172"/>
      <c r="BU82" s="172"/>
      <c r="BV82" s="172"/>
      <c r="BW82" s="172"/>
      <c r="BX82" s="172"/>
      <c r="BY82" s="174"/>
      <c r="BZ82" s="172"/>
      <c r="CA82" s="172"/>
      <c r="CB82" s="24"/>
      <c r="CC82" s="25"/>
      <c r="CH82" s="188"/>
      <c r="CI82" s="50">
        <f>IF(CI81=0,0,ROUNDDOWN(IF($CI$81&gt;=7500000,$CI$81*0.6%,$CI$81*0.4%+15000),0))</f>
        <v>444780</v>
      </c>
      <c r="CL82" s="28"/>
      <c r="CM82" s="28"/>
      <c r="CO82" s="29"/>
      <c r="CP82" s="28"/>
      <c r="CQ82" s="28"/>
      <c r="CR82" s="28"/>
      <c r="CS82" s="28"/>
      <c r="CT82" s="28"/>
      <c r="CU82" s="28"/>
      <c r="CW82" s="85"/>
      <c r="CX82" s="69" t="str">
        <f>견적관리자용!$S$14</f>
        <v>화물(0.6~1톤 미만)</v>
      </c>
      <c r="CY82" s="70">
        <v>0</v>
      </c>
      <c r="CZ82" s="125">
        <v>1.4999999999999999E-2</v>
      </c>
      <c r="DA82" s="125">
        <v>1.4999999999999999E-2</v>
      </c>
      <c r="DB82" s="125">
        <v>1.4999999999999999E-2</v>
      </c>
      <c r="DC82" s="125">
        <v>1.4999999999999999E-2</v>
      </c>
      <c r="DD82" s="72">
        <f t="shared" si="4"/>
        <v>0</v>
      </c>
      <c r="DE82" s="73">
        <v>79</v>
      </c>
      <c r="DF82" s="72">
        <f t="shared" si="3"/>
        <v>0</v>
      </c>
      <c r="DG82" s="166"/>
      <c r="DJ82" s="25"/>
      <c r="DK82" s="25"/>
      <c r="DL82" s="25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  <c r="EG82" s="24"/>
      <c r="EH82" s="24"/>
      <c r="EI82" s="24"/>
      <c r="EJ82" s="24"/>
      <c r="EK82" s="24"/>
      <c r="EL82" s="24"/>
      <c r="EM82" s="24"/>
      <c r="EN82" s="24"/>
      <c r="EO82" s="24"/>
      <c r="EP82" s="24"/>
      <c r="EQ82" s="24"/>
      <c r="ER82" s="24"/>
      <c r="ES82" s="24"/>
      <c r="ET82" s="24"/>
      <c r="EU82" s="24"/>
      <c r="EV82" s="24"/>
      <c r="EW82" s="24"/>
      <c r="EX82" s="24"/>
      <c r="EY82" s="24"/>
      <c r="EZ82" s="24"/>
      <c r="FA82" s="24"/>
      <c r="FB82" s="24"/>
      <c r="FC82" s="24"/>
      <c r="FD82" s="24"/>
      <c r="FE82" s="24"/>
      <c r="FF82" s="24"/>
      <c r="FG82" s="24"/>
      <c r="FH82" s="24"/>
      <c r="FI82" s="24"/>
      <c r="FJ82" s="24"/>
      <c r="FK82" s="24"/>
      <c r="FL82" s="24"/>
      <c r="FM82" s="24"/>
      <c r="FN82" s="24"/>
      <c r="FO82" s="24"/>
      <c r="FP82" s="24"/>
      <c r="FQ82" s="24"/>
      <c r="FR82" s="24"/>
      <c r="FS82" s="24"/>
      <c r="FT82" s="24"/>
      <c r="FU82" s="24"/>
      <c r="FV82" s="24"/>
      <c r="FW82" s="24"/>
      <c r="FX82" s="24"/>
      <c r="FY82" s="24"/>
      <c r="FZ82" s="24"/>
      <c r="GA82" s="24"/>
      <c r="GB82" s="24"/>
      <c r="GC82" s="24"/>
      <c r="GD82" s="24"/>
      <c r="GE82" s="24"/>
      <c r="GF82" s="24"/>
      <c r="GG82" s="24"/>
      <c r="GH82" s="24"/>
      <c r="GI82" s="24"/>
      <c r="GJ82" s="24"/>
      <c r="GK82" s="24"/>
      <c r="GL82" s="24"/>
      <c r="GM82" s="24"/>
      <c r="GN82" s="24"/>
      <c r="GO82" s="24"/>
      <c r="GP82" s="24"/>
      <c r="GQ82" s="24"/>
      <c r="GR82" s="24"/>
      <c r="GS82" s="24"/>
      <c r="GT82" s="24"/>
      <c r="GU82" s="24"/>
      <c r="GV82" s="24"/>
      <c r="GW82" s="24"/>
      <c r="GX82" s="24"/>
      <c r="GY82" s="24"/>
      <c r="GZ82" s="24"/>
      <c r="HA82" s="24"/>
      <c r="HB82" s="24"/>
      <c r="HC82" s="24"/>
      <c r="HD82" s="24"/>
      <c r="HE82" s="24"/>
      <c r="HF82" s="24"/>
      <c r="HG82" s="24"/>
      <c r="HH82" s="24"/>
      <c r="HI82" s="24"/>
      <c r="HJ82" s="24"/>
      <c r="HK82" s="24"/>
      <c r="HL82" s="24"/>
      <c r="HM82" s="24"/>
      <c r="HN82" s="24"/>
      <c r="HO82" s="24"/>
      <c r="HP82" s="24"/>
      <c r="HQ82" s="24"/>
      <c r="HR82" s="24"/>
      <c r="HS82" s="24"/>
      <c r="HT82" s="24"/>
      <c r="HU82" s="24"/>
      <c r="HV82" s="24"/>
      <c r="HW82" s="24"/>
      <c r="HX82" s="24"/>
      <c r="HY82" s="24"/>
      <c r="HZ82" s="24"/>
      <c r="IA82" s="24"/>
      <c r="IB82" s="24"/>
      <c r="IC82" s="24"/>
      <c r="ID82" s="24"/>
      <c r="IE82" s="24"/>
      <c r="IF82" s="24"/>
      <c r="IG82" s="24"/>
      <c r="IH82" s="24"/>
      <c r="II82" s="24"/>
      <c r="IJ82" s="24"/>
      <c r="IK82" s="24"/>
      <c r="IL82" s="24"/>
      <c r="IM82" s="24"/>
      <c r="IN82" s="24"/>
      <c r="IO82" s="24"/>
      <c r="IP82" s="24"/>
      <c r="IQ82" s="24"/>
      <c r="IR82" s="24"/>
      <c r="IS82" s="24"/>
      <c r="IT82" s="24"/>
      <c r="IU82" s="24"/>
      <c r="IV82" s="24"/>
      <c r="IW82" s="24"/>
      <c r="IX82" s="24"/>
      <c r="IY82" s="24"/>
      <c r="IZ82" s="24"/>
      <c r="JA82" s="24"/>
      <c r="JB82" s="24"/>
      <c r="JC82" s="24"/>
      <c r="JD82" s="24"/>
      <c r="JE82" s="24"/>
      <c r="JF82" s="24"/>
      <c r="JG82" s="24"/>
      <c r="JH82" s="24"/>
      <c r="JI82" s="24"/>
      <c r="JJ82" s="24"/>
      <c r="JK82" s="24"/>
      <c r="JL82" s="24"/>
      <c r="JM82" s="24"/>
      <c r="JN82" s="24"/>
      <c r="JO82" s="24"/>
      <c r="JP82" s="24"/>
      <c r="JQ82" s="24"/>
      <c r="JR82" s="24"/>
      <c r="JS82" s="24"/>
      <c r="JT82" s="24"/>
      <c r="JU82" s="24"/>
      <c r="JV82" s="24"/>
      <c r="JW82" s="24"/>
      <c r="JX82" s="24"/>
      <c r="JY82" s="24"/>
      <c r="JZ82" s="24"/>
      <c r="KA82" s="24"/>
      <c r="KB82" s="24"/>
      <c r="KC82" s="24"/>
      <c r="KD82" s="24"/>
      <c r="KE82" s="24"/>
      <c r="KF82" s="24"/>
      <c r="KG82" s="24"/>
      <c r="KH82" s="24"/>
      <c r="KI82" s="24"/>
      <c r="KJ82" s="24"/>
      <c r="KK82" s="24"/>
      <c r="KL82" s="24"/>
    </row>
    <row r="83" spans="1:298" s="26" customFormat="1" ht="15.95" hidden="1" customHeight="1" x14ac:dyDescent="0.3">
      <c r="A83" s="172"/>
      <c r="B83" s="172"/>
      <c r="C83" s="172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  <c r="AG83" s="173"/>
      <c r="AH83" s="173"/>
      <c r="AI83" s="173"/>
      <c r="AJ83" s="173"/>
      <c r="AK83" s="173"/>
      <c r="AL83" s="173"/>
      <c r="AM83" s="173"/>
      <c r="AN83" s="173"/>
      <c r="AO83" s="173"/>
      <c r="AP83" s="173"/>
      <c r="AQ83" s="173"/>
      <c r="AR83" s="173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/>
      <c r="BJ83" s="172"/>
      <c r="BK83" s="172"/>
      <c r="BL83" s="172"/>
      <c r="BM83" s="172"/>
      <c r="BN83" s="172"/>
      <c r="BO83" s="172"/>
      <c r="BP83" s="172"/>
      <c r="BQ83" s="172"/>
      <c r="BR83" s="172"/>
      <c r="BS83" s="172"/>
      <c r="BT83" s="172"/>
      <c r="BU83" s="172"/>
      <c r="BV83" s="172"/>
      <c r="BW83" s="172"/>
      <c r="BX83" s="172"/>
      <c r="BY83" s="174"/>
      <c r="BZ83" s="172"/>
      <c r="CA83" s="172"/>
      <c r="CB83" s="24"/>
      <c r="CC83" s="25"/>
      <c r="CH83" s="103" t="s">
        <v>170</v>
      </c>
      <c r="CI83" s="104">
        <f>CI82</f>
        <v>444780</v>
      </c>
      <c r="CL83" s="266">
        <v>1</v>
      </c>
      <c r="CM83" s="41">
        <f>ROUNDUP(CI23,-4)</f>
        <v>74130000</v>
      </c>
      <c r="CO83" s="29"/>
      <c r="CP83" s="28"/>
      <c r="CQ83" s="28"/>
      <c r="CR83" s="28"/>
      <c r="CS83" s="28"/>
      <c r="CT83" s="28"/>
      <c r="CU83" s="28"/>
      <c r="CW83" s="85"/>
      <c r="CX83" s="69" t="str">
        <f>견적관리자용!$S$15</f>
        <v>화물(1~2.5톤 미만)</v>
      </c>
      <c r="CY83" s="70">
        <v>0</v>
      </c>
      <c r="CZ83" s="125">
        <v>1.4999999999999999E-2</v>
      </c>
      <c r="DA83" s="125">
        <v>1.4999999999999999E-2</v>
      </c>
      <c r="DB83" s="125">
        <v>1.4999999999999999E-2</v>
      </c>
      <c r="DC83" s="125">
        <v>1.4999999999999999E-2</v>
      </c>
      <c r="DD83" s="72">
        <f t="shared" si="4"/>
        <v>0</v>
      </c>
      <c r="DE83" s="73">
        <v>80</v>
      </c>
      <c r="DF83" s="72">
        <f t="shared" si="3"/>
        <v>0</v>
      </c>
      <c r="DG83" s="166"/>
      <c r="DJ83" s="25"/>
      <c r="DK83" s="25"/>
      <c r="DL83" s="25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4"/>
      <c r="EP83" s="24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4"/>
      <c r="FC83" s="24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4"/>
      <c r="FP83" s="24"/>
      <c r="FQ83" s="24"/>
      <c r="FR83" s="24"/>
      <c r="FS83" s="24"/>
      <c r="FT83" s="24"/>
      <c r="FU83" s="24"/>
      <c r="FV83" s="24"/>
      <c r="FW83" s="24"/>
      <c r="FX83" s="24"/>
      <c r="FY83" s="24"/>
      <c r="FZ83" s="24"/>
      <c r="GA83" s="24"/>
      <c r="GB83" s="24"/>
      <c r="GC83" s="24"/>
      <c r="GD83" s="24"/>
      <c r="GE83" s="24"/>
      <c r="GF83" s="24"/>
      <c r="GG83" s="24"/>
      <c r="GH83" s="24"/>
      <c r="GI83" s="24"/>
      <c r="GJ83" s="24"/>
      <c r="GK83" s="24"/>
      <c r="GL83" s="24"/>
      <c r="GM83" s="24"/>
      <c r="GN83" s="24"/>
      <c r="GO83" s="24"/>
      <c r="GP83" s="24"/>
      <c r="GQ83" s="24"/>
      <c r="GR83" s="24"/>
      <c r="GS83" s="24"/>
      <c r="GT83" s="24"/>
      <c r="GU83" s="24"/>
      <c r="GV83" s="24"/>
      <c r="GW83" s="24"/>
      <c r="GX83" s="24"/>
      <c r="GY83" s="24"/>
      <c r="GZ83" s="24"/>
      <c r="HA83" s="24"/>
      <c r="HB83" s="24"/>
      <c r="HC83" s="24"/>
      <c r="HD83" s="24"/>
      <c r="HE83" s="24"/>
      <c r="HF83" s="24"/>
      <c r="HG83" s="24"/>
      <c r="HH83" s="24"/>
      <c r="HI83" s="24"/>
      <c r="HJ83" s="24"/>
      <c r="HK83" s="24"/>
      <c r="HL83" s="24"/>
      <c r="HM83" s="24"/>
      <c r="HN83" s="24"/>
      <c r="HO83" s="24"/>
      <c r="HP83" s="24"/>
      <c r="HQ83" s="24"/>
      <c r="HR83" s="24"/>
      <c r="HS83" s="24"/>
      <c r="HT83" s="24"/>
      <c r="HU83" s="24"/>
      <c r="HV83" s="24"/>
      <c r="HW83" s="24"/>
      <c r="HX83" s="24"/>
      <c r="HY83" s="24"/>
      <c r="HZ83" s="24"/>
      <c r="IA83" s="24"/>
      <c r="IB83" s="24"/>
      <c r="IC83" s="24"/>
      <c r="ID83" s="24"/>
      <c r="IE83" s="24"/>
      <c r="IF83" s="24"/>
      <c r="IG83" s="24"/>
      <c r="IH83" s="24"/>
      <c r="II83" s="24"/>
      <c r="IJ83" s="24"/>
      <c r="IK83" s="24"/>
      <c r="IL83" s="24"/>
      <c r="IM83" s="24"/>
      <c r="IN83" s="24"/>
      <c r="IO83" s="24"/>
      <c r="IP83" s="24"/>
      <c r="IQ83" s="24"/>
      <c r="IR83" s="24"/>
      <c r="IS83" s="24"/>
      <c r="IT83" s="24"/>
      <c r="IU83" s="24"/>
      <c r="IV83" s="24"/>
      <c r="IW83" s="24"/>
      <c r="IX83" s="24"/>
      <c r="IY83" s="24"/>
      <c r="IZ83" s="24"/>
      <c r="JA83" s="24"/>
      <c r="JB83" s="24"/>
      <c r="JC83" s="24"/>
      <c r="JD83" s="24"/>
      <c r="JE83" s="24"/>
      <c r="JF83" s="24"/>
      <c r="JG83" s="24"/>
      <c r="JH83" s="24"/>
      <c r="JI83" s="24"/>
      <c r="JJ83" s="24"/>
      <c r="JK83" s="24"/>
      <c r="JL83" s="24"/>
      <c r="JM83" s="24"/>
      <c r="JN83" s="24"/>
      <c r="JO83" s="24"/>
      <c r="JP83" s="24"/>
      <c r="JQ83" s="24"/>
      <c r="JR83" s="24"/>
      <c r="JS83" s="24"/>
      <c r="JT83" s="24"/>
      <c r="JU83" s="24"/>
      <c r="JV83" s="24"/>
      <c r="JW83" s="24"/>
      <c r="JX83" s="24"/>
      <c r="JY83" s="24"/>
      <c r="JZ83" s="24"/>
      <c r="KA83" s="24"/>
      <c r="KB83" s="24"/>
      <c r="KC83" s="24"/>
      <c r="KD83" s="24"/>
      <c r="KE83" s="24"/>
      <c r="KF83" s="24"/>
      <c r="KG83" s="24"/>
      <c r="KH83" s="24"/>
      <c r="KI83" s="24"/>
      <c r="KJ83" s="24"/>
      <c r="KK83" s="24"/>
      <c r="KL83" s="24"/>
    </row>
    <row r="84" spans="1:298" s="26" customFormat="1" ht="15.95" hidden="1" customHeight="1" x14ac:dyDescent="0.3">
      <c r="A84" s="172"/>
      <c r="B84" s="172"/>
      <c r="C84" s="172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  <c r="AG84" s="173"/>
      <c r="AH84" s="173"/>
      <c r="AI84" s="173"/>
      <c r="AJ84" s="173"/>
      <c r="AK84" s="173"/>
      <c r="AL84" s="173"/>
      <c r="AM84" s="173"/>
      <c r="AN84" s="173"/>
      <c r="AO84" s="173"/>
      <c r="AP84" s="173"/>
      <c r="AQ84" s="173"/>
      <c r="AR84" s="173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/>
      <c r="BN84" s="172"/>
      <c r="BO84" s="172"/>
      <c r="BP84" s="172"/>
      <c r="BQ84" s="172"/>
      <c r="BR84" s="172"/>
      <c r="BS84" s="172"/>
      <c r="BT84" s="172"/>
      <c r="BU84" s="172"/>
      <c r="BV84" s="172"/>
      <c r="BW84" s="172"/>
      <c r="BX84" s="172"/>
      <c r="BY84" s="174"/>
      <c r="BZ84" s="172"/>
      <c r="CA84" s="172"/>
      <c r="CB84" s="24"/>
      <c r="CC84" s="25"/>
      <c r="CH84" s="35" t="s">
        <v>175</v>
      </c>
      <c r="CI84" s="57">
        <f>+IF($BD$28="신차보상보험(1년)",견적관리자용!$M$40,IF($BD$28="신차보상보험(3년)",견적관리자용!$M$41,0))</f>
        <v>0</v>
      </c>
      <c r="CL84" s="267">
        <v>0.5</v>
      </c>
      <c r="CM84" s="50">
        <f>ROUNDUP(CI23*50%,-4)</f>
        <v>37070000</v>
      </c>
      <c r="CO84" s="29"/>
      <c r="CP84" s="28"/>
      <c r="CQ84" s="28"/>
      <c r="CR84" s="28"/>
      <c r="CS84" s="28"/>
      <c r="CT84" s="28"/>
      <c r="CU84" s="28"/>
      <c r="CW84" s="85"/>
      <c r="CX84" s="69" t="str">
        <f>견적관리자용!$S$16</f>
        <v>화물(2.5~4.6톤 미만)</v>
      </c>
      <c r="CY84" s="70">
        <v>0</v>
      </c>
      <c r="CZ84" s="125">
        <v>1.4999999999999999E-2</v>
      </c>
      <c r="DA84" s="125">
        <v>1.4999999999999999E-2</v>
      </c>
      <c r="DB84" s="125">
        <v>1.4999999999999999E-2</v>
      </c>
      <c r="DC84" s="125">
        <v>1.4999999999999999E-2</v>
      </c>
      <c r="DD84" s="72">
        <f t="shared" si="4"/>
        <v>0</v>
      </c>
      <c r="DE84" s="73">
        <v>81</v>
      </c>
      <c r="DF84" s="72">
        <f t="shared" si="3"/>
        <v>0</v>
      </c>
      <c r="DG84" s="166"/>
      <c r="DJ84" s="25"/>
      <c r="DK84" s="25"/>
      <c r="DL84" s="25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  <c r="EG84" s="24"/>
      <c r="EH84" s="24"/>
      <c r="EI84" s="24"/>
      <c r="EJ84" s="24"/>
      <c r="EK84" s="24"/>
      <c r="EL84" s="24"/>
      <c r="EM84" s="24"/>
      <c r="EN84" s="24"/>
      <c r="EO84" s="24"/>
      <c r="EP84" s="24"/>
      <c r="EQ84" s="24"/>
      <c r="ER84" s="24"/>
      <c r="ES84" s="24"/>
      <c r="ET84" s="24"/>
      <c r="EU84" s="24"/>
      <c r="EV84" s="24"/>
      <c r="EW84" s="24"/>
      <c r="EX84" s="24"/>
      <c r="EY84" s="24"/>
      <c r="EZ84" s="24"/>
      <c r="FA84" s="24"/>
      <c r="FB84" s="24"/>
      <c r="FC84" s="24"/>
      <c r="FD84" s="24"/>
      <c r="FE84" s="24"/>
      <c r="FF84" s="24"/>
      <c r="FG84" s="24"/>
      <c r="FH84" s="24"/>
      <c r="FI84" s="24"/>
      <c r="FJ84" s="24"/>
      <c r="FK84" s="24"/>
      <c r="FL84" s="24"/>
      <c r="FM84" s="24"/>
      <c r="FN84" s="24"/>
      <c r="FO84" s="24"/>
      <c r="FP84" s="24"/>
      <c r="FQ84" s="24"/>
      <c r="FR84" s="24"/>
      <c r="FS84" s="24"/>
      <c r="FT84" s="24"/>
      <c r="FU84" s="24"/>
      <c r="FV84" s="24"/>
      <c r="FW84" s="24"/>
      <c r="FX84" s="24"/>
      <c r="FY84" s="24"/>
      <c r="FZ84" s="24"/>
      <c r="GA84" s="24"/>
      <c r="GB84" s="24"/>
      <c r="GC84" s="24"/>
      <c r="GD84" s="24"/>
      <c r="GE84" s="24"/>
      <c r="GF84" s="24"/>
      <c r="GG84" s="24"/>
      <c r="GH84" s="24"/>
      <c r="GI84" s="24"/>
      <c r="GJ84" s="24"/>
      <c r="GK84" s="24"/>
      <c r="GL84" s="24"/>
      <c r="GM84" s="24"/>
      <c r="GN84" s="24"/>
      <c r="GO84" s="24"/>
      <c r="GP84" s="24"/>
      <c r="GQ84" s="24"/>
      <c r="GR84" s="24"/>
      <c r="GS84" s="24"/>
      <c r="GT84" s="24"/>
      <c r="GU84" s="24"/>
      <c r="GV84" s="24"/>
      <c r="GW84" s="24"/>
      <c r="GX84" s="24"/>
      <c r="GY84" s="24"/>
      <c r="GZ84" s="24"/>
      <c r="HA84" s="24"/>
      <c r="HB84" s="24"/>
      <c r="HC84" s="24"/>
      <c r="HD84" s="24"/>
      <c r="HE84" s="24"/>
      <c r="HF84" s="24"/>
      <c r="HG84" s="24"/>
      <c r="HH84" s="24"/>
      <c r="HI84" s="24"/>
      <c r="HJ84" s="24"/>
      <c r="HK84" s="24"/>
      <c r="HL84" s="24"/>
      <c r="HM84" s="24"/>
      <c r="HN84" s="24"/>
      <c r="HO84" s="24"/>
      <c r="HP84" s="24"/>
      <c r="HQ84" s="24"/>
      <c r="HR84" s="24"/>
      <c r="HS84" s="24"/>
      <c r="HT84" s="24"/>
      <c r="HU84" s="24"/>
      <c r="HV84" s="24"/>
      <c r="HW84" s="24"/>
      <c r="HX84" s="24"/>
      <c r="HY84" s="24"/>
      <c r="HZ84" s="24"/>
      <c r="IA84" s="24"/>
      <c r="IB84" s="24"/>
      <c r="IC84" s="24"/>
      <c r="ID84" s="24"/>
      <c r="IE84" s="24"/>
      <c r="IF84" s="24"/>
      <c r="IG84" s="24"/>
      <c r="IH84" s="24"/>
      <c r="II84" s="24"/>
      <c r="IJ84" s="24"/>
      <c r="IK84" s="24"/>
      <c r="IL84" s="24"/>
      <c r="IM84" s="24"/>
      <c r="IN84" s="24"/>
      <c r="IO84" s="24"/>
      <c r="IP84" s="24"/>
      <c r="IQ84" s="24"/>
      <c r="IR84" s="24"/>
      <c r="IS84" s="24"/>
      <c r="IT84" s="24"/>
      <c r="IU84" s="24"/>
      <c r="IV84" s="24"/>
      <c r="IW84" s="24"/>
      <c r="IX84" s="24"/>
      <c r="IY84" s="24"/>
      <c r="IZ84" s="24"/>
      <c r="JA84" s="24"/>
      <c r="JB84" s="24"/>
      <c r="JC84" s="24"/>
      <c r="JD84" s="24"/>
      <c r="JE84" s="24"/>
      <c r="JF84" s="24"/>
      <c r="JG84" s="24"/>
      <c r="JH84" s="24"/>
      <c r="JI84" s="24"/>
      <c r="JJ84" s="24"/>
      <c r="JK84" s="24"/>
      <c r="JL84" s="24"/>
      <c r="JM84" s="24"/>
      <c r="JN84" s="24"/>
      <c r="JO84" s="24"/>
      <c r="JP84" s="24"/>
      <c r="JQ84" s="24"/>
      <c r="JR84" s="24"/>
      <c r="JS84" s="24"/>
      <c r="JT84" s="24"/>
      <c r="JU84" s="24"/>
      <c r="JV84" s="24"/>
      <c r="JW84" s="24"/>
      <c r="JX84" s="24"/>
      <c r="JY84" s="24"/>
      <c r="JZ84" s="24"/>
      <c r="KA84" s="24"/>
      <c r="KB84" s="24"/>
      <c r="KC84" s="24"/>
      <c r="KD84" s="24"/>
      <c r="KE84" s="24"/>
      <c r="KF84" s="24"/>
      <c r="KG84" s="24"/>
      <c r="KH84" s="24"/>
      <c r="KI84" s="24"/>
      <c r="KJ84" s="24"/>
      <c r="KK84" s="24"/>
      <c r="KL84" s="24"/>
    </row>
    <row r="85" spans="1:298" s="26" customFormat="1" ht="15.95" hidden="1" customHeight="1" x14ac:dyDescent="0.3">
      <c r="A85" s="172"/>
      <c r="B85" s="172"/>
      <c r="C85" s="172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  <c r="AG85" s="173"/>
      <c r="AH85" s="173"/>
      <c r="AI85" s="173"/>
      <c r="AJ85" s="173"/>
      <c r="AK85" s="173"/>
      <c r="AL85" s="173"/>
      <c r="AM85" s="173"/>
      <c r="AN85" s="173"/>
      <c r="AO85" s="173"/>
      <c r="AP85" s="173"/>
      <c r="AQ85" s="173"/>
      <c r="AR85" s="173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/>
      <c r="BN85" s="172"/>
      <c r="BO85" s="172"/>
      <c r="BP85" s="172"/>
      <c r="BQ85" s="172"/>
      <c r="BR85" s="172"/>
      <c r="BS85" s="172"/>
      <c r="BT85" s="172"/>
      <c r="BU85" s="172"/>
      <c r="BV85" s="172"/>
      <c r="BW85" s="172"/>
      <c r="BX85" s="172"/>
      <c r="BY85" s="174"/>
      <c r="BZ85" s="172"/>
      <c r="CA85" s="172"/>
      <c r="CB85" s="24"/>
      <c r="CC85" s="25"/>
      <c r="CH85" s="255"/>
      <c r="CI85" s="201"/>
      <c r="CL85" s="267">
        <v>0.2</v>
      </c>
      <c r="CM85" s="50">
        <f>ROUNDUP(CI23*20%,-4)</f>
        <v>14830000</v>
      </c>
      <c r="CO85" s="29"/>
      <c r="CP85" s="28"/>
      <c r="CQ85" s="28"/>
      <c r="CR85" s="28"/>
      <c r="CS85" s="28"/>
      <c r="CT85" s="28"/>
      <c r="CU85" s="28"/>
      <c r="CW85" s="90"/>
      <c r="CX85" s="91" t="str">
        <f>견적관리자용!$S$17</f>
        <v>화물(4.6톤 이상)</v>
      </c>
      <c r="CY85" s="92">
        <v>0</v>
      </c>
      <c r="CZ85" s="180">
        <v>1.4999999999999999E-2</v>
      </c>
      <c r="DA85" s="180">
        <v>1.4999999999999999E-2</v>
      </c>
      <c r="DB85" s="180">
        <v>1.4999999999999999E-2</v>
      </c>
      <c r="DC85" s="180">
        <v>1.4999999999999999E-2</v>
      </c>
      <c r="DD85" s="93">
        <f t="shared" si="4"/>
        <v>0</v>
      </c>
      <c r="DE85" s="94">
        <v>82</v>
      </c>
      <c r="DF85" s="93">
        <f t="shared" si="3"/>
        <v>0</v>
      </c>
      <c r="DG85" s="181"/>
      <c r="DJ85" s="25"/>
      <c r="DK85" s="25"/>
      <c r="DL85" s="25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4"/>
      <c r="EP85" s="24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4"/>
      <c r="FC85" s="24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4"/>
      <c r="FP85" s="24"/>
      <c r="FQ85" s="24"/>
      <c r="FR85" s="24"/>
      <c r="FS85" s="24"/>
      <c r="FT85" s="24"/>
      <c r="FU85" s="24"/>
      <c r="FV85" s="24"/>
      <c r="FW85" s="24"/>
      <c r="FX85" s="24"/>
      <c r="FY85" s="24"/>
      <c r="FZ85" s="24"/>
      <c r="GA85" s="24"/>
      <c r="GB85" s="24"/>
      <c r="GC85" s="24"/>
      <c r="GD85" s="24"/>
      <c r="GE85" s="24"/>
      <c r="GF85" s="24"/>
      <c r="GG85" s="24"/>
      <c r="GH85" s="24"/>
      <c r="GI85" s="24"/>
      <c r="GJ85" s="24"/>
      <c r="GK85" s="24"/>
      <c r="GL85" s="24"/>
      <c r="GM85" s="24"/>
      <c r="GN85" s="24"/>
      <c r="GO85" s="24"/>
      <c r="GP85" s="24"/>
      <c r="GQ85" s="24"/>
      <c r="GR85" s="24"/>
      <c r="GS85" s="24"/>
      <c r="GT85" s="24"/>
      <c r="GU85" s="24"/>
      <c r="GV85" s="24"/>
      <c r="GW85" s="24"/>
      <c r="GX85" s="24"/>
      <c r="GY85" s="24"/>
      <c r="GZ85" s="24"/>
      <c r="HA85" s="24"/>
      <c r="HB85" s="24"/>
      <c r="HC85" s="24"/>
      <c r="HD85" s="24"/>
      <c r="HE85" s="24"/>
      <c r="HF85" s="24"/>
      <c r="HG85" s="24"/>
      <c r="HH85" s="24"/>
      <c r="HI85" s="24"/>
      <c r="HJ85" s="24"/>
      <c r="HK85" s="24"/>
      <c r="HL85" s="24"/>
      <c r="HM85" s="24"/>
      <c r="HN85" s="24"/>
      <c r="HO85" s="24"/>
      <c r="HP85" s="24"/>
      <c r="HQ85" s="24"/>
      <c r="HR85" s="24"/>
      <c r="HS85" s="24"/>
      <c r="HT85" s="24"/>
      <c r="HU85" s="24"/>
      <c r="HV85" s="24"/>
      <c r="HW85" s="24"/>
      <c r="HX85" s="24"/>
      <c r="HY85" s="24"/>
      <c r="HZ85" s="24"/>
      <c r="IA85" s="24"/>
      <c r="IB85" s="24"/>
      <c r="IC85" s="24"/>
      <c r="ID85" s="24"/>
      <c r="IE85" s="24"/>
      <c r="IF85" s="24"/>
      <c r="IG85" s="24"/>
      <c r="IH85" s="24"/>
      <c r="II85" s="24"/>
      <c r="IJ85" s="24"/>
      <c r="IK85" s="24"/>
      <c r="IL85" s="24"/>
      <c r="IM85" s="24"/>
      <c r="IN85" s="24"/>
      <c r="IO85" s="24"/>
      <c r="IP85" s="24"/>
      <c r="IQ85" s="24"/>
      <c r="IR85" s="24"/>
      <c r="IS85" s="24"/>
      <c r="IT85" s="24"/>
      <c r="IU85" s="24"/>
      <c r="IV85" s="24"/>
      <c r="IW85" s="24"/>
      <c r="IX85" s="24"/>
      <c r="IY85" s="24"/>
      <c r="IZ85" s="24"/>
      <c r="JA85" s="24"/>
      <c r="JB85" s="24"/>
      <c r="JC85" s="24"/>
      <c r="JD85" s="24"/>
      <c r="JE85" s="24"/>
      <c r="JF85" s="24"/>
      <c r="JG85" s="24"/>
      <c r="JH85" s="24"/>
      <c r="JI85" s="24"/>
      <c r="JJ85" s="24"/>
      <c r="JK85" s="24"/>
      <c r="JL85" s="24"/>
      <c r="JM85" s="24"/>
      <c r="JN85" s="24"/>
      <c r="JO85" s="24"/>
      <c r="JP85" s="24"/>
      <c r="JQ85" s="24"/>
      <c r="JR85" s="24"/>
      <c r="JS85" s="24"/>
      <c r="JT85" s="24"/>
      <c r="JU85" s="24"/>
      <c r="JV85" s="24"/>
      <c r="JW85" s="24"/>
      <c r="JX85" s="24"/>
      <c r="JY85" s="24"/>
      <c r="JZ85" s="24"/>
      <c r="KA85" s="24"/>
      <c r="KB85" s="24"/>
      <c r="KC85" s="24"/>
      <c r="KD85" s="24"/>
      <c r="KE85" s="24"/>
      <c r="KF85" s="24"/>
      <c r="KG85" s="24"/>
      <c r="KH85" s="24"/>
      <c r="KI85" s="24"/>
      <c r="KJ85" s="24"/>
      <c r="KK85" s="24"/>
      <c r="KL85" s="24"/>
    </row>
    <row r="86" spans="1:298" s="26" customFormat="1" ht="15.95" hidden="1" customHeight="1" x14ac:dyDescent="0.3">
      <c r="A86" s="172"/>
      <c r="B86" s="172"/>
      <c r="C86" s="172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  <c r="AG86" s="173"/>
      <c r="AH86" s="173"/>
      <c r="AI86" s="173"/>
      <c r="AJ86" s="173"/>
      <c r="AK86" s="173"/>
      <c r="AL86" s="173"/>
      <c r="AM86" s="173"/>
      <c r="AN86" s="173"/>
      <c r="AO86" s="173"/>
      <c r="AP86" s="173"/>
      <c r="AQ86" s="173"/>
      <c r="AR86" s="173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/>
      <c r="BN86" s="172"/>
      <c r="BO86" s="172"/>
      <c r="BP86" s="172"/>
      <c r="BQ86" s="172"/>
      <c r="BR86" s="172"/>
      <c r="BS86" s="172"/>
      <c r="BT86" s="172"/>
      <c r="BU86" s="172"/>
      <c r="BV86" s="172"/>
      <c r="BW86" s="172"/>
      <c r="BX86" s="172"/>
      <c r="BY86" s="174"/>
      <c r="BZ86" s="172"/>
      <c r="CA86" s="172"/>
      <c r="CB86" s="24"/>
      <c r="CC86" s="25"/>
      <c r="CH86" s="268"/>
      <c r="CI86" s="210"/>
      <c r="CL86" s="49" t="s">
        <v>287</v>
      </c>
      <c r="CM86" s="50">
        <v>1000000</v>
      </c>
      <c r="CO86" s="29"/>
      <c r="CP86" s="28"/>
      <c r="CQ86" s="28"/>
      <c r="CR86" s="28"/>
      <c r="CS86" s="28"/>
      <c r="CT86" s="28"/>
      <c r="CU86" s="28"/>
      <c r="CW86" s="68" t="s">
        <v>105</v>
      </c>
      <c r="CX86" s="124" t="str">
        <f>견적관리자용!$S$8</f>
        <v>승용일반</v>
      </c>
      <c r="CY86" s="70">
        <v>0</v>
      </c>
      <c r="CZ86" s="125">
        <v>0.06</v>
      </c>
      <c r="DA86" s="125">
        <v>0.06</v>
      </c>
      <c r="DB86" s="125">
        <v>0.08</v>
      </c>
      <c r="DC86" s="125">
        <v>0.12</v>
      </c>
      <c r="DD86" s="72">
        <f t="shared" si="4"/>
        <v>0</v>
      </c>
      <c r="DE86" s="73">
        <v>83</v>
      </c>
      <c r="DF86" s="72">
        <f t="shared" si="3"/>
        <v>0</v>
      </c>
      <c r="DG86" s="166">
        <f>SUM(DF86:DF95)</f>
        <v>0</v>
      </c>
      <c r="DJ86" s="25"/>
      <c r="DK86" s="25"/>
      <c r="DL86" s="25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  <c r="EG86" s="24"/>
      <c r="EH86" s="24"/>
      <c r="EI86" s="24"/>
      <c r="EJ86" s="24"/>
      <c r="EK86" s="24"/>
      <c r="EL86" s="24"/>
      <c r="EM86" s="24"/>
      <c r="EN86" s="24"/>
      <c r="EO86" s="24"/>
      <c r="EP86" s="24"/>
      <c r="EQ86" s="24"/>
      <c r="ER86" s="24"/>
      <c r="ES86" s="24"/>
      <c r="ET86" s="24"/>
      <c r="EU86" s="24"/>
      <c r="EV86" s="24"/>
      <c r="EW86" s="24"/>
      <c r="EX86" s="24"/>
      <c r="EY86" s="24"/>
      <c r="EZ86" s="24"/>
      <c r="FA86" s="24"/>
      <c r="FB86" s="24"/>
      <c r="FC86" s="24"/>
      <c r="FD86" s="24"/>
      <c r="FE86" s="24"/>
      <c r="FF86" s="24"/>
      <c r="FG86" s="24"/>
      <c r="FH86" s="24"/>
      <c r="FI86" s="24"/>
      <c r="FJ86" s="24"/>
      <c r="FK86" s="24"/>
      <c r="FL86" s="24"/>
      <c r="FM86" s="24"/>
      <c r="FN86" s="24"/>
      <c r="FO86" s="24"/>
      <c r="FP86" s="24"/>
      <c r="FQ86" s="24"/>
      <c r="FR86" s="24"/>
      <c r="FS86" s="24"/>
      <c r="FT86" s="24"/>
      <c r="FU86" s="24"/>
      <c r="FV86" s="24"/>
      <c r="FW86" s="24"/>
      <c r="FX86" s="24"/>
      <c r="FY86" s="24"/>
      <c r="FZ86" s="24"/>
      <c r="GA86" s="24"/>
      <c r="GB86" s="24"/>
      <c r="GC86" s="24"/>
      <c r="GD86" s="24"/>
      <c r="GE86" s="24"/>
      <c r="GF86" s="24"/>
      <c r="GG86" s="24"/>
      <c r="GH86" s="24"/>
      <c r="GI86" s="24"/>
      <c r="GJ86" s="24"/>
      <c r="GK86" s="24"/>
      <c r="GL86" s="24"/>
      <c r="GM86" s="24"/>
      <c r="GN86" s="24"/>
      <c r="GO86" s="24"/>
      <c r="GP86" s="24"/>
      <c r="GQ86" s="24"/>
      <c r="GR86" s="24"/>
      <c r="GS86" s="24"/>
      <c r="GT86" s="24"/>
      <c r="GU86" s="24"/>
      <c r="GV86" s="24"/>
      <c r="GW86" s="24"/>
      <c r="GX86" s="24"/>
      <c r="GY86" s="24"/>
      <c r="GZ86" s="24"/>
      <c r="HA86" s="24"/>
      <c r="HB86" s="24"/>
      <c r="HC86" s="24"/>
      <c r="HD86" s="24"/>
      <c r="HE86" s="24"/>
      <c r="HF86" s="24"/>
      <c r="HG86" s="24"/>
      <c r="HH86" s="24"/>
      <c r="HI86" s="24"/>
      <c r="HJ86" s="24"/>
      <c r="HK86" s="24"/>
      <c r="HL86" s="24"/>
      <c r="HM86" s="24"/>
      <c r="HN86" s="24"/>
      <c r="HO86" s="24"/>
      <c r="HP86" s="24"/>
      <c r="HQ86" s="24"/>
      <c r="HR86" s="24"/>
      <c r="HS86" s="24"/>
      <c r="HT86" s="24"/>
      <c r="HU86" s="24"/>
      <c r="HV86" s="24"/>
      <c r="HW86" s="24"/>
      <c r="HX86" s="24"/>
      <c r="HY86" s="24"/>
      <c r="HZ86" s="24"/>
      <c r="IA86" s="24"/>
      <c r="IB86" s="24"/>
      <c r="IC86" s="24"/>
      <c r="ID86" s="24"/>
      <c r="IE86" s="24"/>
      <c r="IF86" s="24"/>
      <c r="IG86" s="24"/>
      <c r="IH86" s="24"/>
      <c r="II86" s="24"/>
      <c r="IJ86" s="24"/>
      <c r="IK86" s="24"/>
      <c r="IL86" s="24"/>
      <c r="IM86" s="24"/>
      <c r="IN86" s="24"/>
      <c r="IO86" s="24"/>
      <c r="IP86" s="24"/>
      <c r="IQ86" s="24"/>
      <c r="IR86" s="24"/>
      <c r="IS86" s="24"/>
      <c r="IT86" s="24"/>
      <c r="IU86" s="24"/>
      <c r="IV86" s="24"/>
      <c r="IW86" s="24"/>
      <c r="IX86" s="24"/>
      <c r="IY86" s="24"/>
      <c r="IZ86" s="24"/>
      <c r="JA86" s="24"/>
      <c r="JB86" s="24"/>
      <c r="JC86" s="24"/>
      <c r="JD86" s="24"/>
      <c r="JE86" s="24"/>
      <c r="JF86" s="24"/>
      <c r="JG86" s="24"/>
      <c r="JH86" s="24"/>
      <c r="JI86" s="24"/>
      <c r="JJ86" s="24"/>
      <c r="JK86" s="24"/>
      <c r="JL86" s="24"/>
      <c r="JM86" s="24"/>
      <c r="JN86" s="24"/>
      <c r="JO86" s="24"/>
      <c r="JP86" s="24"/>
      <c r="JQ86" s="24"/>
      <c r="JR86" s="24"/>
      <c r="JS86" s="24"/>
      <c r="JT86" s="24"/>
      <c r="JU86" s="24"/>
      <c r="JV86" s="24"/>
      <c r="JW86" s="24"/>
      <c r="JX86" s="24"/>
      <c r="JY86" s="24"/>
      <c r="JZ86" s="24"/>
      <c r="KA86" s="24"/>
      <c r="KB86" s="24"/>
      <c r="KC86" s="24"/>
      <c r="KD86" s="24"/>
      <c r="KE86" s="24"/>
      <c r="KF86" s="24"/>
      <c r="KG86" s="24"/>
      <c r="KH86" s="24"/>
      <c r="KI86" s="24"/>
      <c r="KJ86" s="24"/>
      <c r="KK86" s="24"/>
      <c r="KL86" s="24"/>
    </row>
    <row r="87" spans="1:298" s="26" customFormat="1" ht="15.95" hidden="1" customHeight="1" x14ac:dyDescent="0.3">
      <c r="A87" s="172"/>
      <c r="B87" s="172"/>
      <c r="C87" s="172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  <c r="AG87" s="173"/>
      <c r="AH87" s="173"/>
      <c r="AI87" s="173"/>
      <c r="AJ87" s="173"/>
      <c r="AK87" s="173"/>
      <c r="AL87" s="173"/>
      <c r="AM87" s="173"/>
      <c r="AN87" s="173"/>
      <c r="AO87" s="173"/>
      <c r="AP87" s="173"/>
      <c r="AQ87" s="173"/>
      <c r="AR87" s="173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/>
      <c r="BN87" s="172"/>
      <c r="BO87" s="172"/>
      <c r="BP87" s="172"/>
      <c r="BQ87" s="172"/>
      <c r="BR87" s="172"/>
      <c r="BS87" s="172"/>
      <c r="BT87" s="172"/>
      <c r="BU87" s="172"/>
      <c r="BV87" s="172"/>
      <c r="BW87" s="172"/>
      <c r="BX87" s="172"/>
      <c r="BY87" s="174"/>
      <c r="BZ87" s="172"/>
      <c r="CA87" s="172"/>
      <c r="CB87" s="24"/>
      <c r="CC87" s="25"/>
      <c r="CH87" s="35" t="s">
        <v>187</v>
      </c>
      <c r="CI87" s="57">
        <f>$BD$27</f>
        <v>0</v>
      </c>
      <c r="CL87" s="98" t="s">
        <v>285</v>
      </c>
      <c r="CM87" s="97">
        <v>0</v>
      </c>
      <c r="CO87" s="29"/>
      <c r="CP87" s="28"/>
      <c r="CQ87" s="28"/>
      <c r="CR87" s="28"/>
      <c r="CS87" s="28"/>
      <c r="CT87" s="28"/>
      <c r="CU87" s="28"/>
      <c r="CW87" s="68" t="s">
        <v>106</v>
      </c>
      <c r="CX87" s="69" t="str">
        <f>견적관리자용!$S$9</f>
        <v>승용SUV(~5인)</v>
      </c>
      <c r="CY87" s="70">
        <v>0</v>
      </c>
      <c r="CZ87" s="71">
        <v>0.06</v>
      </c>
      <c r="DA87" s="71">
        <v>0.06</v>
      </c>
      <c r="DB87" s="71">
        <v>0.08</v>
      </c>
      <c r="DC87" s="71">
        <v>0.12</v>
      </c>
      <c r="DD87" s="72">
        <f t="shared" si="4"/>
        <v>0</v>
      </c>
      <c r="DE87" s="73">
        <v>84</v>
      </c>
      <c r="DF87" s="72">
        <f t="shared" si="3"/>
        <v>0</v>
      </c>
      <c r="DG87" s="166"/>
      <c r="DJ87" s="25"/>
      <c r="DK87" s="25"/>
      <c r="DL87" s="25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4"/>
      <c r="EP87" s="24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4"/>
      <c r="FC87" s="24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4"/>
      <c r="FP87" s="24"/>
      <c r="FQ87" s="24"/>
      <c r="FR87" s="24"/>
      <c r="FS87" s="24"/>
      <c r="FT87" s="24"/>
      <c r="FU87" s="24"/>
      <c r="FV87" s="24"/>
      <c r="FW87" s="24"/>
      <c r="FX87" s="24"/>
      <c r="FY87" s="24"/>
      <c r="FZ87" s="24"/>
      <c r="GA87" s="24"/>
      <c r="GB87" s="24"/>
      <c r="GC87" s="24"/>
      <c r="GD87" s="24"/>
      <c r="GE87" s="24"/>
      <c r="GF87" s="24"/>
      <c r="GG87" s="24"/>
      <c r="GH87" s="24"/>
      <c r="GI87" s="24"/>
      <c r="GJ87" s="24"/>
      <c r="GK87" s="24"/>
      <c r="GL87" s="24"/>
      <c r="GM87" s="24"/>
      <c r="GN87" s="24"/>
      <c r="GO87" s="24"/>
      <c r="GP87" s="24"/>
      <c r="GQ87" s="24"/>
      <c r="GR87" s="24"/>
      <c r="GS87" s="24"/>
      <c r="GT87" s="24"/>
      <c r="GU87" s="24"/>
      <c r="GV87" s="24"/>
      <c r="GW87" s="24"/>
      <c r="GX87" s="24"/>
      <c r="GY87" s="24"/>
      <c r="GZ87" s="24"/>
      <c r="HA87" s="24"/>
      <c r="HB87" s="24"/>
      <c r="HC87" s="24"/>
      <c r="HD87" s="24"/>
      <c r="HE87" s="24"/>
      <c r="HF87" s="24"/>
      <c r="HG87" s="24"/>
      <c r="HH87" s="24"/>
      <c r="HI87" s="24"/>
      <c r="HJ87" s="24"/>
      <c r="HK87" s="24"/>
      <c r="HL87" s="24"/>
      <c r="HM87" s="24"/>
      <c r="HN87" s="24"/>
      <c r="HO87" s="24"/>
      <c r="HP87" s="24"/>
      <c r="HQ87" s="24"/>
      <c r="HR87" s="24"/>
      <c r="HS87" s="24"/>
      <c r="HT87" s="24"/>
      <c r="HU87" s="24"/>
      <c r="HV87" s="24"/>
      <c r="HW87" s="24"/>
      <c r="HX87" s="24"/>
      <c r="HY87" s="24"/>
      <c r="HZ87" s="24"/>
      <c r="IA87" s="24"/>
      <c r="IB87" s="24"/>
      <c r="IC87" s="24"/>
      <c r="ID87" s="24"/>
      <c r="IE87" s="24"/>
      <c r="IF87" s="24"/>
      <c r="IG87" s="24"/>
      <c r="IH87" s="24"/>
      <c r="II87" s="24"/>
      <c r="IJ87" s="24"/>
      <c r="IK87" s="24"/>
      <c r="IL87" s="24"/>
      <c r="IM87" s="24"/>
      <c r="IN87" s="24"/>
      <c r="IO87" s="24"/>
      <c r="IP87" s="24"/>
      <c r="IQ87" s="24"/>
      <c r="IR87" s="24"/>
      <c r="IS87" s="24"/>
      <c r="IT87" s="24"/>
      <c r="IU87" s="24"/>
      <c r="IV87" s="24"/>
      <c r="IW87" s="24"/>
      <c r="IX87" s="24"/>
      <c r="IY87" s="24"/>
      <c r="IZ87" s="24"/>
      <c r="JA87" s="24"/>
      <c r="JB87" s="24"/>
      <c r="JC87" s="24"/>
      <c r="JD87" s="24"/>
      <c r="JE87" s="24"/>
      <c r="JF87" s="24"/>
      <c r="JG87" s="24"/>
      <c r="JH87" s="24"/>
      <c r="JI87" s="24"/>
      <c r="JJ87" s="24"/>
      <c r="JK87" s="24"/>
      <c r="JL87" s="24"/>
      <c r="JM87" s="24"/>
      <c r="JN87" s="24"/>
      <c r="JO87" s="24"/>
      <c r="JP87" s="24"/>
      <c r="JQ87" s="24"/>
      <c r="JR87" s="24"/>
      <c r="JS87" s="24"/>
      <c r="JT87" s="24"/>
      <c r="JU87" s="24"/>
      <c r="JV87" s="24"/>
      <c r="JW87" s="24"/>
      <c r="JX87" s="24"/>
      <c r="JY87" s="24"/>
      <c r="JZ87" s="24"/>
      <c r="KA87" s="24"/>
      <c r="KB87" s="24"/>
      <c r="KC87" s="24"/>
      <c r="KD87" s="24"/>
      <c r="KE87" s="24"/>
      <c r="KF87" s="24"/>
      <c r="KG87" s="24"/>
      <c r="KH87" s="24"/>
      <c r="KI87" s="24"/>
      <c r="KJ87" s="24"/>
      <c r="KK87" s="24"/>
      <c r="KL87" s="24"/>
    </row>
    <row r="88" spans="1:298" s="26" customFormat="1" ht="15.95" hidden="1" customHeight="1" x14ac:dyDescent="0.3">
      <c r="A88" s="172"/>
      <c r="B88" s="172"/>
      <c r="C88" s="172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  <c r="AG88" s="173"/>
      <c r="AH88" s="173"/>
      <c r="AI88" s="173"/>
      <c r="AJ88" s="173"/>
      <c r="AK88" s="173"/>
      <c r="AL88" s="173"/>
      <c r="AM88" s="173"/>
      <c r="AN88" s="173"/>
      <c r="AO88" s="173"/>
      <c r="AP88" s="173"/>
      <c r="AQ88" s="173"/>
      <c r="AR88" s="173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/>
      <c r="BR88" s="172"/>
      <c r="BS88" s="172"/>
      <c r="BT88" s="172"/>
      <c r="BU88" s="172"/>
      <c r="BV88" s="172"/>
      <c r="BW88" s="172"/>
      <c r="BX88" s="172"/>
      <c r="BY88" s="174"/>
      <c r="BZ88" s="172"/>
      <c r="CA88" s="172"/>
      <c r="CB88" s="24"/>
      <c r="CC88" s="25"/>
      <c r="CH88" s="66" t="s">
        <v>252</v>
      </c>
      <c r="CI88" s="41" t="e">
        <f>CI56+CI70+CI79</f>
        <v>#N/A</v>
      </c>
      <c r="CL88" s="28"/>
      <c r="CM88" s="28"/>
      <c r="CO88" s="29"/>
      <c r="CP88" s="28"/>
      <c r="CQ88" s="28"/>
      <c r="CR88" s="28"/>
      <c r="CS88" s="28"/>
      <c r="CT88" s="28"/>
      <c r="CU88" s="28"/>
      <c r="CW88" s="68"/>
      <c r="CX88" s="69" t="str">
        <f>견적관리자용!$S$10</f>
        <v>승용SUV(7~10인)</v>
      </c>
      <c r="CY88" s="70">
        <v>0</v>
      </c>
      <c r="CZ88" s="71">
        <v>0.06</v>
      </c>
      <c r="DA88" s="71">
        <v>0.06</v>
      </c>
      <c r="DB88" s="71">
        <v>0.08</v>
      </c>
      <c r="DC88" s="71">
        <v>0.12</v>
      </c>
      <c r="DD88" s="72">
        <f t="shared" si="4"/>
        <v>0</v>
      </c>
      <c r="DE88" s="73">
        <v>85</v>
      </c>
      <c r="DF88" s="72">
        <f t="shared" si="3"/>
        <v>0</v>
      </c>
      <c r="DG88" s="166"/>
      <c r="DJ88" s="25"/>
      <c r="DK88" s="25"/>
      <c r="DL88" s="25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  <c r="EG88" s="24"/>
      <c r="EH88" s="24"/>
      <c r="EI88" s="24"/>
      <c r="EJ88" s="24"/>
      <c r="EK88" s="24"/>
      <c r="EL88" s="24"/>
      <c r="EM88" s="24"/>
      <c r="EN88" s="24"/>
      <c r="EO88" s="24"/>
      <c r="EP88" s="24"/>
      <c r="EQ88" s="24"/>
      <c r="ER88" s="24"/>
      <c r="ES88" s="24"/>
      <c r="ET88" s="24"/>
      <c r="EU88" s="24"/>
      <c r="EV88" s="24"/>
      <c r="EW88" s="24"/>
      <c r="EX88" s="24"/>
      <c r="EY88" s="24"/>
      <c r="EZ88" s="24"/>
      <c r="FA88" s="24"/>
      <c r="FB88" s="24"/>
      <c r="FC88" s="24"/>
      <c r="FD88" s="24"/>
      <c r="FE88" s="24"/>
      <c r="FF88" s="24"/>
      <c r="FG88" s="24"/>
      <c r="FH88" s="24"/>
      <c r="FI88" s="24"/>
      <c r="FJ88" s="24"/>
      <c r="FK88" s="24"/>
      <c r="FL88" s="24"/>
      <c r="FM88" s="24"/>
      <c r="FN88" s="24"/>
      <c r="FO88" s="24"/>
      <c r="FP88" s="24"/>
      <c r="FQ88" s="24"/>
      <c r="FR88" s="24"/>
      <c r="FS88" s="24"/>
      <c r="FT88" s="24"/>
      <c r="FU88" s="24"/>
      <c r="FV88" s="24"/>
      <c r="FW88" s="24"/>
      <c r="FX88" s="24"/>
      <c r="FY88" s="24"/>
      <c r="FZ88" s="24"/>
      <c r="GA88" s="24"/>
      <c r="GB88" s="24"/>
      <c r="GC88" s="24"/>
      <c r="GD88" s="24"/>
      <c r="GE88" s="24"/>
      <c r="GF88" s="24"/>
      <c r="GG88" s="24"/>
      <c r="GH88" s="24"/>
      <c r="GI88" s="24"/>
      <c r="GJ88" s="24"/>
      <c r="GK88" s="24"/>
      <c r="GL88" s="24"/>
      <c r="GM88" s="24"/>
      <c r="GN88" s="24"/>
      <c r="GO88" s="24"/>
      <c r="GP88" s="24"/>
      <c r="GQ88" s="24"/>
      <c r="GR88" s="24"/>
      <c r="GS88" s="24"/>
      <c r="GT88" s="24"/>
      <c r="GU88" s="24"/>
      <c r="GV88" s="24"/>
      <c r="GW88" s="24"/>
      <c r="GX88" s="24"/>
      <c r="GY88" s="24"/>
      <c r="GZ88" s="24"/>
      <c r="HA88" s="24"/>
      <c r="HB88" s="24"/>
      <c r="HC88" s="24"/>
      <c r="HD88" s="24"/>
      <c r="HE88" s="24"/>
      <c r="HF88" s="24"/>
      <c r="HG88" s="24"/>
      <c r="HH88" s="24"/>
      <c r="HI88" s="24"/>
      <c r="HJ88" s="24"/>
      <c r="HK88" s="24"/>
      <c r="HL88" s="24"/>
      <c r="HM88" s="24"/>
      <c r="HN88" s="24"/>
      <c r="HO88" s="24"/>
      <c r="HP88" s="24"/>
      <c r="HQ88" s="24"/>
      <c r="HR88" s="24"/>
      <c r="HS88" s="24"/>
      <c r="HT88" s="24"/>
      <c r="HU88" s="24"/>
      <c r="HV88" s="24"/>
      <c r="HW88" s="24"/>
      <c r="HX88" s="24"/>
      <c r="HY88" s="24"/>
      <c r="HZ88" s="24"/>
      <c r="IA88" s="24"/>
      <c r="IB88" s="24"/>
      <c r="IC88" s="24"/>
      <c r="ID88" s="24"/>
      <c r="IE88" s="24"/>
      <c r="IF88" s="24"/>
      <c r="IG88" s="24"/>
      <c r="IH88" s="24"/>
      <c r="II88" s="24"/>
      <c r="IJ88" s="24"/>
      <c r="IK88" s="24"/>
      <c r="IL88" s="24"/>
      <c r="IM88" s="24"/>
      <c r="IN88" s="24"/>
      <c r="IO88" s="24"/>
      <c r="IP88" s="24"/>
      <c r="IQ88" s="24"/>
      <c r="IR88" s="24"/>
      <c r="IS88" s="24"/>
      <c r="IT88" s="24"/>
      <c r="IU88" s="24"/>
      <c r="IV88" s="24"/>
      <c r="IW88" s="24"/>
      <c r="IX88" s="24"/>
      <c r="IY88" s="24"/>
      <c r="IZ88" s="24"/>
      <c r="JA88" s="24"/>
      <c r="JB88" s="24"/>
      <c r="JC88" s="24"/>
      <c r="JD88" s="24"/>
      <c r="JE88" s="24"/>
      <c r="JF88" s="24"/>
      <c r="JG88" s="24"/>
      <c r="JH88" s="24"/>
      <c r="JI88" s="24"/>
      <c r="JJ88" s="24"/>
      <c r="JK88" s="24"/>
      <c r="JL88" s="24"/>
      <c r="JM88" s="24"/>
      <c r="JN88" s="24"/>
      <c r="JO88" s="24"/>
      <c r="JP88" s="24"/>
      <c r="JQ88" s="24"/>
      <c r="JR88" s="24"/>
      <c r="JS88" s="24"/>
      <c r="JT88" s="24"/>
      <c r="JU88" s="24"/>
      <c r="JV88" s="24"/>
      <c r="JW88" s="24"/>
      <c r="JX88" s="24"/>
      <c r="JY88" s="24"/>
      <c r="JZ88" s="24"/>
      <c r="KA88" s="24"/>
      <c r="KB88" s="24"/>
      <c r="KC88" s="24"/>
      <c r="KD88" s="24"/>
      <c r="KE88" s="24"/>
      <c r="KF88" s="24"/>
      <c r="KG88" s="24"/>
      <c r="KH88" s="24"/>
      <c r="KI88" s="24"/>
      <c r="KJ88" s="24"/>
      <c r="KK88" s="24"/>
      <c r="KL88" s="24"/>
    </row>
    <row r="89" spans="1:298" s="26" customFormat="1" ht="15.95" hidden="1" customHeight="1" x14ac:dyDescent="0.3">
      <c r="A89" s="172"/>
      <c r="B89" s="172"/>
      <c r="C89" s="172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  <c r="AG89" s="173"/>
      <c r="AH89" s="173"/>
      <c r="AI89" s="173"/>
      <c r="AJ89" s="173"/>
      <c r="AK89" s="173"/>
      <c r="AL89" s="173"/>
      <c r="AM89" s="173"/>
      <c r="AN89" s="173"/>
      <c r="AO89" s="173"/>
      <c r="AP89" s="173"/>
      <c r="AQ89" s="173"/>
      <c r="AR89" s="173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/>
      <c r="BR89" s="172"/>
      <c r="BS89" s="172"/>
      <c r="BT89" s="172"/>
      <c r="BU89" s="172"/>
      <c r="BV89" s="172"/>
      <c r="BW89" s="172"/>
      <c r="BX89" s="172"/>
      <c r="BY89" s="174"/>
      <c r="BZ89" s="172"/>
      <c r="CA89" s="172"/>
      <c r="CB89" s="24"/>
      <c r="CC89" s="25"/>
      <c r="CH89" s="89"/>
      <c r="CI89" s="259" t="e">
        <f>CI88/CI23</f>
        <v>#N/A</v>
      </c>
      <c r="CL89" s="28"/>
      <c r="CM89" s="28"/>
      <c r="CO89" s="29"/>
      <c r="CP89" s="28"/>
      <c r="CQ89" s="28"/>
      <c r="CR89" s="28"/>
      <c r="CS89" s="28"/>
      <c r="CT89" s="28"/>
      <c r="CU89" s="28"/>
      <c r="CW89" s="68"/>
      <c r="CX89" s="69" t="str">
        <f>견적관리자용!$S$11</f>
        <v>승합(11~15인)</v>
      </c>
      <c r="CY89" s="70">
        <v>0</v>
      </c>
      <c r="CZ89" s="125">
        <v>0.03</v>
      </c>
      <c r="DA89" s="125">
        <v>0.03</v>
      </c>
      <c r="DB89" s="125">
        <v>0.03</v>
      </c>
      <c r="DC89" s="125">
        <v>0.03</v>
      </c>
      <c r="DD89" s="72">
        <f t="shared" si="4"/>
        <v>0</v>
      </c>
      <c r="DE89" s="73">
        <v>86</v>
      </c>
      <c r="DF89" s="72">
        <f t="shared" si="3"/>
        <v>0</v>
      </c>
      <c r="DG89" s="166"/>
      <c r="DJ89" s="25"/>
      <c r="DK89" s="25"/>
      <c r="DL89" s="25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4"/>
      <c r="EP89" s="24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4"/>
      <c r="FC89" s="24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4"/>
      <c r="FP89" s="24"/>
      <c r="FQ89" s="24"/>
      <c r="FR89" s="24"/>
      <c r="FS89" s="24"/>
      <c r="FT89" s="24"/>
      <c r="FU89" s="24"/>
      <c r="FV89" s="24"/>
      <c r="FW89" s="24"/>
      <c r="FX89" s="24"/>
      <c r="FY89" s="24"/>
      <c r="FZ89" s="24"/>
      <c r="GA89" s="24"/>
      <c r="GB89" s="24"/>
      <c r="GC89" s="24"/>
      <c r="GD89" s="24"/>
      <c r="GE89" s="24"/>
      <c r="GF89" s="24"/>
      <c r="GG89" s="24"/>
      <c r="GH89" s="24"/>
      <c r="GI89" s="24"/>
      <c r="GJ89" s="24"/>
      <c r="GK89" s="24"/>
      <c r="GL89" s="24"/>
      <c r="GM89" s="24"/>
      <c r="GN89" s="24"/>
      <c r="GO89" s="24"/>
      <c r="GP89" s="24"/>
      <c r="GQ89" s="24"/>
      <c r="GR89" s="24"/>
      <c r="GS89" s="24"/>
      <c r="GT89" s="24"/>
      <c r="GU89" s="24"/>
      <c r="GV89" s="24"/>
      <c r="GW89" s="24"/>
      <c r="GX89" s="24"/>
      <c r="GY89" s="24"/>
      <c r="GZ89" s="24"/>
      <c r="HA89" s="24"/>
      <c r="HB89" s="24"/>
      <c r="HC89" s="24"/>
      <c r="HD89" s="24"/>
      <c r="HE89" s="24"/>
      <c r="HF89" s="24"/>
      <c r="HG89" s="24"/>
      <c r="HH89" s="24"/>
      <c r="HI89" s="24"/>
      <c r="HJ89" s="24"/>
      <c r="HK89" s="24"/>
      <c r="HL89" s="24"/>
      <c r="HM89" s="24"/>
      <c r="HN89" s="24"/>
      <c r="HO89" s="24"/>
      <c r="HP89" s="24"/>
      <c r="HQ89" s="24"/>
      <c r="HR89" s="24"/>
      <c r="HS89" s="24"/>
      <c r="HT89" s="24"/>
      <c r="HU89" s="24"/>
      <c r="HV89" s="24"/>
      <c r="HW89" s="24"/>
      <c r="HX89" s="24"/>
      <c r="HY89" s="24"/>
      <c r="HZ89" s="24"/>
      <c r="IA89" s="24"/>
      <c r="IB89" s="24"/>
      <c r="IC89" s="24"/>
      <c r="ID89" s="24"/>
      <c r="IE89" s="24"/>
      <c r="IF89" s="24"/>
      <c r="IG89" s="24"/>
      <c r="IH89" s="24"/>
      <c r="II89" s="24"/>
      <c r="IJ89" s="24"/>
      <c r="IK89" s="24"/>
      <c r="IL89" s="24"/>
      <c r="IM89" s="24"/>
      <c r="IN89" s="24"/>
      <c r="IO89" s="24"/>
      <c r="IP89" s="24"/>
      <c r="IQ89" s="24"/>
      <c r="IR89" s="24"/>
      <c r="IS89" s="24"/>
      <c r="IT89" s="24"/>
      <c r="IU89" s="24"/>
      <c r="IV89" s="24"/>
      <c r="IW89" s="24"/>
      <c r="IX89" s="24"/>
      <c r="IY89" s="24"/>
      <c r="IZ89" s="24"/>
      <c r="JA89" s="24"/>
      <c r="JB89" s="24"/>
      <c r="JC89" s="24"/>
      <c r="JD89" s="24"/>
      <c r="JE89" s="24"/>
      <c r="JF89" s="24"/>
      <c r="JG89" s="24"/>
      <c r="JH89" s="24"/>
      <c r="JI89" s="24"/>
      <c r="JJ89" s="24"/>
      <c r="JK89" s="24"/>
      <c r="JL89" s="24"/>
      <c r="JM89" s="24"/>
      <c r="JN89" s="24"/>
      <c r="JO89" s="24"/>
      <c r="JP89" s="24"/>
      <c r="JQ89" s="24"/>
      <c r="JR89" s="24"/>
      <c r="JS89" s="24"/>
      <c r="JT89" s="24"/>
      <c r="JU89" s="24"/>
      <c r="JV89" s="24"/>
      <c r="JW89" s="24"/>
      <c r="JX89" s="24"/>
      <c r="JY89" s="24"/>
      <c r="JZ89" s="24"/>
      <c r="KA89" s="24"/>
      <c r="KB89" s="24"/>
      <c r="KC89" s="24"/>
      <c r="KD89" s="24"/>
      <c r="KE89" s="24"/>
      <c r="KF89" s="24"/>
      <c r="KG89" s="24"/>
      <c r="KH89" s="24"/>
      <c r="KI89" s="24"/>
      <c r="KJ89" s="24"/>
      <c r="KK89" s="24"/>
      <c r="KL89" s="24"/>
    </row>
    <row r="90" spans="1:298" s="26" customFormat="1" ht="15.95" hidden="1" customHeight="1" x14ac:dyDescent="0.3">
      <c r="A90" s="172"/>
      <c r="B90" s="172"/>
      <c r="C90" s="172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  <c r="AG90" s="173"/>
      <c r="AH90" s="173"/>
      <c r="AI90" s="173"/>
      <c r="AJ90" s="173"/>
      <c r="AK90" s="173"/>
      <c r="AL90" s="173"/>
      <c r="AM90" s="173"/>
      <c r="AN90" s="173"/>
      <c r="AO90" s="173"/>
      <c r="AP90" s="173"/>
      <c r="AQ90" s="173"/>
      <c r="AR90" s="173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/>
      <c r="BR90" s="172"/>
      <c r="BS90" s="172"/>
      <c r="BT90" s="172"/>
      <c r="BU90" s="172"/>
      <c r="BV90" s="172"/>
      <c r="BW90" s="172"/>
      <c r="BX90" s="172"/>
      <c r="BY90" s="174"/>
      <c r="BZ90" s="172"/>
      <c r="CA90" s="172"/>
      <c r="CB90" s="24"/>
      <c r="CC90" s="25"/>
      <c r="CH90" s="89" t="s">
        <v>254</v>
      </c>
      <c r="CI90" s="50">
        <f>CI23*2.25%+50000</f>
        <v>1717925</v>
      </c>
      <c r="CL90" s="28"/>
      <c r="CM90" s="28"/>
      <c r="CO90" s="29"/>
      <c r="CP90" s="28"/>
      <c r="CQ90" s="28"/>
      <c r="CR90" s="28"/>
      <c r="CS90" s="28"/>
      <c r="CT90" s="28"/>
      <c r="CU90" s="28"/>
      <c r="CW90" s="68"/>
      <c r="CX90" s="69" t="str">
        <f>견적관리자용!$S$12</f>
        <v>화물(1000cc 미만)</v>
      </c>
      <c r="CY90" s="70">
        <v>0</v>
      </c>
      <c r="CZ90" s="70">
        <v>0</v>
      </c>
      <c r="DA90" s="80">
        <v>0</v>
      </c>
      <c r="DB90" s="80">
        <v>0</v>
      </c>
      <c r="DC90" s="80">
        <v>0</v>
      </c>
      <c r="DD90" s="72">
        <f t="shared" si="4"/>
        <v>0</v>
      </c>
      <c r="DE90" s="73">
        <v>87</v>
      </c>
      <c r="DF90" s="72">
        <f t="shared" si="3"/>
        <v>0</v>
      </c>
      <c r="DG90" s="166"/>
      <c r="DJ90" s="25"/>
      <c r="DK90" s="25"/>
      <c r="DL90" s="25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  <c r="EG90" s="24"/>
      <c r="EH90" s="24"/>
      <c r="EI90" s="24"/>
      <c r="EJ90" s="24"/>
      <c r="EK90" s="24"/>
      <c r="EL90" s="24"/>
      <c r="EM90" s="24"/>
      <c r="EN90" s="24"/>
      <c r="EO90" s="24"/>
      <c r="EP90" s="24"/>
      <c r="EQ90" s="24"/>
      <c r="ER90" s="24"/>
      <c r="ES90" s="24"/>
      <c r="ET90" s="24"/>
      <c r="EU90" s="24"/>
      <c r="EV90" s="24"/>
      <c r="EW90" s="24"/>
      <c r="EX90" s="24"/>
      <c r="EY90" s="24"/>
      <c r="EZ90" s="24"/>
      <c r="FA90" s="24"/>
      <c r="FB90" s="24"/>
      <c r="FC90" s="24"/>
      <c r="FD90" s="24"/>
      <c r="FE90" s="24"/>
      <c r="FF90" s="24"/>
      <c r="FG90" s="24"/>
      <c r="FH90" s="24"/>
      <c r="FI90" s="24"/>
      <c r="FJ90" s="24"/>
      <c r="FK90" s="24"/>
      <c r="FL90" s="24"/>
      <c r="FM90" s="24"/>
      <c r="FN90" s="24"/>
      <c r="FO90" s="24"/>
      <c r="FP90" s="24"/>
      <c r="FQ90" s="24"/>
      <c r="FR90" s="24"/>
      <c r="FS90" s="24"/>
      <c r="FT90" s="24"/>
      <c r="FU90" s="24"/>
      <c r="FV90" s="24"/>
      <c r="FW90" s="24"/>
      <c r="FX90" s="24"/>
      <c r="FY90" s="24"/>
      <c r="FZ90" s="24"/>
      <c r="GA90" s="24"/>
      <c r="GB90" s="24"/>
      <c r="GC90" s="24"/>
      <c r="GD90" s="24"/>
      <c r="GE90" s="24"/>
      <c r="GF90" s="24"/>
      <c r="GG90" s="24"/>
      <c r="GH90" s="24"/>
      <c r="GI90" s="24"/>
      <c r="GJ90" s="24"/>
      <c r="GK90" s="24"/>
      <c r="GL90" s="24"/>
      <c r="GM90" s="24"/>
      <c r="GN90" s="24"/>
      <c r="GO90" s="24"/>
      <c r="GP90" s="24"/>
      <c r="GQ90" s="24"/>
      <c r="GR90" s="24"/>
      <c r="GS90" s="24"/>
      <c r="GT90" s="24"/>
      <c r="GU90" s="24"/>
      <c r="GV90" s="24"/>
      <c r="GW90" s="24"/>
      <c r="GX90" s="24"/>
      <c r="GY90" s="24"/>
      <c r="GZ90" s="24"/>
      <c r="HA90" s="24"/>
      <c r="HB90" s="24"/>
      <c r="HC90" s="24"/>
      <c r="HD90" s="24"/>
      <c r="HE90" s="24"/>
      <c r="HF90" s="24"/>
      <c r="HG90" s="24"/>
      <c r="HH90" s="24"/>
      <c r="HI90" s="24"/>
      <c r="HJ90" s="24"/>
      <c r="HK90" s="24"/>
      <c r="HL90" s="24"/>
      <c r="HM90" s="24"/>
      <c r="HN90" s="24"/>
      <c r="HO90" s="24"/>
      <c r="HP90" s="24"/>
      <c r="HQ90" s="24"/>
      <c r="HR90" s="24"/>
      <c r="HS90" s="24"/>
      <c r="HT90" s="24"/>
      <c r="HU90" s="24"/>
      <c r="HV90" s="24"/>
      <c r="HW90" s="24"/>
      <c r="HX90" s="24"/>
      <c r="HY90" s="24"/>
      <c r="HZ90" s="24"/>
      <c r="IA90" s="24"/>
      <c r="IB90" s="24"/>
      <c r="IC90" s="24"/>
      <c r="ID90" s="24"/>
      <c r="IE90" s="24"/>
      <c r="IF90" s="24"/>
      <c r="IG90" s="24"/>
      <c r="IH90" s="24"/>
      <c r="II90" s="24"/>
      <c r="IJ90" s="24"/>
      <c r="IK90" s="24"/>
      <c r="IL90" s="24"/>
      <c r="IM90" s="24"/>
      <c r="IN90" s="24"/>
      <c r="IO90" s="24"/>
      <c r="IP90" s="24"/>
      <c r="IQ90" s="24"/>
      <c r="IR90" s="24"/>
      <c r="IS90" s="24"/>
      <c r="IT90" s="24"/>
      <c r="IU90" s="24"/>
      <c r="IV90" s="24"/>
      <c r="IW90" s="24"/>
      <c r="IX90" s="24"/>
      <c r="IY90" s="24"/>
      <c r="IZ90" s="24"/>
      <c r="JA90" s="24"/>
      <c r="JB90" s="24"/>
      <c r="JC90" s="24"/>
      <c r="JD90" s="24"/>
      <c r="JE90" s="24"/>
      <c r="JF90" s="24"/>
      <c r="JG90" s="24"/>
      <c r="JH90" s="24"/>
      <c r="JI90" s="24"/>
      <c r="JJ90" s="24"/>
      <c r="JK90" s="24"/>
      <c r="JL90" s="24"/>
      <c r="JM90" s="24"/>
      <c r="JN90" s="24"/>
      <c r="JO90" s="24"/>
      <c r="JP90" s="24"/>
      <c r="JQ90" s="24"/>
      <c r="JR90" s="24"/>
      <c r="JS90" s="24"/>
      <c r="JT90" s="24"/>
      <c r="JU90" s="24"/>
      <c r="JV90" s="24"/>
      <c r="JW90" s="24"/>
      <c r="JX90" s="24"/>
      <c r="JY90" s="24"/>
      <c r="JZ90" s="24"/>
      <c r="KA90" s="24"/>
      <c r="KB90" s="24"/>
      <c r="KC90" s="24"/>
      <c r="KD90" s="24"/>
      <c r="KE90" s="24"/>
      <c r="KF90" s="24"/>
      <c r="KG90" s="24"/>
      <c r="KH90" s="24"/>
      <c r="KI90" s="24"/>
      <c r="KJ90" s="24"/>
      <c r="KK90" s="24"/>
      <c r="KL90" s="24"/>
    </row>
    <row r="91" spans="1:298" s="26" customFormat="1" ht="15.95" hidden="1" customHeight="1" x14ac:dyDescent="0.3">
      <c r="A91" s="172"/>
      <c r="B91" s="172"/>
      <c r="C91" s="172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  <c r="AG91" s="173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/>
      <c r="AR91" s="173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/>
      <c r="BR91" s="172"/>
      <c r="BS91" s="172"/>
      <c r="BT91" s="172"/>
      <c r="BU91" s="172"/>
      <c r="BV91" s="172"/>
      <c r="BW91" s="172"/>
      <c r="BX91" s="172"/>
      <c r="BY91" s="174"/>
      <c r="BZ91" s="172"/>
      <c r="CA91" s="172"/>
      <c r="CB91" s="24"/>
      <c r="CC91" s="25"/>
      <c r="CH91" s="89" t="s">
        <v>255</v>
      </c>
      <c r="CI91" s="50" t="e">
        <f>CI90-CI88</f>
        <v>#N/A</v>
      </c>
      <c r="CL91" s="28"/>
      <c r="CM91" s="28"/>
      <c r="CO91" s="29"/>
      <c r="CP91" s="28"/>
      <c r="CQ91" s="28"/>
      <c r="CR91" s="28"/>
      <c r="CS91" s="28"/>
      <c r="CT91" s="28"/>
      <c r="CU91" s="28"/>
      <c r="CW91" s="85"/>
      <c r="CX91" s="69" t="str">
        <f>견적관리자용!$S$13</f>
        <v>화물(0.6톤 미만)</v>
      </c>
      <c r="CY91" s="70">
        <v>0</v>
      </c>
      <c r="CZ91" s="125">
        <v>0.03</v>
      </c>
      <c r="DA91" s="125">
        <v>0.03</v>
      </c>
      <c r="DB91" s="125">
        <v>0.03</v>
      </c>
      <c r="DC91" s="125">
        <v>0.03</v>
      </c>
      <c r="DD91" s="72">
        <f t="shared" si="4"/>
        <v>0</v>
      </c>
      <c r="DE91" s="73">
        <v>88</v>
      </c>
      <c r="DF91" s="72">
        <f t="shared" si="3"/>
        <v>0</v>
      </c>
      <c r="DG91" s="166"/>
      <c r="DJ91" s="25"/>
      <c r="DK91" s="25"/>
      <c r="DL91" s="25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4"/>
      <c r="EP91" s="24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4"/>
      <c r="FC91" s="24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4"/>
      <c r="FP91" s="24"/>
      <c r="FQ91" s="24"/>
      <c r="FR91" s="24"/>
      <c r="FS91" s="24"/>
      <c r="FT91" s="24"/>
      <c r="FU91" s="24"/>
      <c r="FV91" s="24"/>
      <c r="FW91" s="24"/>
      <c r="FX91" s="24"/>
      <c r="FY91" s="24"/>
      <c r="FZ91" s="24"/>
      <c r="GA91" s="24"/>
      <c r="GB91" s="24"/>
      <c r="GC91" s="24"/>
      <c r="GD91" s="24"/>
      <c r="GE91" s="24"/>
      <c r="GF91" s="24"/>
      <c r="GG91" s="24"/>
      <c r="GH91" s="24"/>
      <c r="GI91" s="24"/>
      <c r="GJ91" s="24"/>
      <c r="GK91" s="24"/>
      <c r="GL91" s="24"/>
      <c r="GM91" s="24"/>
      <c r="GN91" s="24"/>
      <c r="GO91" s="24"/>
      <c r="GP91" s="24"/>
      <c r="GQ91" s="24"/>
      <c r="GR91" s="24"/>
      <c r="GS91" s="24"/>
      <c r="GT91" s="24"/>
      <c r="GU91" s="24"/>
      <c r="GV91" s="24"/>
      <c r="GW91" s="24"/>
      <c r="GX91" s="24"/>
      <c r="GY91" s="24"/>
      <c r="GZ91" s="24"/>
      <c r="HA91" s="24"/>
      <c r="HB91" s="24"/>
      <c r="HC91" s="24"/>
      <c r="HD91" s="24"/>
      <c r="HE91" s="24"/>
      <c r="HF91" s="24"/>
      <c r="HG91" s="24"/>
      <c r="HH91" s="24"/>
      <c r="HI91" s="24"/>
      <c r="HJ91" s="24"/>
      <c r="HK91" s="24"/>
      <c r="HL91" s="24"/>
      <c r="HM91" s="24"/>
      <c r="HN91" s="24"/>
      <c r="HO91" s="24"/>
      <c r="HP91" s="24"/>
      <c r="HQ91" s="24"/>
      <c r="HR91" s="24"/>
      <c r="HS91" s="24"/>
      <c r="HT91" s="24"/>
      <c r="HU91" s="24"/>
      <c r="HV91" s="24"/>
      <c r="HW91" s="24"/>
      <c r="HX91" s="24"/>
      <c r="HY91" s="24"/>
      <c r="HZ91" s="24"/>
      <c r="IA91" s="24"/>
      <c r="IB91" s="24"/>
      <c r="IC91" s="24"/>
      <c r="ID91" s="24"/>
      <c r="IE91" s="24"/>
      <c r="IF91" s="24"/>
      <c r="IG91" s="24"/>
      <c r="IH91" s="24"/>
      <c r="II91" s="24"/>
      <c r="IJ91" s="24"/>
      <c r="IK91" s="24"/>
      <c r="IL91" s="24"/>
      <c r="IM91" s="24"/>
      <c r="IN91" s="24"/>
      <c r="IO91" s="24"/>
      <c r="IP91" s="24"/>
      <c r="IQ91" s="24"/>
      <c r="IR91" s="24"/>
      <c r="IS91" s="24"/>
      <c r="IT91" s="24"/>
      <c r="IU91" s="24"/>
      <c r="IV91" s="24"/>
      <c r="IW91" s="24"/>
      <c r="IX91" s="24"/>
      <c r="IY91" s="24"/>
      <c r="IZ91" s="24"/>
      <c r="JA91" s="24"/>
      <c r="JB91" s="24"/>
      <c r="JC91" s="24"/>
      <c r="JD91" s="24"/>
      <c r="JE91" s="24"/>
      <c r="JF91" s="24"/>
      <c r="JG91" s="24"/>
      <c r="JH91" s="24"/>
      <c r="JI91" s="24"/>
      <c r="JJ91" s="24"/>
      <c r="JK91" s="24"/>
      <c r="JL91" s="24"/>
      <c r="JM91" s="24"/>
      <c r="JN91" s="24"/>
      <c r="JO91" s="24"/>
      <c r="JP91" s="24"/>
      <c r="JQ91" s="24"/>
      <c r="JR91" s="24"/>
      <c r="JS91" s="24"/>
      <c r="JT91" s="24"/>
      <c r="JU91" s="24"/>
      <c r="JV91" s="24"/>
      <c r="JW91" s="24"/>
      <c r="JX91" s="24"/>
      <c r="JY91" s="24"/>
      <c r="JZ91" s="24"/>
      <c r="KA91" s="24"/>
      <c r="KB91" s="24"/>
      <c r="KC91" s="24"/>
      <c r="KD91" s="24"/>
      <c r="KE91" s="24"/>
      <c r="KF91" s="24"/>
      <c r="KG91" s="24"/>
      <c r="KH91" s="24"/>
      <c r="KI91" s="24"/>
      <c r="KJ91" s="24"/>
      <c r="KK91" s="24"/>
      <c r="KL91" s="24"/>
    </row>
    <row r="92" spans="1:298" s="26" customFormat="1" ht="15.95" hidden="1" customHeight="1" x14ac:dyDescent="0.3">
      <c r="A92" s="172"/>
      <c r="B92" s="172"/>
      <c r="C92" s="172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  <c r="AG92" s="173"/>
      <c r="AH92" s="173"/>
      <c r="AI92" s="173"/>
      <c r="AJ92" s="173"/>
      <c r="AK92" s="173"/>
      <c r="AL92" s="173"/>
      <c r="AM92" s="173"/>
      <c r="AN92" s="173"/>
      <c r="AO92" s="173"/>
      <c r="AP92" s="173"/>
      <c r="AQ92" s="173"/>
      <c r="AR92" s="173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/>
      <c r="BV92" s="172"/>
      <c r="BW92" s="172"/>
      <c r="BX92" s="172"/>
      <c r="BY92" s="174"/>
      <c r="BZ92" s="172"/>
      <c r="CA92" s="172"/>
      <c r="CB92" s="24"/>
      <c r="CC92" s="25"/>
      <c r="CH92" s="103" t="s">
        <v>256</v>
      </c>
      <c r="CI92" s="260" t="e">
        <f>ROUNDDOWN(CI91/CI23,4)</f>
        <v>#N/A</v>
      </c>
      <c r="CL92" s="28"/>
      <c r="CM92" s="28"/>
      <c r="CO92" s="29"/>
      <c r="CP92" s="28"/>
      <c r="CQ92" s="28"/>
      <c r="CR92" s="28"/>
      <c r="CS92" s="28"/>
      <c r="CT92" s="28"/>
      <c r="CU92" s="28"/>
      <c r="CW92" s="85"/>
      <c r="CX92" s="69" t="str">
        <f>견적관리자용!$S$14</f>
        <v>화물(0.6~1톤 미만)</v>
      </c>
      <c r="CY92" s="70">
        <v>0</v>
      </c>
      <c r="CZ92" s="125">
        <v>0.03</v>
      </c>
      <c r="DA92" s="125">
        <v>0.03</v>
      </c>
      <c r="DB92" s="125">
        <v>0.03</v>
      </c>
      <c r="DC92" s="125">
        <v>0.03</v>
      </c>
      <c r="DD92" s="72">
        <f t="shared" si="4"/>
        <v>0</v>
      </c>
      <c r="DE92" s="73">
        <v>89</v>
      </c>
      <c r="DF92" s="72">
        <f t="shared" si="3"/>
        <v>0</v>
      </c>
      <c r="DG92" s="166"/>
      <c r="DJ92" s="25"/>
      <c r="DK92" s="25"/>
      <c r="DL92" s="25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  <c r="EG92" s="24"/>
      <c r="EH92" s="24"/>
      <c r="EI92" s="24"/>
      <c r="EJ92" s="24"/>
      <c r="EK92" s="24"/>
      <c r="EL92" s="24"/>
      <c r="EM92" s="24"/>
      <c r="EN92" s="24"/>
      <c r="EO92" s="24"/>
      <c r="EP92" s="24"/>
      <c r="EQ92" s="24"/>
      <c r="ER92" s="24"/>
      <c r="ES92" s="24"/>
      <c r="ET92" s="24"/>
      <c r="EU92" s="24"/>
      <c r="EV92" s="24"/>
      <c r="EW92" s="24"/>
      <c r="EX92" s="24"/>
      <c r="EY92" s="24"/>
      <c r="EZ92" s="24"/>
      <c r="FA92" s="24"/>
      <c r="FB92" s="24"/>
      <c r="FC92" s="24"/>
      <c r="FD92" s="24"/>
      <c r="FE92" s="24"/>
      <c r="FF92" s="24"/>
      <c r="FG92" s="24"/>
      <c r="FH92" s="24"/>
      <c r="FI92" s="24"/>
      <c r="FJ92" s="24"/>
      <c r="FK92" s="24"/>
      <c r="FL92" s="24"/>
      <c r="FM92" s="24"/>
      <c r="FN92" s="24"/>
      <c r="FO92" s="24"/>
      <c r="FP92" s="24"/>
      <c r="FQ92" s="24"/>
      <c r="FR92" s="24"/>
      <c r="FS92" s="24"/>
      <c r="FT92" s="24"/>
      <c r="FU92" s="24"/>
      <c r="FV92" s="24"/>
      <c r="FW92" s="24"/>
      <c r="FX92" s="24"/>
      <c r="FY92" s="24"/>
      <c r="FZ92" s="24"/>
      <c r="GA92" s="24"/>
      <c r="GB92" s="24"/>
      <c r="GC92" s="24"/>
      <c r="GD92" s="24"/>
      <c r="GE92" s="24"/>
      <c r="GF92" s="24"/>
      <c r="GG92" s="24"/>
      <c r="GH92" s="24"/>
      <c r="GI92" s="24"/>
      <c r="GJ92" s="24"/>
      <c r="GK92" s="24"/>
      <c r="GL92" s="24"/>
      <c r="GM92" s="24"/>
      <c r="GN92" s="24"/>
      <c r="GO92" s="24"/>
      <c r="GP92" s="24"/>
      <c r="GQ92" s="24"/>
      <c r="GR92" s="24"/>
      <c r="GS92" s="24"/>
      <c r="GT92" s="24"/>
      <c r="GU92" s="24"/>
      <c r="GV92" s="24"/>
      <c r="GW92" s="24"/>
      <c r="GX92" s="24"/>
      <c r="GY92" s="24"/>
      <c r="GZ92" s="24"/>
      <c r="HA92" s="24"/>
      <c r="HB92" s="24"/>
      <c r="HC92" s="24"/>
      <c r="HD92" s="24"/>
      <c r="HE92" s="24"/>
      <c r="HF92" s="24"/>
      <c r="HG92" s="24"/>
      <c r="HH92" s="24"/>
      <c r="HI92" s="24"/>
      <c r="HJ92" s="24"/>
      <c r="HK92" s="24"/>
      <c r="HL92" s="24"/>
      <c r="HM92" s="24"/>
      <c r="HN92" s="24"/>
      <c r="HO92" s="24"/>
      <c r="HP92" s="24"/>
      <c r="HQ92" s="24"/>
      <c r="HR92" s="24"/>
      <c r="HS92" s="24"/>
      <c r="HT92" s="24"/>
      <c r="HU92" s="24"/>
      <c r="HV92" s="24"/>
      <c r="HW92" s="24"/>
      <c r="HX92" s="24"/>
      <c r="HY92" s="24"/>
      <c r="HZ92" s="24"/>
      <c r="IA92" s="24"/>
      <c r="IB92" s="24"/>
      <c r="IC92" s="24"/>
      <c r="ID92" s="24"/>
      <c r="IE92" s="24"/>
      <c r="IF92" s="24"/>
      <c r="IG92" s="24"/>
      <c r="IH92" s="24"/>
      <c r="II92" s="24"/>
      <c r="IJ92" s="24"/>
      <c r="IK92" s="24"/>
      <c r="IL92" s="24"/>
      <c r="IM92" s="24"/>
      <c r="IN92" s="24"/>
      <c r="IO92" s="24"/>
      <c r="IP92" s="24"/>
      <c r="IQ92" s="24"/>
      <c r="IR92" s="24"/>
      <c r="IS92" s="24"/>
      <c r="IT92" s="24"/>
      <c r="IU92" s="24"/>
      <c r="IV92" s="24"/>
      <c r="IW92" s="24"/>
      <c r="IX92" s="24"/>
      <c r="IY92" s="24"/>
      <c r="IZ92" s="24"/>
      <c r="JA92" s="24"/>
      <c r="JB92" s="24"/>
      <c r="JC92" s="24"/>
      <c r="JD92" s="24"/>
      <c r="JE92" s="24"/>
      <c r="JF92" s="24"/>
      <c r="JG92" s="24"/>
      <c r="JH92" s="24"/>
      <c r="JI92" s="24"/>
      <c r="JJ92" s="24"/>
      <c r="JK92" s="24"/>
      <c r="JL92" s="24"/>
      <c r="JM92" s="24"/>
      <c r="JN92" s="24"/>
      <c r="JO92" s="24"/>
      <c r="JP92" s="24"/>
      <c r="JQ92" s="24"/>
      <c r="JR92" s="24"/>
      <c r="JS92" s="24"/>
      <c r="JT92" s="24"/>
      <c r="JU92" s="24"/>
      <c r="JV92" s="24"/>
      <c r="JW92" s="24"/>
      <c r="JX92" s="24"/>
      <c r="JY92" s="24"/>
      <c r="JZ92" s="24"/>
      <c r="KA92" s="24"/>
      <c r="KB92" s="24"/>
      <c r="KC92" s="24"/>
      <c r="KD92" s="24"/>
      <c r="KE92" s="24"/>
      <c r="KF92" s="24"/>
      <c r="KG92" s="24"/>
      <c r="KH92" s="24"/>
      <c r="KI92" s="24"/>
      <c r="KJ92" s="24"/>
      <c r="KK92" s="24"/>
      <c r="KL92" s="24"/>
    </row>
    <row r="93" spans="1:298" s="26" customFormat="1" ht="15.95" hidden="1" customHeight="1" x14ac:dyDescent="0.3">
      <c r="A93" s="172"/>
      <c r="B93" s="172"/>
      <c r="C93" s="172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  <c r="AG93" s="173"/>
      <c r="AH93" s="173"/>
      <c r="AI93" s="173"/>
      <c r="AJ93" s="173"/>
      <c r="AK93" s="173"/>
      <c r="AL93" s="173"/>
      <c r="AM93" s="173"/>
      <c r="AN93" s="173"/>
      <c r="AO93" s="173"/>
      <c r="AP93" s="173"/>
      <c r="AQ93" s="173"/>
      <c r="AR93" s="173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/>
      <c r="BV93" s="172"/>
      <c r="BW93" s="172"/>
      <c r="BX93" s="172"/>
      <c r="BY93" s="174"/>
      <c r="BZ93" s="172"/>
      <c r="CA93" s="172"/>
      <c r="CB93" s="24"/>
      <c r="CC93" s="25"/>
      <c r="CH93" s="27"/>
      <c r="CL93" s="28"/>
      <c r="CM93" s="28"/>
      <c r="CO93" s="29"/>
      <c r="CP93" s="28"/>
      <c r="CQ93" s="28"/>
      <c r="CR93" s="28"/>
      <c r="CS93" s="28"/>
      <c r="CT93" s="28"/>
      <c r="CU93" s="28"/>
      <c r="CW93" s="85"/>
      <c r="CX93" s="69" t="str">
        <f>견적관리자용!$S$15</f>
        <v>화물(1~2.5톤 미만)</v>
      </c>
      <c r="CY93" s="70">
        <v>0</v>
      </c>
      <c r="CZ93" s="125">
        <v>0.03</v>
      </c>
      <c r="DA93" s="125">
        <v>0.03</v>
      </c>
      <c r="DB93" s="125">
        <v>0.03</v>
      </c>
      <c r="DC93" s="125">
        <v>0.03</v>
      </c>
      <c r="DD93" s="72">
        <f t="shared" si="4"/>
        <v>0</v>
      </c>
      <c r="DE93" s="73">
        <v>90</v>
      </c>
      <c r="DF93" s="72">
        <f t="shared" si="3"/>
        <v>0</v>
      </c>
      <c r="DG93" s="166"/>
      <c r="DJ93" s="25"/>
      <c r="DK93" s="25"/>
      <c r="DL93" s="25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  <c r="EG93" s="24"/>
      <c r="EH93" s="24"/>
      <c r="EI93" s="24"/>
      <c r="EJ93" s="24"/>
      <c r="EK93" s="24"/>
      <c r="EL93" s="24"/>
      <c r="EM93" s="24"/>
      <c r="EN93" s="24"/>
      <c r="EO93" s="24"/>
      <c r="EP93" s="24"/>
      <c r="EQ93" s="24"/>
      <c r="ER93" s="24"/>
      <c r="ES93" s="24"/>
      <c r="ET93" s="24"/>
      <c r="EU93" s="24"/>
      <c r="EV93" s="24"/>
      <c r="EW93" s="24"/>
      <c r="EX93" s="24"/>
      <c r="EY93" s="24"/>
      <c r="EZ93" s="24"/>
      <c r="FA93" s="24"/>
      <c r="FB93" s="24"/>
      <c r="FC93" s="24"/>
      <c r="FD93" s="24"/>
      <c r="FE93" s="24"/>
      <c r="FF93" s="24"/>
      <c r="FG93" s="24"/>
      <c r="FH93" s="24"/>
      <c r="FI93" s="24"/>
      <c r="FJ93" s="24"/>
      <c r="FK93" s="24"/>
      <c r="FL93" s="24"/>
      <c r="FM93" s="24"/>
      <c r="FN93" s="24"/>
      <c r="FO93" s="24"/>
      <c r="FP93" s="24"/>
      <c r="FQ93" s="24"/>
      <c r="FR93" s="24"/>
      <c r="FS93" s="24"/>
      <c r="FT93" s="24"/>
      <c r="FU93" s="24"/>
      <c r="FV93" s="24"/>
      <c r="FW93" s="24"/>
      <c r="FX93" s="24"/>
      <c r="FY93" s="24"/>
      <c r="FZ93" s="24"/>
      <c r="GA93" s="24"/>
      <c r="GB93" s="24"/>
      <c r="GC93" s="24"/>
      <c r="GD93" s="24"/>
      <c r="GE93" s="24"/>
      <c r="GF93" s="24"/>
      <c r="GG93" s="24"/>
      <c r="GH93" s="24"/>
      <c r="GI93" s="24"/>
      <c r="GJ93" s="24"/>
      <c r="GK93" s="24"/>
      <c r="GL93" s="24"/>
      <c r="GM93" s="24"/>
      <c r="GN93" s="24"/>
      <c r="GO93" s="24"/>
      <c r="GP93" s="24"/>
      <c r="GQ93" s="24"/>
      <c r="GR93" s="24"/>
      <c r="GS93" s="24"/>
      <c r="GT93" s="24"/>
      <c r="GU93" s="24"/>
      <c r="GV93" s="24"/>
      <c r="GW93" s="24"/>
      <c r="GX93" s="24"/>
      <c r="GY93" s="24"/>
      <c r="GZ93" s="24"/>
      <c r="HA93" s="24"/>
      <c r="HB93" s="24"/>
      <c r="HC93" s="24"/>
      <c r="HD93" s="24"/>
      <c r="HE93" s="24"/>
      <c r="HF93" s="24"/>
      <c r="HG93" s="24"/>
      <c r="HH93" s="24"/>
      <c r="HI93" s="24"/>
      <c r="HJ93" s="24"/>
      <c r="HK93" s="24"/>
      <c r="HL93" s="24"/>
      <c r="HM93" s="24"/>
      <c r="HN93" s="24"/>
      <c r="HO93" s="24"/>
      <c r="HP93" s="24"/>
      <c r="HQ93" s="24"/>
      <c r="HR93" s="24"/>
      <c r="HS93" s="24"/>
      <c r="HT93" s="24"/>
      <c r="HU93" s="24"/>
      <c r="HV93" s="24"/>
      <c r="HW93" s="24"/>
      <c r="HX93" s="24"/>
      <c r="HY93" s="24"/>
      <c r="HZ93" s="24"/>
      <c r="IA93" s="24"/>
      <c r="IB93" s="24"/>
      <c r="IC93" s="24"/>
      <c r="ID93" s="24"/>
      <c r="IE93" s="24"/>
      <c r="IF93" s="24"/>
      <c r="IG93" s="24"/>
      <c r="IH93" s="24"/>
      <c r="II93" s="24"/>
      <c r="IJ93" s="24"/>
      <c r="IK93" s="24"/>
      <c r="IL93" s="24"/>
      <c r="IM93" s="24"/>
      <c r="IN93" s="24"/>
      <c r="IO93" s="24"/>
      <c r="IP93" s="24"/>
      <c r="IQ93" s="24"/>
      <c r="IR93" s="24"/>
      <c r="IS93" s="24"/>
      <c r="IT93" s="24"/>
      <c r="IU93" s="24"/>
      <c r="IV93" s="24"/>
      <c r="IW93" s="24"/>
      <c r="IX93" s="24"/>
      <c r="IY93" s="24"/>
      <c r="IZ93" s="24"/>
      <c r="JA93" s="24"/>
      <c r="JB93" s="24"/>
      <c r="JC93" s="24"/>
      <c r="JD93" s="24"/>
      <c r="JE93" s="24"/>
      <c r="JF93" s="24"/>
      <c r="JG93" s="24"/>
      <c r="JH93" s="24"/>
      <c r="JI93" s="24"/>
      <c r="JJ93" s="24"/>
      <c r="JK93" s="24"/>
      <c r="JL93" s="24"/>
      <c r="JM93" s="24"/>
      <c r="JN93" s="24"/>
      <c r="JO93" s="24"/>
      <c r="JP93" s="24"/>
      <c r="JQ93" s="24"/>
      <c r="JR93" s="24"/>
      <c r="JS93" s="24"/>
      <c r="JT93" s="24"/>
      <c r="JU93" s="24"/>
      <c r="JV93" s="24"/>
      <c r="JW93" s="24"/>
      <c r="JX93" s="24"/>
      <c r="JY93" s="24"/>
      <c r="JZ93" s="24"/>
      <c r="KA93" s="24"/>
      <c r="KB93" s="24"/>
      <c r="KC93" s="24"/>
      <c r="KD93" s="24"/>
      <c r="KE93" s="24"/>
      <c r="KF93" s="24"/>
      <c r="KG93" s="24"/>
      <c r="KH93" s="24"/>
      <c r="KI93" s="24"/>
      <c r="KJ93" s="24"/>
      <c r="KK93" s="24"/>
      <c r="KL93" s="24"/>
    </row>
    <row r="94" spans="1:298" s="26" customFormat="1" ht="15.95" hidden="1" customHeight="1" x14ac:dyDescent="0.3">
      <c r="A94" s="172"/>
      <c r="B94" s="172"/>
      <c r="C94" s="172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  <c r="AG94" s="173"/>
      <c r="AH94" s="173"/>
      <c r="AI94" s="173"/>
      <c r="AJ94" s="173"/>
      <c r="AK94" s="173"/>
      <c r="AL94" s="173"/>
      <c r="AM94" s="173"/>
      <c r="AN94" s="173"/>
      <c r="AO94" s="173"/>
      <c r="AP94" s="173"/>
      <c r="AQ94" s="173"/>
      <c r="AR94" s="173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/>
      <c r="BV94" s="172"/>
      <c r="BW94" s="172"/>
      <c r="BX94" s="172"/>
      <c r="BY94" s="174"/>
      <c r="BZ94" s="172"/>
      <c r="CA94" s="172"/>
      <c r="CB94" s="24"/>
      <c r="CC94" s="25"/>
      <c r="CH94" s="353" t="s">
        <v>644</v>
      </c>
      <c r="CI94" s="45">
        <f>VLOOKUP(BD6,차량DB!F:I,4,0)</f>
        <v>0</v>
      </c>
      <c r="CL94" s="28"/>
      <c r="CM94" s="28"/>
      <c r="CO94" s="29"/>
      <c r="CP94" s="28"/>
      <c r="CQ94" s="28"/>
      <c r="CR94" s="28"/>
      <c r="CS94" s="28"/>
      <c r="CT94" s="28"/>
      <c r="CU94" s="28"/>
      <c r="CW94" s="85"/>
      <c r="CX94" s="69" t="str">
        <f>견적관리자용!$S$16</f>
        <v>화물(2.5~4.6톤 미만)</v>
      </c>
      <c r="CY94" s="70">
        <v>0</v>
      </c>
      <c r="CZ94" s="125">
        <v>0.03</v>
      </c>
      <c r="DA94" s="125">
        <v>0.03</v>
      </c>
      <c r="DB94" s="125">
        <v>0.03</v>
      </c>
      <c r="DC94" s="125">
        <v>0.03</v>
      </c>
      <c r="DD94" s="72">
        <f t="shared" si="4"/>
        <v>0</v>
      </c>
      <c r="DE94" s="73">
        <v>91</v>
      </c>
      <c r="DF94" s="72">
        <f t="shared" si="3"/>
        <v>0</v>
      </c>
      <c r="DG94" s="166"/>
      <c r="DJ94" s="25"/>
      <c r="DK94" s="25"/>
      <c r="DL94" s="25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4"/>
      <c r="EP94" s="24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4"/>
      <c r="FC94" s="24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4"/>
      <c r="FP94" s="24"/>
      <c r="FQ94" s="24"/>
      <c r="FR94" s="24"/>
      <c r="FS94" s="24"/>
      <c r="FT94" s="24"/>
      <c r="FU94" s="24"/>
      <c r="FV94" s="24"/>
      <c r="FW94" s="24"/>
      <c r="FX94" s="24"/>
      <c r="FY94" s="24"/>
      <c r="FZ94" s="24"/>
      <c r="GA94" s="24"/>
      <c r="GB94" s="24"/>
      <c r="GC94" s="24"/>
      <c r="GD94" s="24"/>
      <c r="GE94" s="24"/>
      <c r="GF94" s="24"/>
      <c r="GG94" s="24"/>
      <c r="GH94" s="24"/>
      <c r="GI94" s="24"/>
      <c r="GJ94" s="24"/>
      <c r="GK94" s="24"/>
      <c r="GL94" s="24"/>
      <c r="GM94" s="24"/>
      <c r="GN94" s="24"/>
      <c r="GO94" s="24"/>
      <c r="GP94" s="24"/>
      <c r="GQ94" s="24"/>
      <c r="GR94" s="24"/>
      <c r="GS94" s="24"/>
      <c r="GT94" s="24"/>
      <c r="GU94" s="24"/>
      <c r="GV94" s="24"/>
      <c r="GW94" s="24"/>
      <c r="GX94" s="24"/>
      <c r="GY94" s="24"/>
      <c r="GZ94" s="24"/>
      <c r="HA94" s="24"/>
      <c r="HB94" s="24"/>
      <c r="HC94" s="24"/>
      <c r="HD94" s="24"/>
      <c r="HE94" s="24"/>
      <c r="HF94" s="24"/>
      <c r="HG94" s="24"/>
      <c r="HH94" s="24"/>
      <c r="HI94" s="24"/>
      <c r="HJ94" s="24"/>
      <c r="HK94" s="24"/>
      <c r="HL94" s="24"/>
      <c r="HM94" s="24"/>
      <c r="HN94" s="24"/>
      <c r="HO94" s="24"/>
      <c r="HP94" s="24"/>
      <c r="HQ94" s="24"/>
      <c r="HR94" s="24"/>
      <c r="HS94" s="24"/>
      <c r="HT94" s="24"/>
      <c r="HU94" s="24"/>
      <c r="HV94" s="24"/>
      <c r="HW94" s="24"/>
      <c r="HX94" s="24"/>
      <c r="HY94" s="24"/>
      <c r="HZ94" s="24"/>
      <c r="IA94" s="24"/>
      <c r="IB94" s="24"/>
      <c r="IC94" s="24"/>
      <c r="ID94" s="24"/>
      <c r="IE94" s="24"/>
      <c r="IF94" s="24"/>
      <c r="IG94" s="24"/>
      <c r="IH94" s="24"/>
      <c r="II94" s="24"/>
      <c r="IJ94" s="24"/>
      <c r="IK94" s="24"/>
      <c r="IL94" s="24"/>
      <c r="IM94" s="24"/>
      <c r="IN94" s="24"/>
      <c r="IO94" s="24"/>
      <c r="IP94" s="24"/>
      <c r="IQ94" s="24"/>
      <c r="IR94" s="24"/>
      <c r="IS94" s="24"/>
      <c r="IT94" s="24"/>
      <c r="IU94" s="24"/>
      <c r="IV94" s="24"/>
      <c r="IW94" s="24"/>
      <c r="IX94" s="24"/>
      <c r="IY94" s="24"/>
      <c r="IZ94" s="24"/>
      <c r="JA94" s="24"/>
      <c r="JB94" s="24"/>
      <c r="JC94" s="24"/>
      <c r="JD94" s="24"/>
      <c r="JE94" s="24"/>
      <c r="JF94" s="24"/>
      <c r="JG94" s="24"/>
      <c r="JH94" s="24"/>
      <c r="JI94" s="24"/>
      <c r="JJ94" s="24"/>
      <c r="JK94" s="24"/>
      <c r="JL94" s="24"/>
      <c r="JM94" s="24"/>
      <c r="JN94" s="24"/>
      <c r="JO94" s="24"/>
      <c r="JP94" s="24"/>
      <c r="JQ94" s="24"/>
      <c r="JR94" s="24"/>
      <c r="JS94" s="24"/>
      <c r="JT94" s="24"/>
      <c r="JU94" s="24"/>
      <c r="JV94" s="24"/>
      <c r="JW94" s="24"/>
      <c r="JX94" s="24"/>
      <c r="JY94" s="24"/>
      <c r="JZ94" s="24"/>
      <c r="KA94" s="24"/>
      <c r="KB94" s="24"/>
      <c r="KC94" s="24"/>
      <c r="KD94" s="24"/>
      <c r="KE94" s="24"/>
      <c r="KF94" s="24"/>
      <c r="KG94" s="24"/>
      <c r="KH94" s="24"/>
      <c r="KI94" s="24"/>
      <c r="KJ94" s="24"/>
      <c r="KK94" s="24"/>
      <c r="KL94" s="24"/>
    </row>
    <row r="95" spans="1:298" s="26" customFormat="1" ht="15.95" hidden="1" customHeight="1" x14ac:dyDescent="0.3">
      <c r="A95" s="172"/>
      <c r="B95" s="172"/>
      <c r="C95" s="172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  <c r="AG95" s="173"/>
      <c r="AH95" s="173"/>
      <c r="AI95" s="173"/>
      <c r="AJ95" s="173"/>
      <c r="AK95" s="173"/>
      <c r="AL95" s="173"/>
      <c r="AM95" s="173"/>
      <c r="AN95" s="173"/>
      <c r="AO95" s="173"/>
      <c r="AP95" s="173"/>
      <c r="AQ95" s="173"/>
      <c r="AR95" s="173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/>
      <c r="BV95" s="172"/>
      <c r="BW95" s="172"/>
      <c r="BX95" s="172"/>
      <c r="BY95" s="174"/>
      <c r="BZ95" s="172"/>
      <c r="CA95" s="172"/>
      <c r="CB95" s="24"/>
      <c r="CC95" s="25"/>
      <c r="CH95" s="27"/>
      <c r="CL95" s="28"/>
      <c r="CM95" s="28"/>
      <c r="CO95" s="29"/>
      <c r="CP95" s="28"/>
      <c r="CQ95" s="28"/>
      <c r="CR95" s="28"/>
      <c r="CS95" s="28"/>
      <c r="CT95" s="28"/>
      <c r="CU95" s="28"/>
      <c r="CW95" s="85"/>
      <c r="CX95" s="69" t="str">
        <f>견적관리자용!$S$17</f>
        <v>화물(4.6톤 이상)</v>
      </c>
      <c r="CY95" s="70">
        <v>0</v>
      </c>
      <c r="CZ95" s="180">
        <v>0.03</v>
      </c>
      <c r="DA95" s="180">
        <v>0.03</v>
      </c>
      <c r="DB95" s="180">
        <v>0.03</v>
      </c>
      <c r="DC95" s="180">
        <v>0.03</v>
      </c>
      <c r="DD95" s="72">
        <f t="shared" si="4"/>
        <v>0</v>
      </c>
      <c r="DE95" s="73">
        <v>92</v>
      </c>
      <c r="DF95" s="72">
        <f t="shared" si="3"/>
        <v>0</v>
      </c>
      <c r="DG95" s="166"/>
      <c r="DJ95" s="25"/>
      <c r="DK95" s="25"/>
      <c r="DL95" s="25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  <c r="EG95" s="24"/>
      <c r="EH95" s="24"/>
      <c r="EI95" s="24"/>
      <c r="EJ95" s="24"/>
      <c r="EK95" s="24"/>
      <c r="EL95" s="24"/>
      <c r="EM95" s="24"/>
      <c r="EN95" s="24"/>
      <c r="EO95" s="24"/>
      <c r="EP95" s="24"/>
      <c r="EQ95" s="24"/>
      <c r="ER95" s="24"/>
      <c r="ES95" s="24"/>
      <c r="ET95" s="24"/>
      <c r="EU95" s="24"/>
      <c r="EV95" s="24"/>
      <c r="EW95" s="24"/>
      <c r="EX95" s="24"/>
      <c r="EY95" s="24"/>
      <c r="EZ95" s="24"/>
      <c r="FA95" s="24"/>
      <c r="FB95" s="24"/>
      <c r="FC95" s="24"/>
      <c r="FD95" s="24"/>
      <c r="FE95" s="24"/>
      <c r="FF95" s="24"/>
      <c r="FG95" s="24"/>
      <c r="FH95" s="24"/>
      <c r="FI95" s="24"/>
      <c r="FJ95" s="24"/>
      <c r="FK95" s="24"/>
      <c r="FL95" s="24"/>
      <c r="FM95" s="24"/>
      <c r="FN95" s="24"/>
      <c r="FO95" s="24"/>
      <c r="FP95" s="24"/>
      <c r="FQ95" s="24"/>
      <c r="FR95" s="24"/>
      <c r="FS95" s="24"/>
      <c r="FT95" s="24"/>
      <c r="FU95" s="24"/>
      <c r="FV95" s="24"/>
      <c r="FW95" s="24"/>
      <c r="FX95" s="24"/>
      <c r="FY95" s="24"/>
      <c r="FZ95" s="24"/>
      <c r="GA95" s="24"/>
      <c r="GB95" s="24"/>
      <c r="GC95" s="24"/>
      <c r="GD95" s="24"/>
      <c r="GE95" s="24"/>
      <c r="GF95" s="24"/>
      <c r="GG95" s="24"/>
      <c r="GH95" s="24"/>
      <c r="GI95" s="24"/>
      <c r="GJ95" s="24"/>
      <c r="GK95" s="24"/>
      <c r="GL95" s="24"/>
      <c r="GM95" s="24"/>
      <c r="GN95" s="24"/>
      <c r="GO95" s="24"/>
      <c r="GP95" s="24"/>
      <c r="GQ95" s="24"/>
      <c r="GR95" s="24"/>
      <c r="GS95" s="24"/>
      <c r="GT95" s="24"/>
      <c r="GU95" s="24"/>
      <c r="GV95" s="24"/>
      <c r="GW95" s="24"/>
      <c r="GX95" s="24"/>
      <c r="GY95" s="24"/>
      <c r="GZ95" s="24"/>
      <c r="HA95" s="24"/>
      <c r="HB95" s="24"/>
      <c r="HC95" s="24"/>
      <c r="HD95" s="24"/>
      <c r="HE95" s="24"/>
      <c r="HF95" s="24"/>
      <c r="HG95" s="24"/>
      <c r="HH95" s="24"/>
      <c r="HI95" s="24"/>
      <c r="HJ95" s="24"/>
      <c r="HK95" s="24"/>
      <c r="HL95" s="24"/>
      <c r="HM95" s="24"/>
      <c r="HN95" s="24"/>
      <c r="HO95" s="24"/>
      <c r="HP95" s="24"/>
      <c r="HQ95" s="24"/>
      <c r="HR95" s="24"/>
      <c r="HS95" s="24"/>
      <c r="HT95" s="24"/>
      <c r="HU95" s="24"/>
      <c r="HV95" s="24"/>
      <c r="HW95" s="24"/>
      <c r="HX95" s="24"/>
      <c r="HY95" s="24"/>
      <c r="HZ95" s="24"/>
      <c r="IA95" s="24"/>
      <c r="IB95" s="24"/>
      <c r="IC95" s="24"/>
      <c r="ID95" s="24"/>
      <c r="IE95" s="24"/>
      <c r="IF95" s="24"/>
      <c r="IG95" s="24"/>
      <c r="IH95" s="24"/>
      <c r="II95" s="24"/>
      <c r="IJ95" s="24"/>
      <c r="IK95" s="24"/>
      <c r="IL95" s="24"/>
      <c r="IM95" s="24"/>
      <c r="IN95" s="24"/>
      <c r="IO95" s="24"/>
      <c r="IP95" s="24"/>
      <c r="IQ95" s="24"/>
      <c r="IR95" s="24"/>
      <c r="IS95" s="24"/>
      <c r="IT95" s="24"/>
      <c r="IU95" s="24"/>
      <c r="IV95" s="24"/>
      <c r="IW95" s="24"/>
      <c r="IX95" s="24"/>
      <c r="IY95" s="24"/>
      <c r="IZ95" s="24"/>
      <c r="JA95" s="24"/>
      <c r="JB95" s="24"/>
      <c r="JC95" s="24"/>
      <c r="JD95" s="24"/>
      <c r="JE95" s="24"/>
      <c r="JF95" s="24"/>
      <c r="JG95" s="24"/>
      <c r="JH95" s="24"/>
      <c r="JI95" s="24"/>
      <c r="JJ95" s="24"/>
      <c r="JK95" s="24"/>
      <c r="JL95" s="24"/>
      <c r="JM95" s="24"/>
      <c r="JN95" s="24"/>
      <c r="JO95" s="24"/>
      <c r="JP95" s="24"/>
      <c r="JQ95" s="24"/>
      <c r="JR95" s="24"/>
      <c r="JS95" s="24"/>
      <c r="JT95" s="24"/>
      <c r="JU95" s="24"/>
      <c r="JV95" s="24"/>
      <c r="JW95" s="24"/>
      <c r="JX95" s="24"/>
      <c r="JY95" s="24"/>
      <c r="JZ95" s="24"/>
      <c r="KA95" s="24"/>
      <c r="KB95" s="24"/>
      <c r="KC95" s="24"/>
      <c r="KD95" s="24"/>
      <c r="KE95" s="24"/>
      <c r="KF95" s="24"/>
      <c r="KG95" s="24"/>
      <c r="KH95" s="24"/>
      <c r="KI95" s="24"/>
      <c r="KJ95" s="24"/>
      <c r="KK95" s="24"/>
      <c r="KL95" s="24"/>
    </row>
    <row r="96" spans="1:298" s="26" customFormat="1" ht="15.95" hidden="1" customHeight="1" x14ac:dyDescent="0.3">
      <c r="A96" s="172"/>
      <c r="B96" s="172"/>
      <c r="C96" s="172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4"/>
      <c r="BZ96" s="172"/>
      <c r="CA96" s="172"/>
      <c r="CB96" s="24"/>
      <c r="CC96" s="25"/>
      <c r="CH96" s="27"/>
      <c r="CL96" s="28"/>
      <c r="CM96" s="28"/>
      <c r="CO96" s="29"/>
      <c r="CP96" s="28"/>
      <c r="CQ96" s="28"/>
      <c r="CR96" s="28"/>
      <c r="CS96" s="28"/>
      <c r="CT96" s="28"/>
      <c r="CU96" s="28"/>
      <c r="CW96" s="58" t="s">
        <v>107</v>
      </c>
      <c r="CX96" s="59" t="str">
        <f>견적관리자용!$S$8</f>
        <v>승용일반</v>
      </c>
      <c r="CY96" s="60">
        <v>0</v>
      </c>
      <c r="CZ96" s="125">
        <f>IF($CI$9&gt;50000000,6%,0%)</f>
        <v>0.06</v>
      </c>
      <c r="DA96" s="125">
        <f>IF($CI$9&gt;50000000,6%,0%)</f>
        <v>0.06</v>
      </c>
      <c r="DB96" s="125">
        <f>IF($CI$9&gt;50000000,8%,0%)</f>
        <v>0.08</v>
      </c>
      <c r="DC96" s="125">
        <v>0.12</v>
      </c>
      <c r="DD96" s="62">
        <f t="shared" si="4"/>
        <v>0</v>
      </c>
      <c r="DE96" s="63">
        <v>93</v>
      </c>
      <c r="DF96" s="62">
        <f t="shared" si="3"/>
        <v>0</v>
      </c>
      <c r="DG96" s="163">
        <f>SUM(DF96:DF105)</f>
        <v>0</v>
      </c>
      <c r="DJ96" s="25"/>
      <c r="DK96" s="25"/>
      <c r="DL96" s="25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4"/>
      <c r="EP96" s="24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4"/>
      <c r="FC96" s="24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4"/>
      <c r="FP96" s="24"/>
      <c r="FQ96" s="24"/>
      <c r="FR96" s="24"/>
      <c r="FS96" s="24"/>
      <c r="FT96" s="24"/>
      <c r="FU96" s="24"/>
      <c r="FV96" s="24"/>
      <c r="FW96" s="24"/>
      <c r="FX96" s="24"/>
      <c r="FY96" s="24"/>
      <c r="FZ96" s="24"/>
      <c r="GA96" s="24"/>
      <c r="GB96" s="24"/>
      <c r="GC96" s="24"/>
      <c r="GD96" s="24"/>
      <c r="GE96" s="24"/>
      <c r="GF96" s="24"/>
      <c r="GG96" s="24"/>
      <c r="GH96" s="24"/>
      <c r="GI96" s="24"/>
      <c r="GJ96" s="24"/>
      <c r="GK96" s="24"/>
      <c r="GL96" s="24"/>
      <c r="GM96" s="24"/>
      <c r="GN96" s="24"/>
      <c r="GO96" s="24"/>
      <c r="GP96" s="24"/>
      <c r="GQ96" s="24"/>
      <c r="GR96" s="24"/>
      <c r="GS96" s="24"/>
      <c r="GT96" s="24"/>
      <c r="GU96" s="24"/>
      <c r="GV96" s="24"/>
      <c r="GW96" s="24"/>
      <c r="GX96" s="24"/>
      <c r="GY96" s="24"/>
      <c r="GZ96" s="24"/>
      <c r="HA96" s="24"/>
      <c r="HB96" s="24"/>
      <c r="HC96" s="24"/>
      <c r="HD96" s="24"/>
      <c r="HE96" s="24"/>
      <c r="HF96" s="24"/>
      <c r="HG96" s="24"/>
      <c r="HH96" s="24"/>
      <c r="HI96" s="24"/>
      <c r="HJ96" s="24"/>
      <c r="HK96" s="24"/>
      <c r="HL96" s="24"/>
      <c r="HM96" s="24"/>
      <c r="HN96" s="24"/>
      <c r="HO96" s="24"/>
      <c r="HP96" s="24"/>
      <c r="HQ96" s="24"/>
      <c r="HR96" s="24"/>
      <c r="HS96" s="24"/>
      <c r="HT96" s="24"/>
      <c r="HU96" s="24"/>
      <c r="HV96" s="24"/>
      <c r="HW96" s="24"/>
      <c r="HX96" s="24"/>
      <c r="HY96" s="24"/>
      <c r="HZ96" s="24"/>
      <c r="IA96" s="24"/>
      <c r="IB96" s="24"/>
      <c r="IC96" s="24"/>
      <c r="ID96" s="24"/>
      <c r="IE96" s="24"/>
      <c r="IF96" s="24"/>
      <c r="IG96" s="24"/>
      <c r="IH96" s="24"/>
      <c r="II96" s="24"/>
      <c r="IJ96" s="24"/>
      <c r="IK96" s="24"/>
      <c r="IL96" s="24"/>
      <c r="IM96" s="24"/>
      <c r="IN96" s="24"/>
      <c r="IO96" s="24"/>
      <c r="IP96" s="24"/>
      <c r="IQ96" s="24"/>
      <c r="IR96" s="24"/>
      <c r="IS96" s="24"/>
      <c r="IT96" s="24"/>
      <c r="IU96" s="24"/>
      <c r="IV96" s="24"/>
      <c r="IW96" s="24"/>
      <c r="IX96" s="24"/>
      <c r="IY96" s="24"/>
      <c r="IZ96" s="24"/>
      <c r="JA96" s="24"/>
      <c r="JB96" s="24"/>
      <c r="JC96" s="24"/>
      <c r="JD96" s="24"/>
      <c r="JE96" s="24"/>
      <c r="JF96" s="24"/>
      <c r="JG96" s="24"/>
      <c r="JH96" s="24"/>
      <c r="JI96" s="24"/>
      <c r="JJ96" s="24"/>
      <c r="JK96" s="24"/>
      <c r="JL96" s="24"/>
      <c r="JM96" s="24"/>
      <c r="JN96" s="24"/>
      <c r="JO96" s="24"/>
      <c r="JP96" s="24"/>
      <c r="JQ96" s="24"/>
      <c r="JR96" s="24"/>
      <c r="JS96" s="24"/>
      <c r="JT96" s="24"/>
      <c r="JU96" s="24"/>
      <c r="JV96" s="24"/>
      <c r="JW96" s="24"/>
      <c r="JX96" s="24"/>
      <c r="JY96" s="24"/>
      <c r="JZ96" s="24"/>
      <c r="KA96" s="24"/>
      <c r="KB96" s="24"/>
      <c r="KC96" s="24"/>
      <c r="KD96" s="24"/>
      <c r="KE96" s="24"/>
      <c r="KF96" s="24"/>
      <c r="KG96" s="24"/>
      <c r="KH96" s="24"/>
      <c r="KI96" s="24"/>
      <c r="KJ96" s="24"/>
      <c r="KK96" s="24"/>
      <c r="KL96" s="24"/>
    </row>
    <row r="97" spans="1:298" s="26" customFormat="1" ht="15.95" hidden="1" customHeight="1" x14ac:dyDescent="0.3">
      <c r="A97" s="172"/>
      <c r="B97" s="172"/>
      <c r="C97" s="172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4"/>
      <c r="BZ97" s="172"/>
      <c r="CA97" s="172"/>
      <c r="CB97" s="24"/>
      <c r="CC97" s="25"/>
      <c r="CH97" s="27"/>
      <c r="CL97" s="28"/>
      <c r="CM97" s="28"/>
      <c r="CO97" s="29"/>
      <c r="CP97" s="28"/>
      <c r="CQ97" s="28"/>
      <c r="CR97" s="28"/>
      <c r="CS97" s="28"/>
      <c r="CT97" s="28"/>
      <c r="CU97" s="28"/>
      <c r="CW97" s="68"/>
      <c r="CX97" s="69" t="str">
        <f>견적관리자용!$S$9</f>
        <v>승용SUV(~5인)</v>
      </c>
      <c r="CY97" s="70">
        <v>0</v>
      </c>
      <c r="CZ97" s="71">
        <f>IF($CI$9&gt;50000000,6%,0%)</f>
        <v>0.06</v>
      </c>
      <c r="DA97" s="71">
        <f>IF($CI$9&gt;50000000,6%,0%)</f>
        <v>0.06</v>
      </c>
      <c r="DB97" s="71">
        <f>IF($CI$9&gt;50000000,8%,0%)</f>
        <v>0.08</v>
      </c>
      <c r="DC97" s="71">
        <v>0.12</v>
      </c>
      <c r="DD97" s="72">
        <f t="shared" si="4"/>
        <v>0</v>
      </c>
      <c r="DE97" s="73">
        <v>94</v>
      </c>
      <c r="DF97" s="72">
        <f t="shared" si="3"/>
        <v>0</v>
      </c>
      <c r="DG97" s="166"/>
      <c r="DJ97" s="25"/>
      <c r="DK97" s="25"/>
      <c r="DL97" s="25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  <c r="EG97" s="24"/>
      <c r="EH97" s="24"/>
      <c r="EI97" s="24"/>
      <c r="EJ97" s="24"/>
      <c r="EK97" s="24"/>
      <c r="EL97" s="24"/>
      <c r="EM97" s="24"/>
      <c r="EN97" s="24"/>
      <c r="EO97" s="24"/>
      <c r="EP97" s="24"/>
      <c r="EQ97" s="24"/>
      <c r="ER97" s="24"/>
      <c r="ES97" s="24"/>
      <c r="ET97" s="24"/>
      <c r="EU97" s="24"/>
      <c r="EV97" s="24"/>
      <c r="EW97" s="24"/>
      <c r="EX97" s="24"/>
      <c r="EY97" s="24"/>
      <c r="EZ97" s="24"/>
      <c r="FA97" s="24"/>
      <c r="FB97" s="24"/>
      <c r="FC97" s="24"/>
      <c r="FD97" s="24"/>
      <c r="FE97" s="24"/>
      <c r="FF97" s="24"/>
      <c r="FG97" s="24"/>
      <c r="FH97" s="24"/>
      <c r="FI97" s="24"/>
      <c r="FJ97" s="24"/>
      <c r="FK97" s="24"/>
      <c r="FL97" s="24"/>
      <c r="FM97" s="24"/>
      <c r="FN97" s="24"/>
      <c r="FO97" s="24"/>
      <c r="FP97" s="24"/>
      <c r="FQ97" s="24"/>
      <c r="FR97" s="24"/>
      <c r="FS97" s="24"/>
      <c r="FT97" s="24"/>
      <c r="FU97" s="24"/>
      <c r="FV97" s="24"/>
      <c r="FW97" s="24"/>
      <c r="FX97" s="24"/>
      <c r="FY97" s="24"/>
      <c r="FZ97" s="24"/>
      <c r="GA97" s="24"/>
      <c r="GB97" s="24"/>
      <c r="GC97" s="24"/>
      <c r="GD97" s="24"/>
      <c r="GE97" s="24"/>
      <c r="GF97" s="24"/>
      <c r="GG97" s="24"/>
      <c r="GH97" s="24"/>
      <c r="GI97" s="24"/>
      <c r="GJ97" s="24"/>
      <c r="GK97" s="24"/>
      <c r="GL97" s="24"/>
      <c r="GM97" s="24"/>
      <c r="GN97" s="24"/>
      <c r="GO97" s="24"/>
      <c r="GP97" s="24"/>
      <c r="GQ97" s="24"/>
      <c r="GR97" s="24"/>
      <c r="GS97" s="24"/>
      <c r="GT97" s="24"/>
      <c r="GU97" s="24"/>
      <c r="GV97" s="24"/>
      <c r="GW97" s="24"/>
      <c r="GX97" s="24"/>
      <c r="GY97" s="24"/>
      <c r="GZ97" s="24"/>
      <c r="HA97" s="24"/>
      <c r="HB97" s="24"/>
      <c r="HC97" s="24"/>
      <c r="HD97" s="24"/>
      <c r="HE97" s="24"/>
      <c r="HF97" s="24"/>
      <c r="HG97" s="24"/>
      <c r="HH97" s="24"/>
      <c r="HI97" s="24"/>
      <c r="HJ97" s="24"/>
      <c r="HK97" s="24"/>
      <c r="HL97" s="24"/>
      <c r="HM97" s="24"/>
      <c r="HN97" s="24"/>
      <c r="HO97" s="24"/>
      <c r="HP97" s="24"/>
      <c r="HQ97" s="24"/>
      <c r="HR97" s="24"/>
      <c r="HS97" s="24"/>
      <c r="HT97" s="24"/>
      <c r="HU97" s="24"/>
      <c r="HV97" s="24"/>
      <c r="HW97" s="24"/>
      <c r="HX97" s="24"/>
      <c r="HY97" s="24"/>
      <c r="HZ97" s="24"/>
      <c r="IA97" s="24"/>
      <c r="IB97" s="24"/>
      <c r="IC97" s="24"/>
      <c r="ID97" s="24"/>
      <c r="IE97" s="24"/>
      <c r="IF97" s="24"/>
      <c r="IG97" s="24"/>
      <c r="IH97" s="24"/>
      <c r="II97" s="24"/>
      <c r="IJ97" s="24"/>
      <c r="IK97" s="24"/>
      <c r="IL97" s="24"/>
      <c r="IM97" s="24"/>
      <c r="IN97" s="24"/>
      <c r="IO97" s="24"/>
      <c r="IP97" s="24"/>
      <c r="IQ97" s="24"/>
      <c r="IR97" s="24"/>
      <c r="IS97" s="24"/>
      <c r="IT97" s="24"/>
      <c r="IU97" s="24"/>
      <c r="IV97" s="24"/>
      <c r="IW97" s="24"/>
      <c r="IX97" s="24"/>
      <c r="IY97" s="24"/>
      <c r="IZ97" s="24"/>
      <c r="JA97" s="24"/>
      <c r="JB97" s="24"/>
      <c r="JC97" s="24"/>
      <c r="JD97" s="24"/>
      <c r="JE97" s="24"/>
      <c r="JF97" s="24"/>
      <c r="JG97" s="24"/>
      <c r="JH97" s="24"/>
      <c r="JI97" s="24"/>
      <c r="JJ97" s="24"/>
      <c r="JK97" s="24"/>
      <c r="JL97" s="24"/>
      <c r="JM97" s="24"/>
      <c r="JN97" s="24"/>
      <c r="JO97" s="24"/>
      <c r="JP97" s="24"/>
      <c r="JQ97" s="24"/>
      <c r="JR97" s="24"/>
      <c r="JS97" s="24"/>
      <c r="JT97" s="24"/>
      <c r="JU97" s="24"/>
      <c r="JV97" s="24"/>
      <c r="JW97" s="24"/>
      <c r="JX97" s="24"/>
      <c r="JY97" s="24"/>
      <c r="JZ97" s="24"/>
      <c r="KA97" s="24"/>
      <c r="KB97" s="24"/>
      <c r="KC97" s="24"/>
      <c r="KD97" s="24"/>
      <c r="KE97" s="24"/>
      <c r="KF97" s="24"/>
      <c r="KG97" s="24"/>
      <c r="KH97" s="24"/>
      <c r="KI97" s="24"/>
      <c r="KJ97" s="24"/>
      <c r="KK97" s="24"/>
      <c r="KL97" s="24"/>
    </row>
    <row r="98" spans="1:298" s="26" customFormat="1" ht="15.95" hidden="1" customHeight="1" x14ac:dyDescent="0.3">
      <c r="A98" s="172"/>
      <c r="B98" s="172"/>
      <c r="C98" s="172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4"/>
      <c r="BZ98" s="172"/>
      <c r="CA98" s="172"/>
      <c r="CB98" s="24"/>
      <c r="CC98" s="25"/>
      <c r="CH98" s="27"/>
      <c r="CL98" s="28"/>
      <c r="CM98" s="28"/>
      <c r="CO98" s="29"/>
      <c r="CP98" s="28"/>
      <c r="CQ98" s="28"/>
      <c r="CR98" s="28"/>
      <c r="CS98" s="28"/>
      <c r="CT98" s="28"/>
      <c r="CU98" s="28"/>
      <c r="CW98" s="68"/>
      <c r="CX98" s="69" t="str">
        <f>견적관리자용!$S$10</f>
        <v>승용SUV(7~10인)</v>
      </c>
      <c r="CY98" s="70">
        <v>0</v>
      </c>
      <c r="CZ98" s="71">
        <v>0.06</v>
      </c>
      <c r="DA98" s="71">
        <v>0.06</v>
      </c>
      <c r="DB98" s="71">
        <v>0.08</v>
      </c>
      <c r="DC98" s="71">
        <v>0.12</v>
      </c>
      <c r="DD98" s="72">
        <f t="shared" si="4"/>
        <v>0</v>
      </c>
      <c r="DE98" s="73">
        <v>95</v>
      </c>
      <c r="DF98" s="72">
        <f t="shared" si="3"/>
        <v>0</v>
      </c>
      <c r="DG98" s="166"/>
      <c r="DJ98" s="25"/>
      <c r="DK98" s="25"/>
      <c r="DL98" s="25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4"/>
      <c r="EP98" s="24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4"/>
      <c r="FC98" s="24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4"/>
      <c r="FP98" s="24"/>
      <c r="FQ98" s="24"/>
      <c r="FR98" s="24"/>
      <c r="FS98" s="24"/>
      <c r="FT98" s="24"/>
      <c r="FU98" s="24"/>
      <c r="FV98" s="24"/>
      <c r="FW98" s="24"/>
      <c r="FX98" s="24"/>
      <c r="FY98" s="24"/>
      <c r="FZ98" s="24"/>
      <c r="GA98" s="24"/>
      <c r="GB98" s="24"/>
      <c r="GC98" s="24"/>
      <c r="GD98" s="24"/>
      <c r="GE98" s="24"/>
      <c r="GF98" s="24"/>
      <c r="GG98" s="24"/>
      <c r="GH98" s="24"/>
      <c r="GI98" s="24"/>
      <c r="GJ98" s="24"/>
      <c r="GK98" s="24"/>
      <c r="GL98" s="24"/>
      <c r="GM98" s="24"/>
      <c r="GN98" s="24"/>
      <c r="GO98" s="24"/>
      <c r="GP98" s="24"/>
      <c r="GQ98" s="24"/>
      <c r="GR98" s="24"/>
      <c r="GS98" s="24"/>
      <c r="GT98" s="24"/>
      <c r="GU98" s="24"/>
      <c r="GV98" s="24"/>
      <c r="GW98" s="24"/>
      <c r="GX98" s="24"/>
      <c r="GY98" s="24"/>
      <c r="GZ98" s="24"/>
      <c r="HA98" s="24"/>
      <c r="HB98" s="24"/>
      <c r="HC98" s="24"/>
      <c r="HD98" s="24"/>
      <c r="HE98" s="24"/>
      <c r="HF98" s="24"/>
      <c r="HG98" s="24"/>
      <c r="HH98" s="24"/>
      <c r="HI98" s="24"/>
      <c r="HJ98" s="24"/>
      <c r="HK98" s="24"/>
      <c r="HL98" s="24"/>
      <c r="HM98" s="24"/>
      <c r="HN98" s="24"/>
      <c r="HO98" s="24"/>
      <c r="HP98" s="24"/>
      <c r="HQ98" s="24"/>
      <c r="HR98" s="24"/>
      <c r="HS98" s="24"/>
      <c r="HT98" s="24"/>
      <c r="HU98" s="24"/>
      <c r="HV98" s="24"/>
      <c r="HW98" s="24"/>
      <c r="HX98" s="24"/>
      <c r="HY98" s="24"/>
      <c r="HZ98" s="24"/>
      <c r="IA98" s="24"/>
      <c r="IB98" s="24"/>
      <c r="IC98" s="24"/>
      <c r="ID98" s="24"/>
      <c r="IE98" s="24"/>
      <c r="IF98" s="24"/>
      <c r="IG98" s="24"/>
      <c r="IH98" s="24"/>
      <c r="II98" s="24"/>
      <c r="IJ98" s="24"/>
      <c r="IK98" s="24"/>
      <c r="IL98" s="24"/>
      <c r="IM98" s="24"/>
      <c r="IN98" s="24"/>
      <c r="IO98" s="24"/>
      <c r="IP98" s="24"/>
      <c r="IQ98" s="24"/>
      <c r="IR98" s="24"/>
      <c r="IS98" s="24"/>
      <c r="IT98" s="24"/>
      <c r="IU98" s="24"/>
      <c r="IV98" s="24"/>
      <c r="IW98" s="24"/>
      <c r="IX98" s="24"/>
      <c r="IY98" s="24"/>
      <c r="IZ98" s="24"/>
      <c r="JA98" s="24"/>
      <c r="JB98" s="24"/>
      <c r="JC98" s="24"/>
      <c r="JD98" s="24"/>
      <c r="JE98" s="24"/>
      <c r="JF98" s="24"/>
      <c r="JG98" s="24"/>
      <c r="JH98" s="24"/>
      <c r="JI98" s="24"/>
      <c r="JJ98" s="24"/>
      <c r="JK98" s="24"/>
      <c r="JL98" s="24"/>
      <c r="JM98" s="24"/>
      <c r="JN98" s="24"/>
      <c r="JO98" s="24"/>
      <c r="JP98" s="24"/>
      <c r="JQ98" s="24"/>
      <c r="JR98" s="24"/>
      <c r="JS98" s="24"/>
      <c r="JT98" s="24"/>
      <c r="JU98" s="24"/>
      <c r="JV98" s="24"/>
      <c r="JW98" s="24"/>
      <c r="JX98" s="24"/>
      <c r="JY98" s="24"/>
      <c r="JZ98" s="24"/>
      <c r="KA98" s="24"/>
      <c r="KB98" s="24"/>
      <c r="KC98" s="24"/>
      <c r="KD98" s="24"/>
      <c r="KE98" s="24"/>
      <c r="KF98" s="24"/>
      <c r="KG98" s="24"/>
      <c r="KH98" s="24"/>
      <c r="KI98" s="24"/>
      <c r="KJ98" s="24"/>
      <c r="KK98" s="24"/>
      <c r="KL98" s="24"/>
    </row>
    <row r="99" spans="1:298" s="26" customFormat="1" ht="15.95" hidden="1" customHeight="1" x14ac:dyDescent="0.3">
      <c r="A99" s="172"/>
      <c r="B99" s="172"/>
      <c r="C99" s="172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3"/>
      <c r="AR99" s="173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4"/>
      <c r="BZ99" s="172"/>
      <c r="CA99" s="172"/>
      <c r="CB99" s="24"/>
      <c r="CC99" s="25"/>
      <c r="CH99" s="27"/>
      <c r="CL99" s="28"/>
      <c r="CM99" s="28"/>
      <c r="CO99" s="29"/>
      <c r="CP99" s="28"/>
      <c r="CQ99" s="28"/>
      <c r="CR99" s="28"/>
      <c r="CS99" s="28"/>
      <c r="CT99" s="28"/>
      <c r="CU99" s="28"/>
      <c r="CW99" s="68"/>
      <c r="CX99" s="69" t="str">
        <f>견적관리자용!$S$11</f>
        <v>승합(11~15인)</v>
      </c>
      <c r="CY99" s="70">
        <v>0</v>
      </c>
      <c r="CZ99" s="125">
        <v>0.03</v>
      </c>
      <c r="DA99" s="125">
        <v>0.03</v>
      </c>
      <c r="DB99" s="125">
        <v>0.03</v>
      </c>
      <c r="DC99" s="125">
        <v>0.03</v>
      </c>
      <c r="DD99" s="72">
        <f t="shared" si="4"/>
        <v>0</v>
      </c>
      <c r="DE99" s="73">
        <v>96</v>
      </c>
      <c r="DF99" s="72">
        <f t="shared" si="3"/>
        <v>0</v>
      </c>
      <c r="DG99" s="166"/>
      <c r="DJ99" s="25"/>
      <c r="DK99" s="25"/>
      <c r="DL99" s="25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  <c r="EG99" s="24"/>
      <c r="EH99" s="24"/>
      <c r="EI99" s="24"/>
      <c r="EJ99" s="24"/>
      <c r="EK99" s="24"/>
      <c r="EL99" s="24"/>
      <c r="EM99" s="24"/>
      <c r="EN99" s="24"/>
      <c r="EO99" s="24"/>
      <c r="EP99" s="24"/>
      <c r="EQ99" s="24"/>
      <c r="ER99" s="24"/>
      <c r="ES99" s="24"/>
      <c r="ET99" s="24"/>
      <c r="EU99" s="24"/>
      <c r="EV99" s="24"/>
      <c r="EW99" s="24"/>
      <c r="EX99" s="24"/>
      <c r="EY99" s="24"/>
      <c r="EZ99" s="24"/>
      <c r="FA99" s="24"/>
      <c r="FB99" s="24"/>
      <c r="FC99" s="24"/>
      <c r="FD99" s="24"/>
      <c r="FE99" s="24"/>
      <c r="FF99" s="24"/>
      <c r="FG99" s="24"/>
      <c r="FH99" s="24"/>
      <c r="FI99" s="24"/>
      <c r="FJ99" s="24"/>
      <c r="FK99" s="24"/>
      <c r="FL99" s="24"/>
      <c r="FM99" s="24"/>
      <c r="FN99" s="24"/>
      <c r="FO99" s="24"/>
      <c r="FP99" s="24"/>
      <c r="FQ99" s="24"/>
      <c r="FR99" s="24"/>
      <c r="FS99" s="24"/>
      <c r="FT99" s="24"/>
      <c r="FU99" s="24"/>
      <c r="FV99" s="24"/>
      <c r="FW99" s="24"/>
      <c r="FX99" s="24"/>
      <c r="FY99" s="24"/>
      <c r="FZ99" s="24"/>
      <c r="GA99" s="24"/>
      <c r="GB99" s="24"/>
      <c r="GC99" s="24"/>
      <c r="GD99" s="24"/>
      <c r="GE99" s="24"/>
      <c r="GF99" s="24"/>
      <c r="GG99" s="24"/>
      <c r="GH99" s="24"/>
      <c r="GI99" s="24"/>
      <c r="GJ99" s="24"/>
      <c r="GK99" s="24"/>
      <c r="GL99" s="24"/>
      <c r="GM99" s="24"/>
      <c r="GN99" s="24"/>
      <c r="GO99" s="24"/>
      <c r="GP99" s="24"/>
      <c r="GQ99" s="24"/>
      <c r="GR99" s="24"/>
      <c r="GS99" s="24"/>
      <c r="GT99" s="24"/>
      <c r="GU99" s="24"/>
      <c r="GV99" s="24"/>
      <c r="GW99" s="24"/>
      <c r="GX99" s="24"/>
      <c r="GY99" s="24"/>
      <c r="GZ99" s="24"/>
      <c r="HA99" s="24"/>
      <c r="HB99" s="24"/>
      <c r="HC99" s="24"/>
      <c r="HD99" s="24"/>
      <c r="HE99" s="24"/>
      <c r="HF99" s="24"/>
      <c r="HG99" s="24"/>
      <c r="HH99" s="24"/>
      <c r="HI99" s="24"/>
      <c r="HJ99" s="24"/>
      <c r="HK99" s="24"/>
      <c r="HL99" s="24"/>
      <c r="HM99" s="24"/>
      <c r="HN99" s="24"/>
      <c r="HO99" s="24"/>
      <c r="HP99" s="24"/>
      <c r="HQ99" s="24"/>
      <c r="HR99" s="24"/>
      <c r="HS99" s="24"/>
      <c r="HT99" s="24"/>
      <c r="HU99" s="24"/>
      <c r="HV99" s="24"/>
      <c r="HW99" s="24"/>
      <c r="HX99" s="24"/>
      <c r="HY99" s="24"/>
      <c r="HZ99" s="24"/>
      <c r="IA99" s="24"/>
      <c r="IB99" s="24"/>
      <c r="IC99" s="24"/>
      <c r="ID99" s="24"/>
      <c r="IE99" s="24"/>
      <c r="IF99" s="24"/>
      <c r="IG99" s="24"/>
      <c r="IH99" s="24"/>
      <c r="II99" s="24"/>
      <c r="IJ99" s="24"/>
      <c r="IK99" s="24"/>
      <c r="IL99" s="24"/>
      <c r="IM99" s="24"/>
      <c r="IN99" s="24"/>
      <c r="IO99" s="24"/>
      <c r="IP99" s="24"/>
      <c r="IQ99" s="24"/>
      <c r="IR99" s="24"/>
      <c r="IS99" s="24"/>
      <c r="IT99" s="24"/>
      <c r="IU99" s="24"/>
      <c r="IV99" s="24"/>
      <c r="IW99" s="24"/>
      <c r="IX99" s="24"/>
      <c r="IY99" s="24"/>
      <c r="IZ99" s="24"/>
      <c r="JA99" s="24"/>
      <c r="JB99" s="24"/>
      <c r="JC99" s="24"/>
      <c r="JD99" s="24"/>
      <c r="JE99" s="24"/>
      <c r="JF99" s="24"/>
      <c r="JG99" s="24"/>
      <c r="JH99" s="24"/>
      <c r="JI99" s="24"/>
      <c r="JJ99" s="24"/>
      <c r="JK99" s="24"/>
      <c r="JL99" s="24"/>
      <c r="JM99" s="24"/>
      <c r="JN99" s="24"/>
      <c r="JO99" s="24"/>
      <c r="JP99" s="24"/>
      <c r="JQ99" s="24"/>
      <c r="JR99" s="24"/>
      <c r="JS99" s="24"/>
      <c r="JT99" s="24"/>
      <c r="JU99" s="24"/>
      <c r="JV99" s="24"/>
      <c r="JW99" s="24"/>
      <c r="JX99" s="24"/>
      <c r="JY99" s="24"/>
      <c r="JZ99" s="24"/>
      <c r="KA99" s="24"/>
      <c r="KB99" s="24"/>
      <c r="KC99" s="24"/>
      <c r="KD99" s="24"/>
      <c r="KE99" s="24"/>
      <c r="KF99" s="24"/>
      <c r="KG99" s="24"/>
      <c r="KH99" s="24"/>
      <c r="KI99" s="24"/>
      <c r="KJ99" s="24"/>
      <c r="KK99" s="24"/>
      <c r="KL99" s="24"/>
    </row>
    <row r="100" spans="1:298" s="26" customFormat="1" ht="15.95" hidden="1" customHeight="1" x14ac:dyDescent="0.3">
      <c r="A100" s="172"/>
      <c r="B100" s="172"/>
      <c r="C100" s="172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3"/>
      <c r="AR100" s="173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4"/>
      <c r="BZ100" s="172"/>
      <c r="CA100" s="172"/>
      <c r="CB100" s="24"/>
      <c r="CC100" s="25"/>
      <c r="CH100" s="27"/>
      <c r="CL100" s="28"/>
      <c r="CM100" s="28"/>
      <c r="CO100" s="29"/>
      <c r="CP100" s="28"/>
      <c r="CQ100" s="28"/>
      <c r="CR100" s="28"/>
      <c r="CS100" s="28"/>
      <c r="CT100" s="28"/>
      <c r="CU100" s="28"/>
      <c r="CW100" s="68"/>
      <c r="CX100" s="69" t="str">
        <f>견적관리자용!$S$12</f>
        <v>화물(1000cc 미만)</v>
      </c>
      <c r="CY100" s="70">
        <v>0</v>
      </c>
      <c r="CZ100" s="70">
        <v>0</v>
      </c>
      <c r="DA100" s="70">
        <v>0</v>
      </c>
      <c r="DB100" s="70">
        <v>0</v>
      </c>
      <c r="DC100" s="70">
        <v>0</v>
      </c>
      <c r="DD100" s="72">
        <f t="shared" si="4"/>
        <v>0</v>
      </c>
      <c r="DE100" s="73">
        <v>97</v>
      </c>
      <c r="DF100" s="72">
        <f t="shared" si="3"/>
        <v>0</v>
      </c>
      <c r="DG100" s="166"/>
      <c r="DJ100" s="25"/>
      <c r="DK100" s="25"/>
      <c r="DL100" s="25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4"/>
      <c r="EP100" s="24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4"/>
      <c r="FC100" s="24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4"/>
      <c r="FP100" s="24"/>
      <c r="FQ100" s="24"/>
      <c r="FR100" s="24"/>
      <c r="FS100" s="24"/>
      <c r="FT100" s="24"/>
      <c r="FU100" s="24"/>
      <c r="FV100" s="24"/>
      <c r="FW100" s="24"/>
      <c r="FX100" s="24"/>
      <c r="FY100" s="24"/>
      <c r="FZ100" s="24"/>
      <c r="GA100" s="24"/>
      <c r="GB100" s="24"/>
      <c r="GC100" s="24"/>
      <c r="GD100" s="24"/>
      <c r="GE100" s="24"/>
      <c r="GF100" s="24"/>
      <c r="GG100" s="24"/>
      <c r="GH100" s="24"/>
      <c r="GI100" s="24"/>
      <c r="GJ100" s="24"/>
      <c r="GK100" s="24"/>
      <c r="GL100" s="24"/>
      <c r="GM100" s="24"/>
      <c r="GN100" s="24"/>
      <c r="GO100" s="24"/>
      <c r="GP100" s="24"/>
      <c r="GQ100" s="24"/>
      <c r="GR100" s="24"/>
      <c r="GS100" s="24"/>
      <c r="GT100" s="24"/>
      <c r="GU100" s="24"/>
      <c r="GV100" s="24"/>
      <c r="GW100" s="24"/>
      <c r="GX100" s="24"/>
      <c r="GY100" s="24"/>
      <c r="GZ100" s="24"/>
      <c r="HA100" s="24"/>
      <c r="HB100" s="24"/>
      <c r="HC100" s="24"/>
      <c r="HD100" s="24"/>
      <c r="HE100" s="24"/>
      <c r="HF100" s="24"/>
      <c r="HG100" s="24"/>
      <c r="HH100" s="24"/>
      <c r="HI100" s="24"/>
      <c r="HJ100" s="24"/>
      <c r="HK100" s="24"/>
      <c r="HL100" s="24"/>
      <c r="HM100" s="24"/>
      <c r="HN100" s="24"/>
      <c r="HO100" s="24"/>
      <c r="HP100" s="24"/>
      <c r="HQ100" s="24"/>
      <c r="HR100" s="24"/>
      <c r="HS100" s="24"/>
      <c r="HT100" s="24"/>
      <c r="HU100" s="24"/>
      <c r="HV100" s="24"/>
      <c r="HW100" s="24"/>
      <c r="HX100" s="24"/>
      <c r="HY100" s="24"/>
      <c r="HZ100" s="24"/>
      <c r="IA100" s="24"/>
      <c r="IB100" s="24"/>
      <c r="IC100" s="24"/>
      <c r="ID100" s="24"/>
      <c r="IE100" s="24"/>
      <c r="IF100" s="24"/>
      <c r="IG100" s="24"/>
      <c r="IH100" s="24"/>
      <c r="II100" s="24"/>
      <c r="IJ100" s="24"/>
      <c r="IK100" s="24"/>
      <c r="IL100" s="24"/>
      <c r="IM100" s="24"/>
      <c r="IN100" s="24"/>
      <c r="IO100" s="24"/>
      <c r="IP100" s="24"/>
      <c r="IQ100" s="24"/>
      <c r="IR100" s="24"/>
      <c r="IS100" s="24"/>
      <c r="IT100" s="24"/>
      <c r="IU100" s="24"/>
      <c r="IV100" s="24"/>
      <c r="IW100" s="24"/>
      <c r="IX100" s="24"/>
      <c r="IY100" s="24"/>
      <c r="IZ100" s="24"/>
      <c r="JA100" s="24"/>
      <c r="JB100" s="24"/>
      <c r="JC100" s="24"/>
      <c r="JD100" s="24"/>
      <c r="JE100" s="24"/>
      <c r="JF100" s="24"/>
      <c r="JG100" s="24"/>
      <c r="JH100" s="24"/>
      <c r="JI100" s="24"/>
      <c r="JJ100" s="24"/>
      <c r="JK100" s="24"/>
      <c r="JL100" s="24"/>
      <c r="JM100" s="24"/>
      <c r="JN100" s="24"/>
      <c r="JO100" s="24"/>
      <c r="JP100" s="24"/>
      <c r="JQ100" s="24"/>
      <c r="JR100" s="24"/>
      <c r="JS100" s="24"/>
      <c r="JT100" s="24"/>
      <c r="JU100" s="24"/>
      <c r="JV100" s="24"/>
      <c r="JW100" s="24"/>
      <c r="JX100" s="24"/>
      <c r="JY100" s="24"/>
      <c r="JZ100" s="24"/>
      <c r="KA100" s="24"/>
      <c r="KB100" s="24"/>
      <c r="KC100" s="24"/>
      <c r="KD100" s="24"/>
      <c r="KE100" s="24"/>
      <c r="KF100" s="24"/>
      <c r="KG100" s="24"/>
      <c r="KH100" s="24"/>
      <c r="KI100" s="24"/>
      <c r="KJ100" s="24"/>
      <c r="KK100" s="24"/>
      <c r="KL100" s="24"/>
    </row>
    <row r="101" spans="1:298" s="26" customFormat="1" ht="15.95" hidden="1" customHeight="1" x14ac:dyDescent="0.3">
      <c r="A101" s="172"/>
      <c r="B101" s="172"/>
      <c r="C101" s="172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4"/>
      <c r="BZ101" s="172"/>
      <c r="CA101" s="172"/>
      <c r="CB101" s="24"/>
      <c r="CC101" s="25"/>
      <c r="CH101" s="27"/>
      <c r="CL101" s="28"/>
      <c r="CM101" s="28"/>
      <c r="CO101" s="29"/>
      <c r="CP101" s="28"/>
      <c r="CQ101" s="28"/>
      <c r="CR101" s="28"/>
      <c r="CS101" s="28"/>
      <c r="CT101" s="28"/>
      <c r="CU101" s="28"/>
      <c r="CW101" s="85"/>
      <c r="CX101" s="69" t="str">
        <f>견적관리자용!$S$13</f>
        <v>화물(0.6톤 미만)</v>
      </c>
      <c r="CY101" s="70">
        <v>0</v>
      </c>
      <c r="CZ101" s="125">
        <v>1.4999999999999999E-2</v>
      </c>
      <c r="DA101" s="125">
        <v>1.4999999999999999E-2</v>
      </c>
      <c r="DB101" s="125">
        <v>1.4999999999999999E-2</v>
      </c>
      <c r="DC101" s="125">
        <v>1.4999999999999999E-2</v>
      </c>
      <c r="DD101" s="72">
        <f t="shared" si="4"/>
        <v>0</v>
      </c>
      <c r="DE101" s="73">
        <v>98</v>
      </c>
      <c r="DF101" s="72">
        <f t="shared" si="3"/>
        <v>0</v>
      </c>
      <c r="DG101" s="166"/>
      <c r="DJ101" s="25"/>
      <c r="DK101" s="25"/>
      <c r="DL101" s="25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  <c r="EG101" s="24"/>
      <c r="EH101" s="24"/>
      <c r="EI101" s="24"/>
      <c r="EJ101" s="24"/>
      <c r="EK101" s="24"/>
      <c r="EL101" s="24"/>
      <c r="EM101" s="24"/>
      <c r="EN101" s="24"/>
      <c r="EO101" s="24"/>
      <c r="EP101" s="24"/>
      <c r="EQ101" s="24"/>
      <c r="ER101" s="24"/>
      <c r="ES101" s="24"/>
      <c r="ET101" s="24"/>
      <c r="EU101" s="24"/>
      <c r="EV101" s="24"/>
      <c r="EW101" s="24"/>
      <c r="EX101" s="24"/>
      <c r="EY101" s="24"/>
      <c r="EZ101" s="24"/>
      <c r="FA101" s="24"/>
      <c r="FB101" s="24"/>
      <c r="FC101" s="24"/>
      <c r="FD101" s="24"/>
      <c r="FE101" s="24"/>
      <c r="FF101" s="24"/>
      <c r="FG101" s="24"/>
      <c r="FH101" s="24"/>
      <c r="FI101" s="24"/>
      <c r="FJ101" s="24"/>
      <c r="FK101" s="24"/>
      <c r="FL101" s="24"/>
      <c r="FM101" s="24"/>
      <c r="FN101" s="24"/>
      <c r="FO101" s="24"/>
      <c r="FP101" s="24"/>
      <c r="FQ101" s="24"/>
      <c r="FR101" s="24"/>
      <c r="FS101" s="24"/>
      <c r="FT101" s="24"/>
      <c r="FU101" s="24"/>
      <c r="FV101" s="24"/>
      <c r="FW101" s="24"/>
      <c r="FX101" s="24"/>
      <c r="FY101" s="24"/>
      <c r="FZ101" s="24"/>
      <c r="GA101" s="24"/>
      <c r="GB101" s="24"/>
      <c r="GC101" s="24"/>
      <c r="GD101" s="24"/>
      <c r="GE101" s="24"/>
      <c r="GF101" s="24"/>
      <c r="GG101" s="24"/>
      <c r="GH101" s="24"/>
      <c r="GI101" s="24"/>
      <c r="GJ101" s="24"/>
      <c r="GK101" s="24"/>
      <c r="GL101" s="24"/>
      <c r="GM101" s="24"/>
      <c r="GN101" s="24"/>
      <c r="GO101" s="24"/>
      <c r="GP101" s="24"/>
      <c r="GQ101" s="24"/>
      <c r="GR101" s="24"/>
      <c r="GS101" s="24"/>
      <c r="GT101" s="24"/>
      <c r="GU101" s="24"/>
      <c r="GV101" s="24"/>
      <c r="GW101" s="24"/>
      <c r="GX101" s="24"/>
      <c r="GY101" s="24"/>
      <c r="GZ101" s="24"/>
      <c r="HA101" s="24"/>
      <c r="HB101" s="24"/>
      <c r="HC101" s="24"/>
      <c r="HD101" s="24"/>
      <c r="HE101" s="24"/>
      <c r="HF101" s="24"/>
      <c r="HG101" s="24"/>
      <c r="HH101" s="24"/>
      <c r="HI101" s="24"/>
      <c r="HJ101" s="24"/>
      <c r="HK101" s="24"/>
      <c r="HL101" s="24"/>
      <c r="HM101" s="24"/>
      <c r="HN101" s="24"/>
      <c r="HO101" s="24"/>
      <c r="HP101" s="24"/>
      <c r="HQ101" s="24"/>
      <c r="HR101" s="24"/>
      <c r="HS101" s="24"/>
      <c r="HT101" s="24"/>
      <c r="HU101" s="24"/>
      <c r="HV101" s="24"/>
      <c r="HW101" s="24"/>
      <c r="HX101" s="24"/>
      <c r="HY101" s="24"/>
      <c r="HZ101" s="24"/>
      <c r="IA101" s="24"/>
      <c r="IB101" s="24"/>
      <c r="IC101" s="24"/>
      <c r="ID101" s="24"/>
      <c r="IE101" s="24"/>
      <c r="IF101" s="24"/>
      <c r="IG101" s="24"/>
      <c r="IH101" s="24"/>
      <c r="II101" s="24"/>
      <c r="IJ101" s="24"/>
      <c r="IK101" s="24"/>
      <c r="IL101" s="24"/>
      <c r="IM101" s="24"/>
      <c r="IN101" s="24"/>
      <c r="IO101" s="24"/>
      <c r="IP101" s="24"/>
      <c r="IQ101" s="24"/>
      <c r="IR101" s="24"/>
      <c r="IS101" s="24"/>
      <c r="IT101" s="24"/>
      <c r="IU101" s="24"/>
      <c r="IV101" s="24"/>
      <c r="IW101" s="24"/>
      <c r="IX101" s="24"/>
      <c r="IY101" s="24"/>
      <c r="IZ101" s="24"/>
      <c r="JA101" s="24"/>
      <c r="JB101" s="24"/>
      <c r="JC101" s="24"/>
      <c r="JD101" s="24"/>
      <c r="JE101" s="24"/>
      <c r="JF101" s="24"/>
      <c r="JG101" s="24"/>
      <c r="JH101" s="24"/>
      <c r="JI101" s="24"/>
      <c r="JJ101" s="24"/>
      <c r="JK101" s="24"/>
      <c r="JL101" s="24"/>
      <c r="JM101" s="24"/>
      <c r="JN101" s="24"/>
      <c r="JO101" s="24"/>
      <c r="JP101" s="24"/>
      <c r="JQ101" s="24"/>
      <c r="JR101" s="24"/>
      <c r="JS101" s="24"/>
      <c r="JT101" s="24"/>
      <c r="JU101" s="24"/>
      <c r="JV101" s="24"/>
      <c r="JW101" s="24"/>
      <c r="JX101" s="24"/>
      <c r="JY101" s="24"/>
      <c r="JZ101" s="24"/>
      <c r="KA101" s="24"/>
      <c r="KB101" s="24"/>
      <c r="KC101" s="24"/>
      <c r="KD101" s="24"/>
      <c r="KE101" s="24"/>
      <c r="KF101" s="24"/>
      <c r="KG101" s="24"/>
      <c r="KH101" s="24"/>
      <c r="KI101" s="24"/>
      <c r="KJ101" s="24"/>
      <c r="KK101" s="24"/>
      <c r="KL101" s="24"/>
    </row>
    <row r="102" spans="1:298" s="26" customFormat="1" ht="15.95" hidden="1" customHeight="1" x14ac:dyDescent="0.3">
      <c r="A102" s="172"/>
      <c r="B102" s="172"/>
      <c r="C102" s="172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4"/>
      <c r="BZ102" s="172"/>
      <c r="CA102" s="172"/>
      <c r="CB102" s="24"/>
      <c r="CC102" s="25"/>
      <c r="CH102" s="27"/>
      <c r="CL102" s="28"/>
      <c r="CM102" s="28"/>
      <c r="CO102" s="29"/>
      <c r="CP102" s="28"/>
      <c r="CQ102" s="28"/>
      <c r="CR102" s="28"/>
      <c r="CS102" s="28"/>
      <c r="CT102" s="28"/>
      <c r="CU102" s="28"/>
      <c r="CW102" s="85"/>
      <c r="CX102" s="69" t="str">
        <f>견적관리자용!$S$14</f>
        <v>화물(0.6~1톤 미만)</v>
      </c>
      <c r="CY102" s="70">
        <v>0</v>
      </c>
      <c r="CZ102" s="125">
        <v>1.4999999999999999E-2</v>
      </c>
      <c r="DA102" s="125">
        <v>1.4999999999999999E-2</v>
      </c>
      <c r="DB102" s="125">
        <v>1.4999999999999999E-2</v>
      </c>
      <c r="DC102" s="125">
        <v>1.4999999999999999E-2</v>
      </c>
      <c r="DD102" s="72">
        <f t="shared" si="4"/>
        <v>0</v>
      </c>
      <c r="DE102" s="73">
        <v>99</v>
      </c>
      <c r="DF102" s="72">
        <f t="shared" si="3"/>
        <v>0</v>
      </c>
      <c r="DG102" s="166"/>
      <c r="DJ102" s="25"/>
      <c r="DK102" s="25"/>
      <c r="DL102" s="25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  <c r="HX102" s="24"/>
      <c r="HY102" s="24"/>
      <c r="HZ102" s="24"/>
      <c r="IA102" s="24"/>
      <c r="IB102" s="24"/>
      <c r="IC102" s="24"/>
      <c r="ID102" s="24"/>
      <c r="IE102" s="24"/>
      <c r="IF102" s="24"/>
      <c r="IG102" s="24"/>
      <c r="IH102" s="24"/>
      <c r="II102" s="24"/>
      <c r="IJ102" s="24"/>
      <c r="IK102" s="24"/>
      <c r="IL102" s="24"/>
      <c r="IM102" s="24"/>
      <c r="IN102" s="24"/>
      <c r="IO102" s="24"/>
      <c r="IP102" s="24"/>
      <c r="IQ102" s="24"/>
      <c r="IR102" s="24"/>
      <c r="IS102" s="24"/>
      <c r="IT102" s="24"/>
      <c r="IU102" s="24"/>
      <c r="IV102" s="24"/>
      <c r="IW102" s="24"/>
      <c r="IX102" s="24"/>
      <c r="IY102" s="24"/>
      <c r="IZ102" s="24"/>
      <c r="JA102" s="24"/>
      <c r="JB102" s="24"/>
      <c r="JC102" s="24"/>
      <c r="JD102" s="24"/>
      <c r="JE102" s="24"/>
      <c r="JF102" s="24"/>
      <c r="JG102" s="24"/>
      <c r="JH102" s="24"/>
      <c r="JI102" s="24"/>
      <c r="JJ102" s="24"/>
      <c r="JK102" s="24"/>
      <c r="JL102" s="24"/>
      <c r="JM102" s="24"/>
      <c r="JN102" s="24"/>
      <c r="JO102" s="24"/>
      <c r="JP102" s="24"/>
      <c r="JQ102" s="24"/>
      <c r="JR102" s="24"/>
      <c r="JS102" s="24"/>
      <c r="JT102" s="24"/>
      <c r="JU102" s="24"/>
      <c r="JV102" s="24"/>
      <c r="JW102" s="24"/>
      <c r="JX102" s="24"/>
      <c r="JY102" s="24"/>
      <c r="JZ102" s="24"/>
      <c r="KA102" s="24"/>
      <c r="KB102" s="24"/>
      <c r="KC102" s="24"/>
      <c r="KD102" s="24"/>
      <c r="KE102" s="24"/>
      <c r="KF102" s="24"/>
      <c r="KG102" s="24"/>
      <c r="KH102" s="24"/>
      <c r="KI102" s="24"/>
      <c r="KJ102" s="24"/>
      <c r="KK102" s="24"/>
      <c r="KL102" s="24"/>
    </row>
    <row r="103" spans="1:298" s="26" customFormat="1" ht="15.95" hidden="1" customHeight="1" x14ac:dyDescent="0.3">
      <c r="A103" s="172"/>
      <c r="B103" s="172"/>
      <c r="C103" s="172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4"/>
      <c r="BZ103" s="172"/>
      <c r="CA103" s="172"/>
      <c r="CB103" s="24"/>
      <c r="CC103" s="25"/>
      <c r="CH103" s="27"/>
      <c r="CL103" s="28"/>
      <c r="CM103" s="28"/>
      <c r="CO103" s="29"/>
      <c r="CP103" s="28"/>
      <c r="CQ103" s="28"/>
      <c r="CR103" s="28"/>
      <c r="CS103" s="28"/>
      <c r="CT103" s="28"/>
      <c r="CU103" s="28"/>
      <c r="CW103" s="85"/>
      <c r="CX103" s="69" t="str">
        <f>견적관리자용!$S$15</f>
        <v>화물(1~2.5톤 미만)</v>
      </c>
      <c r="CY103" s="70">
        <v>0</v>
      </c>
      <c r="CZ103" s="125">
        <v>0.03</v>
      </c>
      <c r="DA103" s="125">
        <v>0.03</v>
      </c>
      <c r="DB103" s="125">
        <v>0.03</v>
      </c>
      <c r="DC103" s="125">
        <v>0.03</v>
      </c>
      <c r="DD103" s="72">
        <f t="shared" si="4"/>
        <v>0</v>
      </c>
      <c r="DE103" s="73">
        <v>100</v>
      </c>
      <c r="DF103" s="72">
        <f t="shared" si="3"/>
        <v>0</v>
      </c>
      <c r="DG103" s="166"/>
      <c r="DJ103" s="25"/>
      <c r="DK103" s="25"/>
      <c r="DL103" s="25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  <c r="EG103" s="24"/>
      <c r="EH103" s="24"/>
      <c r="EI103" s="24"/>
      <c r="EJ103" s="24"/>
      <c r="EK103" s="24"/>
      <c r="EL103" s="24"/>
      <c r="EM103" s="24"/>
      <c r="EN103" s="24"/>
      <c r="EO103" s="24"/>
      <c r="EP103" s="24"/>
      <c r="EQ103" s="24"/>
      <c r="ER103" s="24"/>
      <c r="ES103" s="24"/>
      <c r="ET103" s="24"/>
      <c r="EU103" s="24"/>
      <c r="EV103" s="24"/>
      <c r="EW103" s="24"/>
      <c r="EX103" s="24"/>
      <c r="EY103" s="24"/>
      <c r="EZ103" s="24"/>
      <c r="FA103" s="24"/>
      <c r="FB103" s="24"/>
      <c r="FC103" s="24"/>
      <c r="FD103" s="24"/>
      <c r="FE103" s="24"/>
      <c r="FF103" s="24"/>
      <c r="FG103" s="24"/>
      <c r="FH103" s="24"/>
      <c r="FI103" s="24"/>
      <c r="FJ103" s="24"/>
      <c r="FK103" s="24"/>
      <c r="FL103" s="24"/>
      <c r="FM103" s="24"/>
      <c r="FN103" s="24"/>
      <c r="FO103" s="24"/>
      <c r="FP103" s="24"/>
      <c r="FQ103" s="24"/>
      <c r="FR103" s="24"/>
      <c r="FS103" s="24"/>
      <c r="FT103" s="24"/>
      <c r="FU103" s="24"/>
      <c r="FV103" s="24"/>
      <c r="FW103" s="24"/>
      <c r="FX103" s="24"/>
      <c r="FY103" s="24"/>
      <c r="FZ103" s="24"/>
      <c r="GA103" s="24"/>
      <c r="GB103" s="24"/>
      <c r="GC103" s="24"/>
      <c r="GD103" s="24"/>
      <c r="GE103" s="24"/>
      <c r="GF103" s="24"/>
      <c r="GG103" s="24"/>
      <c r="GH103" s="24"/>
      <c r="GI103" s="24"/>
      <c r="GJ103" s="24"/>
      <c r="GK103" s="24"/>
      <c r="GL103" s="24"/>
      <c r="GM103" s="24"/>
      <c r="GN103" s="24"/>
      <c r="GO103" s="24"/>
      <c r="GP103" s="24"/>
      <c r="GQ103" s="24"/>
      <c r="GR103" s="24"/>
      <c r="GS103" s="24"/>
      <c r="GT103" s="24"/>
      <c r="GU103" s="24"/>
      <c r="GV103" s="24"/>
      <c r="GW103" s="24"/>
      <c r="GX103" s="24"/>
      <c r="GY103" s="24"/>
      <c r="GZ103" s="24"/>
      <c r="HA103" s="24"/>
      <c r="HB103" s="24"/>
      <c r="HC103" s="24"/>
      <c r="HD103" s="24"/>
      <c r="HE103" s="24"/>
      <c r="HF103" s="24"/>
      <c r="HG103" s="24"/>
      <c r="HH103" s="24"/>
      <c r="HI103" s="24"/>
      <c r="HJ103" s="24"/>
      <c r="HK103" s="24"/>
      <c r="HL103" s="24"/>
      <c r="HM103" s="24"/>
      <c r="HN103" s="24"/>
      <c r="HO103" s="24"/>
      <c r="HP103" s="24"/>
      <c r="HQ103" s="24"/>
      <c r="HR103" s="24"/>
      <c r="HS103" s="24"/>
      <c r="HT103" s="24"/>
      <c r="HU103" s="24"/>
      <c r="HV103" s="24"/>
      <c r="HW103" s="24"/>
      <c r="HX103" s="24"/>
      <c r="HY103" s="24"/>
      <c r="HZ103" s="24"/>
      <c r="IA103" s="24"/>
      <c r="IB103" s="24"/>
      <c r="IC103" s="24"/>
      <c r="ID103" s="24"/>
      <c r="IE103" s="24"/>
      <c r="IF103" s="24"/>
      <c r="IG103" s="24"/>
      <c r="IH103" s="24"/>
      <c r="II103" s="24"/>
      <c r="IJ103" s="24"/>
      <c r="IK103" s="24"/>
      <c r="IL103" s="24"/>
      <c r="IM103" s="24"/>
      <c r="IN103" s="24"/>
      <c r="IO103" s="24"/>
      <c r="IP103" s="24"/>
      <c r="IQ103" s="24"/>
      <c r="IR103" s="24"/>
      <c r="IS103" s="24"/>
      <c r="IT103" s="24"/>
      <c r="IU103" s="24"/>
      <c r="IV103" s="24"/>
      <c r="IW103" s="24"/>
      <c r="IX103" s="24"/>
      <c r="IY103" s="24"/>
      <c r="IZ103" s="24"/>
      <c r="JA103" s="24"/>
      <c r="JB103" s="24"/>
      <c r="JC103" s="24"/>
      <c r="JD103" s="24"/>
      <c r="JE103" s="24"/>
      <c r="JF103" s="24"/>
      <c r="JG103" s="24"/>
      <c r="JH103" s="24"/>
      <c r="JI103" s="24"/>
      <c r="JJ103" s="24"/>
      <c r="JK103" s="24"/>
      <c r="JL103" s="24"/>
      <c r="JM103" s="24"/>
      <c r="JN103" s="24"/>
      <c r="JO103" s="24"/>
      <c r="JP103" s="24"/>
      <c r="JQ103" s="24"/>
      <c r="JR103" s="24"/>
      <c r="JS103" s="24"/>
      <c r="JT103" s="24"/>
      <c r="JU103" s="24"/>
      <c r="JV103" s="24"/>
      <c r="JW103" s="24"/>
      <c r="JX103" s="24"/>
      <c r="JY103" s="24"/>
      <c r="JZ103" s="24"/>
      <c r="KA103" s="24"/>
      <c r="KB103" s="24"/>
      <c r="KC103" s="24"/>
      <c r="KD103" s="24"/>
      <c r="KE103" s="24"/>
      <c r="KF103" s="24"/>
      <c r="KG103" s="24"/>
      <c r="KH103" s="24"/>
      <c r="KI103" s="24"/>
      <c r="KJ103" s="24"/>
      <c r="KK103" s="24"/>
      <c r="KL103" s="24"/>
    </row>
    <row r="104" spans="1:298" s="26" customFormat="1" ht="15.95" hidden="1" customHeight="1" x14ac:dyDescent="0.3">
      <c r="A104" s="172"/>
      <c r="B104" s="172"/>
      <c r="C104" s="172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4"/>
      <c r="BZ104" s="172"/>
      <c r="CA104" s="172"/>
      <c r="CB104" s="24"/>
      <c r="CC104" s="25"/>
      <c r="CH104" s="27"/>
      <c r="CL104" s="28"/>
      <c r="CM104" s="28"/>
      <c r="CO104" s="29"/>
      <c r="CP104" s="28"/>
      <c r="CQ104" s="28"/>
      <c r="CR104" s="28"/>
      <c r="CS104" s="28"/>
      <c r="CT104" s="28"/>
      <c r="CU104" s="28"/>
      <c r="CW104" s="85"/>
      <c r="CX104" s="69" t="str">
        <f>견적관리자용!$S$16</f>
        <v>화물(2.5~4.6톤 미만)</v>
      </c>
      <c r="CY104" s="70">
        <v>0</v>
      </c>
      <c r="CZ104" s="125">
        <v>0.03</v>
      </c>
      <c r="DA104" s="125">
        <v>0.03</v>
      </c>
      <c r="DB104" s="125">
        <v>0.03</v>
      </c>
      <c r="DC104" s="125">
        <v>0.03</v>
      </c>
      <c r="DD104" s="72">
        <f t="shared" si="4"/>
        <v>0</v>
      </c>
      <c r="DE104" s="73">
        <v>101</v>
      </c>
      <c r="DF104" s="72">
        <f t="shared" si="3"/>
        <v>0</v>
      </c>
      <c r="DG104" s="166"/>
      <c r="DJ104" s="25"/>
      <c r="DK104" s="25"/>
      <c r="DL104" s="25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  <c r="IV104" s="24"/>
      <c r="IW104" s="24"/>
      <c r="IX104" s="24"/>
      <c r="IY104" s="24"/>
      <c r="IZ104" s="24"/>
      <c r="JA104" s="24"/>
      <c r="JB104" s="24"/>
      <c r="JC104" s="24"/>
      <c r="JD104" s="24"/>
      <c r="JE104" s="24"/>
      <c r="JF104" s="24"/>
      <c r="JG104" s="24"/>
      <c r="JH104" s="24"/>
      <c r="JI104" s="24"/>
      <c r="JJ104" s="24"/>
      <c r="JK104" s="24"/>
      <c r="JL104" s="24"/>
      <c r="JM104" s="24"/>
      <c r="JN104" s="24"/>
      <c r="JO104" s="24"/>
      <c r="JP104" s="24"/>
      <c r="JQ104" s="24"/>
      <c r="JR104" s="24"/>
      <c r="JS104" s="24"/>
      <c r="JT104" s="24"/>
      <c r="JU104" s="24"/>
      <c r="JV104" s="24"/>
      <c r="JW104" s="24"/>
      <c r="JX104" s="24"/>
      <c r="JY104" s="24"/>
      <c r="JZ104" s="24"/>
      <c r="KA104" s="24"/>
      <c r="KB104" s="24"/>
      <c r="KC104" s="24"/>
      <c r="KD104" s="24"/>
      <c r="KE104" s="24"/>
      <c r="KF104" s="24"/>
      <c r="KG104" s="24"/>
      <c r="KH104" s="24"/>
      <c r="KI104" s="24"/>
      <c r="KJ104" s="24"/>
      <c r="KK104" s="24"/>
      <c r="KL104" s="24"/>
    </row>
    <row r="105" spans="1:298" s="26" customFormat="1" ht="15.95" hidden="1" customHeight="1" x14ac:dyDescent="0.3">
      <c r="A105" s="172"/>
      <c r="B105" s="172"/>
      <c r="C105" s="172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4"/>
      <c r="BZ105" s="172"/>
      <c r="CA105" s="172"/>
      <c r="CB105" s="24"/>
      <c r="CC105" s="25"/>
      <c r="CH105" s="27"/>
      <c r="CL105" s="28"/>
      <c r="CM105" s="28"/>
      <c r="CO105" s="29"/>
      <c r="CP105" s="28"/>
      <c r="CQ105" s="28"/>
      <c r="CR105" s="28"/>
      <c r="CS105" s="28"/>
      <c r="CT105" s="28"/>
      <c r="CU105" s="28"/>
      <c r="CW105" s="85"/>
      <c r="CX105" s="69" t="str">
        <f>견적관리자용!$S$17</f>
        <v>화물(4.6톤 이상)</v>
      </c>
      <c r="CY105" s="70">
        <v>0</v>
      </c>
      <c r="CZ105" s="125">
        <v>0.03</v>
      </c>
      <c r="DA105" s="125">
        <v>0.03</v>
      </c>
      <c r="DB105" s="125">
        <v>0.03</v>
      </c>
      <c r="DC105" s="125">
        <v>0.03</v>
      </c>
      <c r="DD105" s="72">
        <f t="shared" si="4"/>
        <v>0</v>
      </c>
      <c r="DE105" s="73">
        <v>102</v>
      </c>
      <c r="DF105" s="72">
        <f t="shared" si="3"/>
        <v>0</v>
      </c>
      <c r="DG105" s="166"/>
      <c r="DJ105" s="25"/>
      <c r="DK105" s="25"/>
      <c r="DL105" s="25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4"/>
      <c r="EP105" s="24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4"/>
      <c r="FC105" s="24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4"/>
      <c r="FP105" s="24"/>
      <c r="FQ105" s="24"/>
      <c r="FR105" s="24"/>
      <c r="FS105" s="24"/>
      <c r="FT105" s="24"/>
      <c r="FU105" s="24"/>
      <c r="FV105" s="24"/>
      <c r="FW105" s="24"/>
      <c r="FX105" s="24"/>
      <c r="FY105" s="24"/>
      <c r="FZ105" s="24"/>
      <c r="GA105" s="24"/>
      <c r="GB105" s="24"/>
      <c r="GC105" s="24"/>
      <c r="GD105" s="24"/>
      <c r="GE105" s="24"/>
      <c r="GF105" s="24"/>
      <c r="GG105" s="24"/>
      <c r="GH105" s="24"/>
      <c r="GI105" s="24"/>
      <c r="GJ105" s="24"/>
      <c r="GK105" s="24"/>
      <c r="GL105" s="24"/>
      <c r="GM105" s="24"/>
      <c r="GN105" s="24"/>
      <c r="GO105" s="24"/>
      <c r="GP105" s="24"/>
      <c r="GQ105" s="24"/>
      <c r="GR105" s="24"/>
      <c r="GS105" s="24"/>
      <c r="GT105" s="24"/>
      <c r="GU105" s="24"/>
      <c r="GV105" s="24"/>
      <c r="GW105" s="24"/>
      <c r="GX105" s="24"/>
      <c r="GY105" s="24"/>
      <c r="GZ105" s="24"/>
      <c r="HA105" s="24"/>
      <c r="HB105" s="24"/>
      <c r="HC105" s="24"/>
      <c r="HD105" s="24"/>
      <c r="HE105" s="24"/>
      <c r="HF105" s="24"/>
      <c r="HG105" s="24"/>
      <c r="HH105" s="24"/>
      <c r="HI105" s="24"/>
      <c r="HJ105" s="24"/>
      <c r="HK105" s="24"/>
      <c r="HL105" s="24"/>
      <c r="HM105" s="24"/>
      <c r="HN105" s="24"/>
      <c r="HO105" s="24"/>
      <c r="HP105" s="24"/>
      <c r="HQ105" s="24"/>
      <c r="HR105" s="24"/>
      <c r="HS105" s="24"/>
      <c r="HT105" s="24"/>
      <c r="HU105" s="24"/>
      <c r="HV105" s="24"/>
      <c r="HW105" s="24"/>
      <c r="HX105" s="24"/>
      <c r="HY105" s="24"/>
      <c r="HZ105" s="24"/>
      <c r="IA105" s="24"/>
      <c r="IB105" s="24"/>
      <c r="IC105" s="24"/>
      <c r="ID105" s="24"/>
      <c r="IE105" s="24"/>
      <c r="IF105" s="24"/>
      <c r="IG105" s="24"/>
      <c r="IH105" s="24"/>
      <c r="II105" s="24"/>
      <c r="IJ105" s="24"/>
      <c r="IK105" s="24"/>
      <c r="IL105" s="24"/>
      <c r="IM105" s="24"/>
      <c r="IN105" s="24"/>
      <c r="IO105" s="24"/>
      <c r="IP105" s="24"/>
      <c r="IQ105" s="24"/>
      <c r="IR105" s="24"/>
      <c r="IS105" s="24"/>
      <c r="IT105" s="24"/>
      <c r="IU105" s="24"/>
      <c r="IV105" s="24"/>
      <c r="IW105" s="24"/>
      <c r="IX105" s="24"/>
      <c r="IY105" s="24"/>
      <c r="IZ105" s="24"/>
      <c r="JA105" s="24"/>
      <c r="JB105" s="24"/>
      <c r="JC105" s="24"/>
      <c r="JD105" s="24"/>
      <c r="JE105" s="24"/>
      <c r="JF105" s="24"/>
      <c r="JG105" s="24"/>
      <c r="JH105" s="24"/>
      <c r="JI105" s="24"/>
      <c r="JJ105" s="24"/>
      <c r="JK105" s="24"/>
      <c r="JL105" s="24"/>
      <c r="JM105" s="24"/>
      <c r="JN105" s="24"/>
      <c r="JO105" s="24"/>
      <c r="JP105" s="24"/>
      <c r="JQ105" s="24"/>
      <c r="JR105" s="24"/>
      <c r="JS105" s="24"/>
      <c r="JT105" s="24"/>
      <c r="JU105" s="24"/>
      <c r="JV105" s="24"/>
      <c r="JW105" s="24"/>
      <c r="JX105" s="24"/>
      <c r="JY105" s="24"/>
      <c r="JZ105" s="24"/>
      <c r="KA105" s="24"/>
      <c r="KB105" s="24"/>
      <c r="KC105" s="24"/>
      <c r="KD105" s="24"/>
      <c r="KE105" s="24"/>
      <c r="KF105" s="24"/>
      <c r="KG105" s="24"/>
      <c r="KH105" s="24"/>
      <c r="KI105" s="24"/>
      <c r="KJ105" s="24"/>
      <c r="KK105" s="24"/>
      <c r="KL105" s="24"/>
    </row>
    <row r="106" spans="1:298" s="26" customFormat="1" ht="15.95" hidden="1" customHeight="1" x14ac:dyDescent="0.3">
      <c r="A106" s="172"/>
      <c r="B106" s="172"/>
      <c r="C106" s="172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4"/>
      <c r="BZ106" s="172"/>
      <c r="CA106" s="172"/>
      <c r="CB106" s="24"/>
      <c r="CC106" s="25"/>
      <c r="CH106" s="27"/>
      <c r="CL106" s="28"/>
      <c r="CM106" s="28"/>
      <c r="CO106" s="29"/>
      <c r="CP106" s="28"/>
      <c r="CQ106" s="28"/>
      <c r="CR106" s="28"/>
      <c r="CS106" s="28"/>
      <c r="CT106" s="28"/>
      <c r="CU106" s="28"/>
      <c r="CW106" s="58" t="s">
        <v>108</v>
      </c>
      <c r="CX106" s="59" t="str">
        <f>견적관리자용!$S$8</f>
        <v>승용일반</v>
      </c>
      <c r="CY106" s="60">
        <v>0</v>
      </c>
      <c r="CZ106" s="61">
        <v>0.04</v>
      </c>
      <c r="DA106" s="61">
        <v>0.04</v>
      </c>
      <c r="DB106" s="61">
        <v>0.04</v>
      </c>
      <c r="DC106" s="61">
        <v>0.05</v>
      </c>
      <c r="DD106" s="62">
        <f t="shared" si="4"/>
        <v>0</v>
      </c>
      <c r="DE106" s="63">
        <v>103</v>
      </c>
      <c r="DF106" s="62">
        <f t="shared" si="3"/>
        <v>0</v>
      </c>
      <c r="DG106" s="163">
        <f>SUM(DF106:DF115)</f>
        <v>0</v>
      </c>
      <c r="DJ106" s="25"/>
      <c r="DK106" s="25"/>
      <c r="DL106" s="25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  <c r="IJ106" s="24"/>
      <c r="IK106" s="24"/>
      <c r="IL106" s="24"/>
      <c r="IM106" s="24"/>
      <c r="IN106" s="24"/>
      <c r="IO106" s="24"/>
      <c r="IP106" s="24"/>
      <c r="IQ106" s="24"/>
      <c r="IR106" s="24"/>
      <c r="IS106" s="24"/>
      <c r="IT106" s="24"/>
      <c r="IU106" s="24"/>
      <c r="IV106" s="24"/>
      <c r="IW106" s="24"/>
      <c r="IX106" s="24"/>
      <c r="IY106" s="24"/>
      <c r="IZ106" s="24"/>
      <c r="JA106" s="24"/>
      <c r="JB106" s="24"/>
      <c r="JC106" s="24"/>
      <c r="JD106" s="24"/>
      <c r="JE106" s="24"/>
      <c r="JF106" s="24"/>
      <c r="JG106" s="24"/>
      <c r="JH106" s="24"/>
      <c r="JI106" s="24"/>
      <c r="JJ106" s="24"/>
      <c r="JK106" s="24"/>
      <c r="JL106" s="24"/>
      <c r="JM106" s="24"/>
      <c r="JN106" s="24"/>
      <c r="JO106" s="24"/>
      <c r="JP106" s="24"/>
      <c r="JQ106" s="24"/>
      <c r="JR106" s="24"/>
      <c r="JS106" s="24"/>
      <c r="JT106" s="24"/>
      <c r="JU106" s="24"/>
      <c r="JV106" s="24"/>
      <c r="JW106" s="24"/>
      <c r="JX106" s="24"/>
      <c r="JY106" s="24"/>
      <c r="JZ106" s="24"/>
      <c r="KA106" s="24"/>
      <c r="KB106" s="24"/>
      <c r="KC106" s="24"/>
      <c r="KD106" s="24"/>
      <c r="KE106" s="24"/>
      <c r="KF106" s="24"/>
      <c r="KG106" s="24"/>
      <c r="KH106" s="24"/>
      <c r="KI106" s="24"/>
      <c r="KJ106" s="24"/>
      <c r="KK106" s="24"/>
      <c r="KL106" s="24"/>
    </row>
    <row r="107" spans="1:298" s="26" customFormat="1" ht="15.95" hidden="1" customHeight="1" x14ac:dyDescent="0.3">
      <c r="A107" s="172"/>
      <c r="B107" s="172"/>
      <c r="C107" s="172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4"/>
      <c r="BZ107" s="172"/>
      <c r="CA107" s="172"/>
      <c r="CB107" s="24"/>
      <c r="CC107" s="25"/>
      <c r="CH107" s="27"/>
      <c r="CL107" s="28"/>
      <c r="CM107" s="28"/>
      <c r="CO107" s="29"/>
      <c r="CP107" s="28"/>
      <c r="CQ107" s="28"/>
      <c r="CR107" s="28"/>
      <c r="CS107" s="28"/>
      <c r="CT107" s="28"/>
      <c r="CU107" s="28"/>
      <c r="CW107" s="68"/>
      <c r="CX107" s="69" t="str">
        <f>견적관리자용!$S$9</f>
        <v>승용SUV(~5인)</v>
      </c>
      <c r="CY107" s="70">
        <v>0</v>
      </c>
      <c r="CZ107" s="71">
        <v>0.04</v>
      </c>
      <c r="DA107" s="71">
        <v>0.04</v>
      </c>
      <c r="DB107" s="71">
        <v>0.04</v>
      </c>
      <c r="DC107" s="71">
        <v>0.05</v>
      </c>
      <c r="DD107" s="72">
        <f t="shared" si="4"/>
        <v>0</v>
      </c>
      <c r="DE107" s="73">
        <v>104</v>
      </c>
      <c r="DF107" s="72">
        <f t="shared" si="3"/>
        <v>0</v>
      </c>
      <c r="DG107" s="166"/>
      <c r="DJ107" s="25"/>
      <c r="DK107" s="25"/>
      <c r="DL107" s="25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4"/>
      <c r="EP107" s="24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4"/>
      <c r="FC107" s="24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4"/>
      <c r="FP107" s="24"/>
      <c r="FQ107" s="24"/>
      <c r="FR107" s="24"/>
      <c r="FS107" s="24"/>
      <c r="FT107" s="24"/>
      <c r="FU107" s="24"/>
      <c r="FV107" s="24"/>
      <c r="FW107" s="24"/>
      <c r="FX107" s="24"/>
      <c r="FY107" s="24"/>
      <c r="FZ107" s="24"/>
      <c r="GA107" s="24"/>
      <c r="GB107" s="24"/>
      <c r="GC107" s="24"/>
      <c r="GD107" s="24"/>
      <c r="GE107" s="24"/>
      <c r="GF107" s="24"/>
      <c r="GG107" s="24"/>
      <c r="GH107" s="24"/>
      <c r="GI107" s="24"/>
      <c r="GJ107" s="24"/>
      <c r="GK107" s="24"/>
      <c r="GL107" s="24"/>
      <c r="GM107" s="24"/>
      <c r="GN107" s="24"/>
      <c r="GO107" s="24"/>
      <c r="GP107" s="24"/>
      <c r="GQ107" s="24"/>
      <c r="GR107" s="24"/>
      <c r="GS107" s="24"/>
      <c r="GT107" s="24"/>
      <c r="GU107" s="24"/>
      <c r="GV107" s="24"/>
      <c r="GW107" s="24"/>
      <c r="GX107" s="24"/>
      <c r="GY107" s="24"/>
      <c r="GZ107" s="24"/>
      <c r="HA107" s="24"/>
      <c r="HB107" s="24"/>
      <c r="HC107" s="24"/>
      <c r="HD107" s="24"/>
      <c r="HE107" s="24"/>
      <c r="HF107" s="24"/>
      <c r="HG107" s="24"/>
      <c r="HH107" s="24"/>
      <c r="HI107" s="24"/>
      <c r="HJ107" s="24"/>
      <c r="HK107" s="24"/>
      <c r="HL107" s="24"/>
      <c r="HM107" s="24"/>
      <c r="HN107" s="24"/>
      <c r="HO107" s="24"/>
      <c r="HP107" s="24"/>
      <c r="HQ107" s="24"/>
      <c r="HR107" s="24"/>
      <c r="HS107" s="24"/>
      <c r="HT107" s="24"/>
      <c r="HU107" s="24"/>
      <c r="HV107" s="24"/>
      <c r="HW107" s="24"/>
      <c r="HX107" s="24"/>
      <c r="HY107" s="24"/>
      <c r="HZ107" s="24"/>
      <c r="IA107" s="24"/>
      <c r="IB107" s="24"/>
      <c r="IC107" s="24"/>
      <c r="ID107" s="24"/>
      <c r="IE107" s="24"/>
      <c r="IF107" s="24"/>
      <c r="IG107" s="24"/>
      <c r="IH107" s="24"/>
      <c r="II107" s="24"/>
      <c r="IJ107" s="24"/>
      <c r="IK107" s="24"/>
      <c r="IL107" s="24"/>
      <c r="IM107" s="24"/>
      <c r="IN107" s="24"/>
      <c r="IO107" s="24"/>
      <c r="IP107" s="24"/>
      <c r="IQ107" s="24"/>
      <c r="IR107" s="24"/>
      <c r="IS107" s="24"/>
      <c r="IT107" s="24"/>
      <c r="IU107" s="24"/>
      <c r="IV107" s="24"/>
      <c r="IW107" s="24"/>
      <c r="IX107" s="24"/>
      <c r="IY107" s="24"/>
      <c r="IZ107" s="24"/>
      <c r="JA107" s="24"/>
      <c r="JB107" s="24"/>
      <c r="JC107" s="24"/>
      <c r="JD107" s="24"/>
      <c r="JE107" s="24"/>
      <c r="JF107" s="24"/>
      <c r="JG107" s="24"/>
      <c r="JH107" s="24"/>
      <c r="JI107" s="24"/>
      <c r="JJ107" s="24"/>
      <c r="JK107" s="24"/>
      <c r="JL107" s="24"/>
      <c r="JM107" s="24"/>
      <c r="JN107" s="24"/>
      <c r="JO107" s="24"/>
      <c r="JP107" s="24"/>
      <c r="JQ107" s="24"/>
      <c r="JR107" s="24"/>
      <c r="JS107" s="24"/>
      <c r="JT107" s="24"/>
      <c r="JU107" s="24"/>
      <c r="JV107" s="24"/>
      <c r="JW107" s="24"/>
      <c r="JX107" s="24"/>
      <c r="JY107" s="24"/>
      <c r="JZ107" s="24"/>
      <c r="KA107" s="24"/>
      <c r="KB107" s="24"/>
      <c r="KC107" s="24"/>
      <c r="KD107" s="24"/>
      <c r="KE107" s="24"/>
      <c r="KF107" s="24"/>
      <c r="KG107" s="24"/>
      <c r="KH107" s="24"/>
      <c r="KI107" s="24"/>
      <c r="KJ107" s="24"/>
      <c r="KK107" s="24"/>
      <c r="KL107" s="24"/>
    </row>
    <row r="108" spans="1:298" s="26" customFormat="1" ht="15.95" hidden="1" customHeight="1" x14ac:dyDescent="0.3">
      <c r="A108" s="172"/>
      <c r="B108" s="172"/>
      <c r="C108" s="172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2"/>
      <c r="AT108" s="172"/>
      <c r="AU108" s="172"/>
      <c r="AV108" s="172"/>
      <c r="AW108" s="172"/>
      <c r="AX108" s="172"/>
      <c r="AY108" s="172"/>
      <c r="AZ108" s="172"/>
      <c r="BA108" s="172"/>
      <c r="BB108" s="172"/>
      <c r="BC108" s="172"/>
      <c r="BD108" s="172"/>
      <c r="BE108" s="172"/>
      <c r="BF108" s="172"/>
      <c r="BG108" s="172"/>
      <c r="BH108" s="172"/>
      <c r="BI108" s="172"/>
      <c r="BJ108" s="172"/>
      <c r="BK108" s="172"/>
      <c r="BL108" s="172"/>
      <c r="BM108" s="172"/>
      <c r="BN108" s="172"/>
      <c r="BO108" s="172"/>
      <c r="BP108" s="172"/>
      <c r="BQ108" s="172"/>
      <c r="BR108" s="172"/>
      <c r="BS108" s="172"/>
      <c r="BT108" s="172"/>
      <c r="BU108" s="172"/>
      <c r="BV108" s="172"/>
      <c r="BW108" s="172"/>
      <c r="BX108" s="172"/>
      <c r="BY108" s="174"/>
      <c r="BZ108" s="172"/>
      <c r="CA108" s="172"/>
      <c r="CB108" s="24"/>
      <c r="CC108" s="25"/>
      <c r="CH108" s="27"/>
      <c r="CL108" s="28"/>
      <c r="CM108" s="28"/>
      <c r="CO108" s="29"/>
      <c r="CP108" s="28"/>
      <c r="CQ108" s="28"/>
      <c r="CR108" s="28"/>
      <c r="CS108" s="28"/>
      <c r="CT108" s="28"/>
      <c r="CU108" s="28"/>
      <c r="CW108" s="68"/>
      <c r="CX108" s="69" t="str">
        <f>견적관리자용!$S$10</f>
        <v>승용SUV(7~10인)</v>
      </c>
      <c r="CY108" s="70">
        <v>0</v>
      </c>
      <c r="CZ108" s="71">
        <v>0.04</v>
      </c>
      <c r="DA108" s="71">
        <v>0.04</v>
      </c>
      <c r="DB108" s="71">
        <v>0.04</v>
      </c>
      <c r="DC108" s="71">
        <v>0.05</v>
      </c>
      <c r="DD108" s="72">
        <f t="shared" si="4"/>
        <v>0</v>
      </c>
      <c r="DE108" s="73">
        <v>105</v>
      </c>
      <c r="DF108" s="72">
        <f t="shared" si="3"/>
        <v>0</v>
      </c>
      <c r="DG108" s="166"/>
      <c r="DJ108" s="25"/>
      <c r="DK108" s="25"/>
      <c r="DL108" s="25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  <c r="EG108" s="24"/>
      <c r="EH108" s="24"/>
      <c r="EI108" s="24"/>
      <c r="EJ108" s="24"/>
      <c r="EK108" s="24"/>
      <c r="EL108" s="24"/>
      <c r="EM108" s="24"/>
      <c r="EN108" s="24"/>
      <c r="EO108" s="24"/>
      <c r="EP108" s="24"/>
      <c r="EQ108" s="24"/>
      <c r="ER108" s="24"/>
      <c r="ES108" s="24"/>
      <c r="ET108" s="24"/>
      <c r="EU108" s="24"/>
      <c r="EV108" s="24"/>
      <c r="EW108" s="24"/>
      <c r="EX108" s="24"/>
      <c r="EY108" s="24"/>
      <c r="EZ108" s="24"/>
      <c r="FA108" s="24"/>
      <c r="FB108" s="24"/>
      <c r="FC108" s="24"/>
      <c r="FD108" s="24"/>
      <c r="FE108" s="24"/>
      <c r="FF108" s="24"/>
      <c r="FG108" s="24"/>
      <c r="FH108" s="24"/>
      <c r="FI108" s="24"/>
      <c r="FJ108" s="24"/>
      <c r="FK108" s="24"/>
      <c r="FL108" s="24"/>
      <c r="FM108" s="24"/>
      <c r="FN108" s="24"/>
      <c r="FO108" s="24"/>
      <c r="FP108" s="24"/>
      <c r="FQ108" s="24"/>
      <c r="FR108" s="24"/>
      <c r="FS108" s="24"/>
      <c r="FT108" s="24"/>
      <c r="FU108" s="24"/>
      <c r="FV108" s="24"/>
      <c r="FW108" s="24"/>
      <c r="FX108" s="24"/>
      <c r="FY108" s="24"/>
      <c r="FZ108" s="24"/>
      <c r="GA108" s="24"/>
      <c r="GB108" s="24"/>
      <c r="GC108" s="24"/>
      <c r="GD108" s="24"/>
      <c r="GE108" s="24"/>
      <c r="GF108" s="24"/>
      <c r="GG108" s="24"/>
      <c r="GH108" s="24"/>
      <c r="GI108" s="24"/>
      <c r="GJ108" s="24"/>
      <c r="GK108" s="24"/>
      <c r="GL108" s="24"/>
      <c r="GM108" s="24"/>
      <c r="GN108" s="24"/>
      <c r="GO108" s="24"/>
      <c r="GP108" s="24"/>
      <c r="GQ108" s="24"/>
      <c r="GR108" s="24"/>
      <c r="GS108" s="24"/>
      <c r="GT108" s="24"/>
      <c r="GU108" s="24"/>
      <c r="GV108" s="24"/>
      <c r="GW108" s="24"/>
      <c r="GX108" s="24"/>
      <c r="GY108" s="24"/>
      <c r="GZ108" s="24"/>
      <c r="HA108" s="24"/>
      <c r="HB108" s="24"/>
      <c r="HC108" s="24"/>
      <c r="HD108" s="24"/>
      <c r="HE108" s="24"/>
      <c r="HF108" s="24"/>
      <c r="HG108" s="24"/>
      <c r="HH108" s="24"/>
      <c r="HI108" s="24"/>
      <c r="HJ108" s="24"/>
      <c r="HK108" s="24"/>
      <c r="HL108" s="24"/>
      <c r="HM108" s="24"/>
      <c r="HN108" s="24"/>
      <c r="HO108" s="24"/>
      <c r="HP108" s="24"/>
      <c r="HQ108" s="24"/>
      <c r="HR108" s="24"/>
      <c r="HS108" s="24"/>
      <c r="HT108" s="24"/>
      <c r="HU108" s="24"/>
      <c r="HV108" s="24"/>
      <c r="HW108" s="24"/>
      <c r="HX108" s="24"/>
      <c r="HY108" s="24"/>
      <c r="HZ108" s="24"/>
      <c r="IA108" s="24"/>
      <c r="IB108" s="24"/>
      <c r="IC108" s="24"/>
      <c r="ID108" s="24"/>
      <c r="IE108" s="24"/>
      <c r="IF108" s="24"/>
      <c r="IG108" s="24"/>
      <c r="IH108" s="24"/>
      <c r="II108" s="24"/>
      <c r="IJ108" s="24"/>
      <c r="IK108" s="24"/>
      <c r="IL108" s="24"/>
      <c r="IM108" s="24"/>
      <c r="IN108" s="24"/>
      <c r="IO108" s="24"/>
      <c r="IP108" s="24"/>
      <c r="IQ108" s="24"/>
      <c r="IR108" s="24"/>
      <c r="IS108" s="24"/>
      <c r="IT108" s="24"/>
      <c r="IU108" s="24"/>
      <c r="IV108" s="24"/>
      <c r="IW108" s="24"/>
      <c r="IX108" s="24"/>
      <c r="IY108" s="24"/>
      <c r="IZ108" s="24"/>
      <c r="JA108" s="24"/>
      <c r="JB108" s="24"/>
      <c r="JC108" s="24"/>
      <c r="JD108" s="24"/>
      <c r="JE108" s="24"/>
      <c r="JF108" s="24"/>
      <c r="JG108" s="24"/>
      <c r="JH108" s="24"/>
      <c r="JI108" s="24"/>
      <c r="JJ108" s="24"/>
      <c r="JK108" s="24"/>
      <c r="JL108" s="24"/>
      <c r="JM108" s="24"/>
      <c r="JN108" s="24"/>
      <c r="JO108" s="24"/>
      <c r="JP108" s="24"/>
      <c r="JQ108" s="24"/>
      <c r="JR108" s="24"/>
      <c r="JS108" s="24"/>
      <c r="JT108" s="24"/>
      <c r="JU108" s="24"/>
      <c r="JV108" s="24"/>
      <c r="JW108" s="24"/>
      <c r="JX108" s="24"/>
      <c r="JY108" s="24"/>
      <c r="JZ108" s="24"/>
      <c r="KA108" s="24"/>
      <c r="KB108" s="24"/>
      <c r="KC108" s="24"/>
      <c r="KD108" s="24"/>
      <c r="KE108" s="24"/>
      <c r="KF108" s="24"/>
      <c r="KG108" s="24"/>
      <c r="KH108" s="24"/>
      <c r="KI108" s="24"/>
      <c r="KJ108" s="24"/>
      <c r="KK108" s="24"/>
      <c r="KL108" s="24"/>
    </row>
    <row r="109" spans="1:298" s="26" customFormat="1" ht="15.95" hidden="1" customHeight="1" x14ac:dyDescent="0.3">
      <c r="A109" s="172"/>
      <c r="B109" s="172"/>
      <c r="C109" s="172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2"/>
      <c r="AT109" s="172"/>
      <c r="AU109" s="172"/>
      <c r="AV109" s="172"/>
      <c r="AW109" s="172"/>
      <c r="AX109" s="172"/>
      <c r="AY109" s="172"/>
      <c r="AZ109" s="172"/>
      <c r="BA109" s="172"/>
      <c r="BB109" s="172"/>
      <c r="BC109" s="172"/>
      <c r="BD109" s="172"/>
      <c r="BE109" s="172"/>
      <c r="BF109" s="172"/>
      <c r="BG109" s="172"/>
      <c r="BH109" s="172"/>
      <c r="BI109" s="172"/>
      <c r="BJ109" s="172"/>
      <c r="BK109" s="172"/>
      <c r="BL109" s="172"/>
      <c r="BM109" s="172"/>
      <c r="BN109" s="172"/>
      <c r="BO109" s="172"/>
      <c r="BP109" s="172"/>
      <c r="BQ109" s="172"/>
      <c r="BR109" s="172"/>
      <c r="BS109" s="172"/>
      <c r="BT109" s="172"/>
      <c r="BU109" s="172"/>
      <c r="BV109" s="172"/>
      <c r="BW109" s="172"/>
      <c r="BX109" s="172"/>
      <c r="BY109" s="174"/>
      <c r="BZ109" s="172"/>
      <c r="CA109" s="172"/>
      <c r="CB109" s="24"/>
      <c r="CC109" s="25"/>
      <c r="CH109" s="27"/>
      <c r="CL109" s="28"/>
      <c r="CM109" s="28"/>
      <c r="CO109" s="29"/>
      <c r="CP109" s="28"/>
      <c r="CQ109" s="28"/>
      <c r="CR109" s="28"/>
      <c r="CS109" s="28"/>
      <c r="CT109" s="28"/>
      <c r="CU109" s="28"/>
      <c r="CW109" s="68"/>
      <c r="CX109" s="69" t="str">
        <f>견적관리자용!$S$11</f>
        <v>승합(11~15인)</v>
      </c>
      <c r="CY109" s="70">
        <v>0</v>
      </c>
      <c r="CZ109" s="125">
        <v>0.03</v>
      </c>
      <c r="DA109" s="125">
        <v>0.03</v>
      </c>
      <c r="DB109" s="125">
        <v>0.03</v>
      </c>
      <c r="DC109" s="125">
        <v>0.03</v>
      </c>
      <c r="DD109" s="72">
        <f t="shared" si="4"/>
        <v>0</v>
      </c>
      <c r="DE109" s="73">
        <v>106</v>
      </c>
      <c r="DF109" s="72">
        <f t="shared" si="3"/>
        <v>0</v>
      </c>
      <c r="DG109" s="166"/>
      <c r="DJ109" s="25"/>
      <c r="DK109" s="25"/>
      <c r="DL109" s="25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4"/>
      <c r="EP109" s="24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4"/>
      <c r="FC109" s="24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4"/>
      <c r="FP109" s="24"/>
      <c r="FQ109" s="24"/>
      <c r="FR109" s="24"/>
      <c r="FS109" s="24"/>
      <c r="FT109" s="24"/>
      <c r="FU109" s="24"/>
      <c r="FV109" s="24"/>
      <c r="FW109" s="24"/>
      <c r="FX109" s="24"/>
      <c r="FY109" s="24"/>
      <c r="FZ109" s="24"/>
      <c r="GA109" s="24"/>
      <c r="GB109" s="24"/>
      <c r="GC109" s="24"/>
      <c r="GD109" s="24"/>
      <c r="GE109" s="24"/>
      <c r="GF109" s="24"/>
      <c r="GG109" s="24"/>
      <c r="GH109" s="24"/>
      <c r="GI109" s="24"/>
      <c r="GJ109" s="24"/>
      <c r="GK109" s="24"/>
      <c r="GL109" s="24"/>
      <c r="GM109" s="24"/>
      <c r="GN109" s="24"/>
      <c r="GO109" s="24"/>
      <c r="GP109" s="24"/>
      <c r="GQ109" s="24"/>
      <c r="GR109" s="24"/>
      <c r="GS109" s="24"/>
      <c r="GT109" s="24"/>
      <c r="GU109" s="24"/>
      <c r="GV109" s="24"/>
      <c r="GW109" s="24"/>
      <c r="GX109" s="24"/>
      <c r="GY109" s="24"/>
      <c r="GZ109" s="24"/>
      <c r="HA109" s="24"/>
      <c r="HB109" s="24"/>
      <c r="HC109" s="24"/>
      <c r="HD109" s="24"/>
      <c r="HE109" s="24"/>
      <c r="HF109" s="24"/>
      <c r="HG109" s="24"/>
      <c r="HH109" s="24"/>
      <c r="HI109" s="24"/>
      <c r="HJ109" s="24"/>
      <c r="HK109" s="24"/>
      <c r="HL109" s="24"/>
      <c r="HM109" s="24"/>
      <c r="HN109" s="24"/>
      <c r="HO109" s="24"/>
      <c r="HP109" s="24"/>
      <c r="HQ109" s="24"/>
      <c r="HR109" s="24"/>
      <c r="HS109" s="24"/>
      <c r="HT109" s="24"/>
      <c r="HU109" s="24"/>
      <c r="HV109" s="24"/>
      <c r="HW109" s="24"/>
      <c r="HX109" s="24"/>
      <c r="HY109" s="24"/>
      <c r="HZ109" s="24"/>
      <c r="IA109" s="24"/>
      <c r="IB109" s="24"/>
      <c r="IC109" s="24"/>
      <c r="ID109" s="24"/>
      <c r="IE109" s="24"/>
      <c r="IF109" s="24"/>
      <c r="IG109" s="24"/>
      <c r="IH109" s="24"/>
      <c r="II109" s="24"/>
      <c r="IJ109" s="24"/>
      <c r="IK109" s="24"/>
      <c r="IL109" s="24"/>
      <c r="IM109" s="24"/>
      <c r="IN109" s="24"/>
      <c r="IO109" s="24"/>
      <c r="IP109" s="24"/>
      <c r="IQ109" s="24"/>
      <c r="IR109" s="24"/>
      <c r="IS109" s="24"/>
      <c r="IT109" s="24"/>
      <c r="IU109" s="24"/>
      <c r="IV109" s="24"/>
      <c r="IW109" s="24"/>
      <c r="IX109" s="24"/>
      <c r="IY109" s="24"/>
      <c r="IZ109" s="24"/>
      <c r="JA109" s="24"/>
      <c r="JB109" s="24"/>
      <c r="JC109" s="24"/>
      <c r="JD109" s="24"/>
      <c r="JE109" s="24"/>
      <c r="JF109" s="24"/>
      <c r="JG109" s="24"/>
      <c r="JH109" s="24"/>
      <c r="JI109" s="24"/>
      <c r="JJ109" s="24"/>
      <c r="JK109" s="24"/>
      <c r="JL109" s="24"/>
      <c r="JM109" s="24"/>
      <c r="JN109" s="24"/>
      <c r="JO109" s="24"/>
      <c r="JP109" s="24"/>
      <c r="JQ109" s="24"/>
      <c r="JR109" s="24"/>
      <c r="JS109" s="24"/>
      <c r="JT109" s="24"/>
      <c r="JU109" s="24"/>
      <c r="JV109" s="24"/>
      <c r="JW109" s="24"/>
      <c r="JX109" s="24"/>
      <c r="JY109" s="24"/>
      <c r="JZ109" s="24"/>
      <c r="KA109" s="24"/>
      <c r="KB109" s="24"/>
      <c r="KC109" s="24"/>
      <c r="KD109" s="24"/>
      <c r="KE109" s="24"/>
      <c r="KF109" s="24"/>
      <c r="KG109" s="24"/>
      <c r="KH109" s="24"/>
      <c r="KI109" s="24"/>
      <c r="KJ109" s="24"/>
      <c r="KK109" s="24"/>
      <c r="KL109" s="24"/>
    </row>
    <row r="110" spans="1:298" s="26" customFormat="1" ht="15" hidden="1" customHeight="1" x14ac:dyDescent="0.3">
      <c r="A110" s="172"/>
      <c r="B110" s="172"/>
      <c r="C110" s="172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2"/>
      <c r="AT110" s="172"/>
      <c r="AU110" s="172"/>
      <c r="AV110" s="172"/>
      <c r="AW110" s="172"/>
      <c r="AX110" s="172"/>
      <c r="AY110" s="172"/>
      <c r="AZ110" s="172"/>
      <c r="BA110" s="172"/>
      <c r="BB110" s="172"/>
      <c r="BC110" s="172"/>
      <c r="BD110" s="172"/>
      <c r="BE110" s="172"/>
      <c r="BF110" s="172"/>
      <c r="BG110" s="172"/>
      <c r="BH110" s="172"/>
      <c r="BI110" s="172"/>
      <c r="BJ110" s="172"/>
      <c r="BK110" s="172"/>
      <c r="BL110" s="172"/>
      <c r="BM110" s="172"/>
      <c r="BN110" s="172"/>
      <c r="BO110" s="172"/>
      <c r="BP110" s="172"/>
      <c r="BQ110" s="172"/>
      <c r="BR110" s="172"/>
      <c r="BS110" s="172"/>
      <c r="BT110" s="172"/>
      <c r="BU110" s="172"/>
      <c r="BV110" s="172"/>
      <c r="BW110" s="172"/>
      <c r="BX110" s="172"/>
      <c r="BY110" s="174"/>
      <c r="BZ110" s="172"/>
      <c r="CA110" s="172"/>
      <c r="CB110" s="24"/>
      <c r="CC110" s="25"/>
      <c r="CH110" s="27"/>
      <c r="CL110" s="28"/>
      <c r="CM110" s="28"/>
      <c r="CO110" s="29"/>
      <c r="CP110" s="28"/>
      <c r="CQ110" s="28"/>
      <c r="CR110" s="28"/>
      <c r="CS110" s="28"/>
      <c r="CT110" s="28"/>
      <c r="CU110" s="28"/>
      <c r="CW110" s="68"/>
      <c r="CX110" s="69" t="str">
        <f>견적관리자용!$S$12</f>
        <v>화물(1000cc 미만)</v>
      </c>
      <c r="CY110" s="70">
        <v>0</v>
      </c>
      <c r="CZ110" s="70">
        <v>0</v>
      </c>
      <c r="DA110" s="80">
        <v>0</v>
      </c>
      <c r="DB110" s="80">
        <v>0</v>
      </c>
      <c r="DC110" s="80">
        <v>0</v>
      </c>
      <c r="DD110" s="72">
        <f t="shared" si="4"/>
        <v>0</v>
      </c>
      <c r="DE110" s="73">
        <v>107</v>
      </c>
      <c r="DF110" s="72">
        <f t="shared" si="3"/>
        <v>0</v>
      </c>
      <c r="DG110" s="166"/>
      <c r="DJ110" s="25"/>
      <c r="DK110" s="25"/>
      <c r="DL110" s="25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  <c r="IV110" s="24"/>
      <c r="IW110" s="24"/>
      <c r="IX110" s="24"/>
      <c r="IY110" s="24"/>
      <c r="IZ110" s="24"/>
      <c r="JA110" s="24"/>
      <c r="JB110" s="24"/>
      <c r="JC110" s="24"/>
      <c r="JD110" s="24"/>
      <c r="JE110" s="24"/>
      <c r="JF110" s="24"/>
      <c r="JG110" s="24"/>
      <c r="JH110" s="24"/>
      <c r="JI110" s="24"/>
      <c r="JJ110" s="24"/>
      <c r="JK110" s="24"/>
      <c r="JL110" s="24"/>
      <c r="JM110" s="24"/>
      <c r="JN110" s="24"/>
      <c r="JO110" s="24"/>
      <c r="JP110" s="24"/>
      <c r="JQ110" s="24"/>
      <c r="JR110" s="24"/>
      <c r="JS110" s="24"/>
      <c r="JT110" s="24"/>
      <c r="JU110" s="24"/>
      <c r="JV110" s="24"/>
      <c r="JW110" s="24"/>
      <c r="JX110" s="24"/>
      <c r="JY110" s="24"/>
      <c r="JZ110" s="24"/>
      <c r="KA110" s="24"/>
      <c r="KB110" s="24"/>
      <c r="KC110" s="24"/>
      <c r="KD110" s="24"/>
      <c r="KE110" s="24"/>
      <c r="KF110" s="24"/>
      <c r="KG110" s="24"/>
      <c r="KH110" s="24"/>
      <c r="KI110" s="24"/>
      <c r="KJ110" s="24"/>
      <c r="KK110" s="24"/>
      <c r="KL110" s="24"/>
    </row>
    <row r="111" spans="1:298" s="26" customFormat="1" ht="15" hidden="1" customHeight="1" x14ac:dyDescent="0.3">
      <c r="A111" s="172"/>
      <c r="B111" s="172"/>
      <c r="C111" s="172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2"/>
      <c r="AT111" s="172"/>
      <c r="AU111" s="172"/>
      <c r="AV111" s="172"/>
      <c r="AW111" s="172"/>
      <c r="AX111" s="172"/>
      <c r="AY111" s="172"/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172"/>
      <c r="BM111" s="172"/>
      <c r="BN111" s="172"/>
      <c r="BO111" s="172"/>
      <c r="BP111" s="172"/>
      <c r="BQ111" s="172"/>
      <c r="BR111" s="172"/>
      <c r="BS111" s="172"/>
      <c r="BT111" s="172"/>
      <c r="BU111" s="172"/>
      <c r="BV111" s="172"/>
      <c r="BW111" s="172"/>
      <c r="BX111" s="172"/>
      <c r="BY111" s="174"/>
      <c r="BZ111" s="172"/>
      <c r="CA111" s="172"/>
      <c r="CB111" s="24"/>
      <c r="CC111" s="25"/>
      <c r="CH111" s="27"/>
      <c r="CL111" s="28"/>
      <c r="CM111" s="28"/>
      <c r="CO111" s="29"/>
      <c r="CP111" s="28"/>
      <c r="CQ111" s="28"/>
      <c r="CR111" s="28"/>
      <c r="CS111" s="28"/>
      <c r="CT111" s="28"/>
      <c r="CU111" s="28"/>
      <c r="CW111" s="85"/>
      <c r="CX111" s="69" t="str">
        <f>견적관리자용!$S$13</f>
        <v>화물(0.6톤 미만)</v>
      </c>
      <c r="CY111" s="70">
        <v>0</v>
      </c>
      <c r="CZ111" s="125">
        <v>0.03</v>
      </c>
      <c r="DA111" s="125">
        <v>0.03</v>
      </c>
      <c r="DB111" s="125">
        <v>0.03</v>
      </c>
      <c r="DC111" s="125">
        <v>0.03</v>
      </c>
      <c r="DD111" s="72">
        <f t="shared" si="4"/>
        <v>0</v>
      </c>
      <c r="DE111" s="73">
        <v>108</v>
      </c>
      <c r="DF111" s="72">
        <f t="shared" si="3"/>
        <v>0</v>
      </c>
      <c r="DG111" s="166"/>
      <c r="DJ111" s="25"/>
      <c r="DK111" s="25"/>
      <c r="DL111" s="25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  <c r="IJ111" s="24"/>
      <c r="IK111" s="24"/>
      <c r="IL111" s="24"/>
      <c r="IM111" s="24"/>
      <c r="IN111" s="24"/>
      <c r="IO111" s="24"/>
      <c r="IP111" s="24"/>
      <c r="IQ111" s="24"/>
      <c r="IR111" s="24"/>
      <c r="IS111" s="24"/>
      <c r="IT111" s="24"/>
      <c r="IU111" s="24"/>
      <c r="IV111" s="24"/>
      <c r="IW111" s="24"/>
      <c r="IX111" s="24"/>
      <c r="IY111" s="24"/>
      <c r="IZ111" s="24"/>
      <c r="JA111" s="24"/>
      <c r="JB111" s="24"/>
      <c r="JC111" s="24"/>
      <c r="JD111" s="24"/>
      <c r="JE111" s="24"/>
      <c r="JF111" s="24"/>
      <c r="JG111" s="24"/>
      <c r="JH111" s="24"/>
      <c r="JI111" s="24"/>
      <c r="JJ111" s="24"/>
      <c r="JK111" s="24"/>
      <c r="JL111" s="24"/>
      <c r="JM111" s="24"/>
      <c r="JN111" s="24"/>
      <c r="JO111" s="24"/>
      <c r="JP111" s="24"/>
      <c r="JQ111" s="24"/>
      <c r="JR111" s="24"/>
      <c r="JS111" s="24"/>
      <c r="JT111" s="24"/>
      <c r="JU111" s="24"/>
      <c r="JV111" s="24"/>
      <c r="JW111" s="24"/>
      <c r="JX111" s="24"/>
      <c r="JY111" s="24"/>
      <c r="JZ111" s="24"/>
      <c r="KA111" s="24"/>
      <c r="KB111" s="24"/>
      <c r="KC111" s="24"/>
      <c r="KD111" s="24"/>
      <c r="KE111" s="24"/>
      <c r="KF111" s="24"/>
      <c r="KG111" s="24"/>
      <c r="KH111" s="24"/>
      <c r="KI111" s="24"/>
      <c r="KJ111" s="24"/>
      <c r="KK111" s="24"/>
      <c r="KL111" s="24"/>
    </row>
    <row r="112" spans="1:298" s="26" customFormat="1" ht="15" hidden="1" customHeight="1" x14ac:dyDescent="0.3">
      <c r="A112" s="172"/>
      <c r="B112" s="172"/>
      <c r="C112" s="172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2"/>
      <c r="AT112" s="172"/>
      <c r="AU112" s="172"/>
      <c r="AV112" s="172"/>
      <c r="AW112" s="172"/>
      <c r="AX112" s="172"/>
      <c r="AY112" s="172"/>
      <c r="AZ112" s="172"/>
      <c r="BA112" s="172"/>
      <c r="BB112" s="172"/>
      <c r="BC112" s="172"/>
      <c r="BD112" s="172"/>
      <c r="BE112" s="172"/>
      <c r="BF112" s="172"/>
      <c r="BG112" s="172"/>
      <c r="BH112" s="172"/>
      <c r="BI112" s="172"/>
      <c r="BJ112" s="172"/>
      <c r="BK112" s="172"/>
      <c r="BL112" s="172"/>
      <c r="BM112" s="172"/>
      <c r="BN112" s="172"/>
      <c r="BO112" s="172"/>
      <c r="BP112" s="172"/>
      <c r="BQ112" s="172"/>
      <c r="BR112" s="172"/>
      <c r="BS112" s="172"/>
      <c r="BT112" s="172"/>
      <c r="BU112" s="172"/>
      <c r="BV112" s="172"/>
      <c r="BW112" s="172"/>
      <c r="BX112" s="172"/>
      <c r="BY112" s="174"/>
      <c r="BZ112" s="172"/>
      <c r="CA112" s="172"/>
      <c r="CB112" s="24"/>
      <c r="CC112" s="25"/>
      <c r="CH112" s="27"/>
      <c r="CL112" s="28"/>
      <c r="CM112" s="28"/>
      <c r="CO112" s="29"/>
      <c r="CP112" s="28"/>
      <c r="CQ112" s="28"/>
      <c r="CR112" s="28"/>
      <c r="CS112" s="28"/>
      <c r="CT112" s="28"/>
      <c r="CU112" s="28"/>
      <c r="CW112" s="85"/>
      <c r="CX112" s="69" t="str">
        <f>견적관리자용!$S$14</f>
        <v>화물(0.6~1톤 미만)</v>
      </c>
      <c r="CY112" s="70">
        <v>0</v>
      </c>
      <c r="CZ112" s="125">
        <v>0.03</v>
      </c>
      <c r="DA112" s="125">
        <v>0.03</v>
      </c>
      <c r="DB112" s="125">
        <v>0.03</v>
      </c>
      <c r="DC112" s="125">
        <v>0.03</v>
      </c>
      <c r="DD112" s="72">
        <f t="shared" si="4"/>
        <v>0</v>
      </c>
      <c r="DE112" s="73">
        <v>109</v>
      </c>
      <c r="DF112" s="72">
        <f t="shared" si="3"/>
        <v>0</v>
      </c>
      <c r="DG112" s="166"/>
      <c r="DJ112" s="25"/>
      <c r="DK112" s="25"/>
      <c r="DL112" s="25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  <c r="EG112" s="24"/>
      <c r="EH112" s="24"/>
      <c r="EI112" s="24"/>
      <c r="EJ112" s="24"/>
      <c r="EK112" s="24"/>
      <c r="EL112" s="24"/>
      <c r="EM112" s="24"/>
      <c r="EN112" s="24"/>
      <c r="EO112" s="24"/>
      <c r="EP112" s="24"/>
      <c r="EQ112" s="24"/>
      <c r="ER112" s="24"/>
      <c r="ES112" s="24"/>
      <c r="ET112" s="24"/>
      <c r="EU112" s="24"/>
      <c r="EV112" s="24"/>
      <c r="EW112" s="24"/>
      <c r="EX112" s="24"/>
      <c r="EY112" s="24"/>
      <c r="EZ112" s="24"/>
      <c r="FA112" s="24"/>
      <c r="FB112" s="24"/>
      <c r="FC112" s="24"/>
      <c r="FD112" s="24"/>
      <c r="FE112" s="24"/>
      <c r="FF112" s="24"/>
      <c r="FG112" s="24"/>
      <c r="FH112" s="24"/>
      <c r="FI112" s="24"/>
      <c r="FJ112" s="24"/>
      <c r="FK112" s="24"/>
      <c r="FL112" s="24"/>
      <c r="FM112" s="24"/>
      <c r="FN112" s="24"/>
      <c r="FO112" s="24"/>
      <c r="FP112" s="24"/>
      <c r="FQ112" s="24"/>
      <c r="FR112" s="24"/>
      <c r="FS112" s="24"/>
      <c r="FT112" s="24"/>
      <c r="FU112" s="24"/>
      <c r="FV112" s="24"/>
      <c r="FW112" s="24"/>
      <c r="FX112" s="24"/>
      <c r="FY112" s="24"/>
      <c r="FZ112" s="24"/>
      <c r="GA112" s="24"/>
      <c r="GB112" s="24"/>
      <c r="GC112" s="24"/>
      <c r="GD112" s="24"/>
      <c r="GE112" s="24"/>
      <c r="GF112" s="24"/>
      <c r="GG112" s="24"/>
      <c r="GH112" s="24"/>
      <c r="GI112" s="24"/>
      <c r="GJ112" s="24"/>
      <c r="GK112" s="24"/>
      <c r="GL112" s="24"/>
      <c r="GM112" s="24"/>
      <c r="GN112" s="24"/>
      <c r="GO112" s="24"/>
      <c r="GP112" s="24"/>
      <c r="GQ112" s="24"/>
      <c r="GR112" s="24"/>
      <c r="GS112" s="24"/>
      <c r="GT112" s="24"/>
      <c r="GU112" s="24"/>
      <c r="GV112" s="24"/>
      <c r="GW112" s="24"/>
      <c r="GX112" s="24"/>
      <c r="GY112" s="24"/>
      <c r="GZ112" s="24"/>
      <c r="HA112" s="24"/>
      <c r="HB112" s="24"/>
      <c r="HC112" s="24"/>
      <c r="HD112" s="24"/>
      <c r="HE112" s="24"/>
      <c r="HF112" s="24"/>
      <c r="HG112" s="24"/>
      <c r="HH112" s="24"/>
      <c r="HI112" s="24"/>
      <c r="HJ112" s="24"/>
      <c r="HK112" s="24"/>
      <c r="HL112" s="24"/>
      <c r="HM112" s="24"/>
      <c r="HN112" s="24"/>
      <c r="HO112" s="24"/>
      <c r="HP112" s="24"/>
      <c r="HQ112" s="24"/>
      <c r="HR112" s="24"/>
      <c r="HS112" s="24"/>
      <c r="HT112" s="24"/>
      <c r="HU112" s="24"/>
      <c r="HV112" s="24"/>
      <c r="HW112" s="24"/>
      <c r="HX112" s="24"/>
      <c r="HY112" s="24"/>
      <c r="HZ112" s="24"/>
      <c r="IA112" s="24"/>
      <c r="IB112" s="24"/>
      <c r="IC112" s="24"/>
      <c r="ID112" s="24"/>
      <c r="IE112" s="24"/>
      <c r="IF112" s="24"/>
      <c r="IG112" s="24"/>
      <c r="IH112" s="24"/>
      <c r="II112" s="24"/>
      <c r="IJ112" s="24"/>
      <c r="IK112" s="24"/>
      <c r="IL112" s="24"/>
      <c r="IM112" s="24"/>
      <c r="IN112" s="24"/>
      <c r="IO112" s="24"/>
      <c r="IP112" s="24"/>
      <c r="IQ112" s="24"/>
      <c r="IR112" s="24"/>
      <c r="IS112" s="24"/>
      <c r="IT112" s="24"/>
      <c r="IU112" s="24"/>
      <c r="IV112" s="24"/>
      <c r="IW112" s="24"/>
      <c r="IX112" s="24"/>
      <c r="IY112" s="24"/>
      <c r="IZ112" s="24"/>
      <c r="JA112" s="24"/>
      <c r="JB112" s="24"/>
      <c r="JC112" s="24"/>
      <c r="JD112" s="24"/>
      <c r="JE112" s="24"/>
      <c r="JF112" s="24"/>
      <c r="JG112" s="24"/>
      <c r="JH112" s="24"/>
      <c r="JI112" s="24"/>
      <c r="JJ112" s="24"/>
      <c r="JK112" s="24"/>
      <c r="JL112" s="24"/>
      <c r="JM112" s="24"/>
      <c r="JN112" s="24"/>
      <c r="JO112" s="24"/>
      <c r="JP112" s="24"/>
      <c r="JQ112" s="24"/>
      <c r="JR112" s="24"/>
      <c r="JS112" s="24"/>
      <c r="JT112" s="24"/>
      <c r="JU112" s="24"/>
      <c r="JV112" s="24"/>
      <c r="JW112" s="24"/>
      <c r="JX112" s="24"/>
      <c r="JY112" s="24"/>
      <c r="JZ112" s="24"/>
      <c r="KA112" s="24"/>
      <c r="KB112" s="24"/>
      <c r="KC112" s="24"/>
      <c r="KD112" s="24"/>
      <c r="KE112" s="24"/>
      <c r="KF112" s="24"/>
      <c r="KG112" s="24"/>
      <c r="KH112" s="24"/>
      <c r="KI112" s="24"/>
      <c r="KJ112" s="24"/>
      <c r="KK112" s="24"/>
      <c r="KL112" s="24"/>
    </row>
    <row r="113" spans="1:298" s="26" customFormat="1" ht="15" hidden="1" customHeight="1" x14ac:dyDescent="0.3">
      <c r="A113" s="172"/>
      <c r="B113" s="172"/>
      <c r="C113" s="172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2"/>
      <c r="AT113" s="172"/>
      <c r="AU113" s="172"/>
      <c r="AV113" s="172"/>
      <c r="AW113" s="172"/>
      <c r="AX113" s="172"/>
      <c r="AY113" s="172"/>
      <c r="AZ113" s="172"/>
      <c r="BA113" s="172"/>
      <c r="BB113" s="172"/>
      <c r="BC113" s="172"/>
      <c r="BD113" s="172"/>
      <c r="BE113" s="172"/>
      <c r="BF113" s="172"/>
      <c r="BG113" s="172"/>
      <c r="BH113" s="172"/>
      <c r="BI113" s="172"/>
      <c r="BJ113" s="172"/>
      <c r="BK113" s="172"/>
      <c r="BL113" s="172"/>
      <c r="BM113" s="172"/>
      <c r="BN113" s="172"/>
      <c r="BO113" s="172"/>
      <c r="BP113" s="172"/>
      <c r="BQ113" s="172"/>
      <c r="BR113" s="172"/>
      <c r="BS113" s="172"/>
      <c r="BT113" s="172"/>
      <c r="BU113" s="172"/>
      <c r="BV113" s="172"/>
      <c r="BW113" s="172"/>
      <c r="BX113" s="172"/>
      <c r="BY113" s="174"/>
      <c r="BZ113" s="172"/>
      <c r="CA113" s="172"/>
      <c r="CB113" s="24"/>
      <c r="CC113" s="25"/>
      <c r="CH113" s="27"/>
      <c r="CL113" s="28"/>
      <c r="CM113" s="28"/>
      <c r="CO113" s="29"/>
      <c r="CP113" s="28"/>
      <c r="CQ113" s="28"/>
      <c r="CR113" s="28"/>
      <c r="CS113" s="28"/>
      <c r="CT113" s="28"/>
      <c r="CU113" s="28"/>
      <c r="CW113" s="85"/>
      <c r="CX113" s="69" t="str">
        <f>견적관리자용!$S$15</f>
        <v>화물(1~2.5톤 미만)</v>
      </c>
      <c r="CY113" s="70">
        <v>0</v>
      </c>
      <c r="CZ113" s="125">
        <v>0.03</v>
      </c>
      <c r="DA113" s="125">
        <v>0.03</v>
      </c>
      <c r="DB113" s="125">
        <v>0.03</v>
      </c>
      <c r="DC113" s="125">
        <v>0.03</v>
      </c>
      <c r="DD113" s="72">
        <f t="shared" si="4"/>
        <v>0</v>
      </c>
      <c r="DE113" s="73">
        <v>110</v>
      </c>
      <c r="DF113" s="72">
        <f t="shared" si="3"/>
        <v>0</v>
      </c>
      <c r="DG113" s="166"/>
      <c r="DJ113" s="25"/>
      <c r="DK113" s="25"/>
      <c r="DL113" s="25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4"/>
      <c r="EP113" s="24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4"/>
      <c r="FC113" s="24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4"/>
      <c r="FP113" s="24"/>
      <c r="FQ113" s="24"/>
      <c r="FR113" s="24"/>
      <c r="FS113" s="24"/>
      <c r="FT113" s="24"/>
      <c r="FU113" s="24"/>
      <c r="FV113" s="24"/>
      <c r="FW113" s="24"/>
      <c r="FX113" s="24"/>
      <c r="FY113" s="24"/>
      <c r="FZ113" s="24"/>
      <c r="GA113" s="24"/>
      <c r="GB113" s="24"/>
      <c r="GC113" s="24"/>
      <c r="GD113" s="24"/>
      <c r="GE113" s="24"/>
      <c r="GF113" s="24"/>
      <c r="GG113" s="24"/>
      <c r="GH113" s="24"/>
      <c r="GI113" s="24"/>
      <c r="GJ113" s="24"/>
      <c r="GK113" s="24"/>
      <c r="GL113" s="24"/>
      <c r="GM113" s="24"/>
      <c r="GN113" s="24"/>
      <c r="GO113" s="24"/>
      <c r="GP113" s="24"/>
      <c r="GQ113" s="24"/>
      <c r="GR113" s="24"/>
      <c r="GS113" s="24"/>
      <c r="GT113" s="24"/>
      <c r="GU113" s="24"/>
      <c r="GV113" s="24"/>
      <c r="GW113" s="24"/>
      <c r="GX113" s="24"/>
      <c r="GY113" s="24"/>
      <c r="GZ113" s="24"/>
      <c r="HA113" s="24"/>
      <c r="HB113" s="24"/>
      <c r="HC113" s="24"/>
      <c r="HD113" s="24"/>
      <c r="HE113" s="24"/>
      <c r="HF113" s="24"/>
      <c r="HG113" s="24"/>
      <c r="HH113" s="24"/>
      <c r="HI113" s="24"/>
      <c r="HJ113" s="24"/>
      <c r="HK113" s="24"/>
      <c r="HL113" s="24"/>
      <c r="HM113" s="24"/>
      <c r="HN113" s="24"/>
      <c r="HO113" s="24"/>
      <c r="HP113" s="24"/>
      <c r="HQ113" s="24"/>
      <c r="HR113" s="24"/>
      <c r="HS113" s="24"/>
      <c r="HT113" s="24"/>
      <c r="HU113" s="24"/>
      <c r="HV113" s="24"/>
      <c r="HW113" s="24"/>
      <c r="HX113" s="24"/>
      <c r="HY113" s="24"/>
      <c r="HZ113" s="24"/>
      <c r="IA113" s="24"/>
      <c r="IB113" s="24"/>
      <c r="IC113" s="24"/>
      <c r="ID113" s="24"/>
      <c r="IE113" s="24"/>
      <c r="IF113" s="24"/>
      <c r="IG113" s="24"/>
      <c r="IH113" s="24"/>
      <c r="II113" s="24"/>
      <c r="IJ113" s="24"/>
      <c r="IK113" s="24"/>
      <c r="IL113" s="24"/>
      <c r="IM113" s="24"/>
      <c r="IN113" s="24"/>
      <c r="IO113" s="24"/>
      <c r="IP113" s="24"/>
      <c r="IQ113" s="24"/>
      <c r="IR113" s="24"/>
      <c r="IS113" s="24"/>
      <c r="IT113" s="24"/>
      <c r="IU113" s="24"/>
      <c r="IV113" s="24"/>
      <c r="IW113" s="24"/>
      <c r="IX113" s="24"/>
      <c r="IY113" s="24"/>
      <c r="IZ113" s="24"/>
      <c r="JA113" s="24"/>
      <c r="JB113" s="24"/>
      <c r="JC113" s="24"/>
      <c r="JD113" s="24"/>
      <c r="JE113" s="24"/>
      <c r="JF113" s="24"/>
      <c r="JG113" s="24"/>
      <c r="JH113" s="24"/>
      <c r="JI113" s="24"/>
      <c r="JJ113" s="24"/>
      <c r="JK113" s="24"/>
      <c r="JL113" s="24"/>
      <c r="JM113" s="24"/>
      <c r="JN113" s="24"/>
      <c r="JO113" s="24"/>
      <c r="JP113" s="24"/>
      <c r="JQ113" s="24"/>
      <c r="JR113" s="24"/>
      <c r="JS113" s="24"/>
      <c r="JT113" s="24"/>
      <c r="JU113" s="24"/>
      <c r="JV113" s="24"/>
      <c r="JW113" s="24"/>
      <c r="JX113" s="24"/>
      <c r="JY113" s="24"/>
      <c r="JZ113" s="24"/>
      <c r="KA113" s="24"/>
      <c r="KB113" s="24"/>
      <c r="KC113" s="24"/>
      <c r="KD113" s="24"/>
      <c r="KE113" s="24"/>
      <c r="KF113" s="24"/>
      <c r="KG113" s="24"/>
      <c r="KH113" s="24"/>
      <c r="KI113" s="24"/>
      <c r="KJ113" s="24"/>
      <c r="KK113" s="24"/>
      <c r="KL113" s="24"/>
    </row>
    <row r="114" spans="1:298" s="26" customFormat="1" ht="15" hidden="1" customHeight="1" x14ac:dyDescent="0.3">
      <c r="A114" s="172"/>
      <c r="B114" s="172"/>
      <c r="C114" s="172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2"/>
      <c r="AT114" s="172"/>
      <c r="AU114" s="172"/>
      <c r="AV114" s="172"/>
      <c r="AW114" s="172"/>
      <c r="AX114" s="172"/>
      <c r="AY114" s="172"/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172"/>
      <c r="BM114" s="172"/>
      <c r="BN114" s="172"/>
      <c r="BO114" s="172"/>
      <c r="BP114" s="172"/>
      <c r="BQ114" s="172"/>
      <c r="BR114" s="172"/>
      <c r="BS114" s="172"/>
      <c r="BT114" s="172"/>
      <c r="BU114" s="172"/>
      <c r="BV114" s="172"/>
      <c r="BW114" s="172"/>
      <c r="BX114" s="172"/>
      <c r="BY114" s="174"/>
      <c r="BZ114" s="172"/>
      <c r="CA114" s="172"/>
      <c r="CB114" s="24"/>
      <c r="CC114" s="25"/>
      <c r="CH114" s="27"/>
      <c r="CL114" s="28"/>
      <c r="CM114" s="28"/>
      <c r="CO114" s="29"/>
      <c r="CP114" s="28"/>
      <c r="CQ114" s="28"/>
      <c r="CR114" s="28"/>
      <c r="CS114" s="28"/>
      <c r="CT114" s="28"/>
      <c r="CU114" s="28"/>
      <c r="CW114" s="85"/>
      <c r="CX114" s="69" t="str">
        <f>견적관리자용!$S$16</f>
        <v>화물(2.5~4.6톤 미만)</v>
      </c>
      <c r="CY114" s="70">
        <v>0</v>
      </c>
      <c r="CZ114" s="125">
        <v>0.03</v>
      </c>
      <c r="DA114" s="125">
        <v>0.03</v>
      </c>
      <c r="DB114" s="125">
        <v>0.03</v>
      </c>
      <c r="DC114" s="125">
        <v>0.03</v>
      </c>
      <c r="DD114" s="72">
        <f t="shared" si="4"/>
        <v>0</v>
      </c>
      <c r="DE114" s="73">
        <v>111</v>
      </c>
      <c r="DF114" s="72">
        <f t="shared" si="3"/>
        <v>0</v>
      </c>
      <c r="DG114" s="166"/>
      <c r="DJ114" s="25"/>
      <c r="DK114" s="25"/>
      <c r="DL114" s="25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  <c r="EG114" s="24"/>
      <c r="EH114" s="24"/>
      <c r="EI114" s="24"/>
      <c r="EJ114" s="24"/>
      <c r="EK114" s="24"/>
      <c r="EL114" s="24"/>
      <c r="EM114" s="24"/>
      <c r="EN114" s="24"/>
      <c r="EO114" s="24"/>
      <c r="EP114" s="24"/>
      <c r="EQ114" s="24"/>
      <c r="ER114" s="24"/>
      <c r="ES114" s="24"/>
      <c r="ET114" s="24"/>
      <c r="EU114" s="24"/>
      <c r="EV114" s="24"/>
      <c r="EW114" s="24"/>
      <c r="EX114" s="24"/>
      <c r="EY114" s="24"/>
      <c r="EZ114" s="24"/>
      <c r="FA114" s="24"/>
      <c r="FB114" s="24"/>
      <c r="FC114" s="24"/>
      <c r="FD114" s="24"/>
      <c r="FE114" s="24"/>
      <c r="FF114" s="24"/>
      <c r="FG114" s="24"/>
      <c r="FH114" s="24"/>
      <c r="FI114" s="24"/>
      <c r="FJ114" s="24"/>
      <c r="FK114" s="24"/>
      <c r="FL114" s="24"/>
      <c r="FM114" s="24"/>
      <c r="FN114" s="24"/>
      <c r="FO114" s="24"/>
      <c r="FP114" s="24"/>
      <c r="FQ114" s="24"/>
      <c r="FR114" s="24"/>
      <c r="FS114" s="24"/>
      <c r="FT114" s="24"/>
      <c r="FU114" s="24"/>
      <c r="FV114" s="24"/>
      <c r="FW114" s="24"/>
      <c r="FX114" s="24"/>
      <c r="FY114" s="24"/>
      <c r="FZ114" s="24"/>
      <c r="GA114" s="24"/>
      <c r="GB114" s="24"/>
      <c r="GC114" s="24"/>
      <c r="GD114" s="24"/>
      <c r="GE114" s="24"/>
      <c r="GF114" s="24"/>
      <c r="GG114" s="24"/>
      <c r="GH114" s="24"/>
      <c r="GI114" s="24"/>
      <c r="GJ114" s="24"/>
      <c r="GK114" s="24"/>
      <c r="GL114" s="24"/>
      <c r="GM114" s="24"/>
      <c r="GN114" s="24"/>
      <c r="GO114" s="24"/>
      <c r="GP114" s="24"/>
      <c r="GQ114" s="24"/>
      <c r="GR114" s="24"/>
      <c r="GS114" s="24"/>
      <c r="GT114" s="24"/>
      <c r="GU114" s="24"/>
      <c r="GV114" s="24"/>
      <c r="GW114" s="24"/>
      <c r="GX114" s="24"/>
      <c r="GY114" s="24"/>
      <c r="GZ114" s="24"/>
      <c r="HA114" s="24"/>
      <c r="HB114" s="24"/>
      <c r="HC114" s="24"/>
      <c r="HD114" s="24"/>
      <c r="HE114" s="24"/>
      <c r="HF114" s="24"/>
      <c r="HG114" s="24"/>
      <c r="HH114" s="24"/>
      <c r="HI114" s="24"/>
      <c r="HJ114" s="24"/>
      <c r="HK114" s="24"/>
      <c r="HL114" s="24"/>
      <c r="HM114" s="24"/>
      <c r="HN114" s="24"/>
      <c r="HO114" s="24"/>
      <c r="HP114" s="24"/>
      <c r="HQ114" s="24"/>
      <c r="HR114" s="24"/>
      <c r="HS114" s="24"/>
      <c r="HT114" s="24"/>
      <c r="HU114" s="24"/>
      <c r="HV114" s="24"/>
      <c r="HW114" s="24"/>
      <c r="HX114" s="24"/>
      <c r="HY114" s="24"/>
      <c r="HZ114" s="24"/>
      <c r="IA114" s="24"/>
      <c r="IB114" s="24"/>
      <c r="IC114" s="24"/>
      <c r="ID114" s="24"/>
      <c r="IE114" s="24"/>
      <c r="IF114" s="24"/>
      <c r="IG114" s="24"/>
      <c r="IH114" s="24"/>
      <c r="II114" s="24"/>
      <c r="IJ114" s="24"/>
      <c r="IK114" s="24"/>
      <c r="IL114" s="24"/>
      <c r="IM114" s="24"/>
      <c r="IN114" s="24"/>
      <c r="IO114" s="24"/>
      <c r="IP114" s="24"/>
      <c r="IQ114" s="24"/>
      <c r="IR114" s="24"/>
      <c r="IS114" s="24"/>
      <c r="IT114" s="24"/>
      <c r="IU114" s="24"/>
      <c r="IV114" s="24"/>
      <c r="IW114" s="24"/>
      <c r="IX114" s="24"/>
      <c r="IY114" s="24"/>
      <c r="IZ114" s="24"/>
      <c r="JA114" s="24"/>
      <c r="JB114" s="24"/>
      <c r="JC114" s="24"/>
      <c r="JD114" s="24"/>
      <c r="JE114" s="24"/>
      <c r="JF114" s="24"/>
      <c r="JG114" s="24"/>
      <c r="JH114" s="24"/>
      <c r="JI114" s="24"/>
      <c r="JJ114" s="24"/>
      <c r="JK114" s="24"/>
      <c r="JL114" s="24"/>
      <c r="JM114" s="24"/>
      <c r="JN114" s="24"/>
      <c r="JO114" s="24"/>
      <c r="JP114" s="24"/>
      <c r="JQ114" s="24"/>
      <c r="JR114" s="24"/>
      <c r="JS114" s="24"/>
      <c r="JT114" s="24"/>
      <c r="JU114" s="24"/>
      <c r="JV114" s="24"/>
      <c r="JW114" s="24"/>
      <c r="JX114" s="24"/>
      <c r="JY114" s="24"/>
      <c r="JZ114" s="24"/>
      <c r="KA114" s="24"/>
      <c r="KB114" s="24"/>
      <c r="KC114" s="24"/>
      <c r="KD114" s="24"/>
      <c r="KE114" s="24"/>
      <c r="KF114" s="24"/>
      <c r="KG114" s="24"/>
      <c r="KH114" s="24"/>
      <c r="KI114" s="24"/>
      <c r="KJ114" s="24"/>
      <c r="KK114" s="24"/>
      <c r="KL114" s="24"/>
    </row>
    <row r="115" spans="1:298" s="26" customFormat="1" ht="15" hidden="1" customHeight="1" x14ac:dyDescent="0.3">
      <c r="A115" s="172"/>
      <c r="B115" s="172"/>
      <c r="C115" s="172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4"/>
      <c r="BZ115" s="172"/>
      <c r="CA115" s="172"/>
      <c r="CB115" s="24"/>
      <c r="CC115" s="25"/>
      <c r="CH115" s="27"/>
      <c r="CL115" s="28"/>
      <c r="CM115" s="28"/>
      <c r="CO115" s="29"/>
      <c r="CP115" s="28"/>
      <c r="CQ115" s="28"/>
      <c r="CR115" s="28"/>
      <c r="CS115" s="28"/>
      <c r="CT115" s="28"/>
      <c r="CU115" s="28"/>
      <c r="CW115" s="90"/>
      <c r="CX115" s="91" t="str">
        <f>견적관리자용!$S$17</f>
        <v>화물(4.6톤 이상)</v>
      </c>
      <c r="CY115" s="92">
        <v>0</v>
      </c>
      <c r="CZ115" s="180">
        <v>0.03</v>
      </c>
      <c r="DA115" s="180">
        <v>0.03</v>
      </c>
      <c r="DB115" s="180">
        <v>0.03</v>
      </c>
      <c r="DC115" s="180">
        <v>0.03</v>
      </c>
      <c r="DD115" s="93">
        <f t="shared" si="4"/>
        <v>0</v>
      </c>
      <c r="DE115" s="94">
        <v>112</v>
      </c>
      <c r="DF115" s="93">
        <f t="shared" si="3"/>
        <v>0</v>
      </c>
      <c r="DG115" s="181"/>
      <c r="DJ115" s="25"/>
      <c r="DK115" s="25"/>
      <c r="DL115" s="25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4"/>
      <c r="EP115" s="24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4"/>
      <c r="FC115" s="24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4"/>
      <c r="FP115" s="24"/>
      <c r="FQ115" s="24"/>
      <c r="FR115" s="24"/>
      <c r="FS115" s="24"/>
      <c r="FT115" s="24"/>
      <c r="FU115" s="24"/>
      <c r="FV115" s="24"/>
      <c r="FW115" s="24"/>
      <c r="FX115" s="24"/>
      <c r="FY115" s="24"/>
      <c r="FZ115" s="24"/>
      <c r="GA115" s="24"/>
      <c r="GB115" s="24"/>
      <c r="GC115" s="24"/>
      <c r="GD115" s="24"/>
      <c r="GE115" s="24"/>
      <c r="GF115" s="24"/>
      <c r="GG115" s="24"/>
      <c r="GH115" s="24"/>
      <c r="GI115" s="24"/>
      <c r="GJ115" s="24"/>
      <c r="GK115" s="24"/>
      <c r="GL115" s="24"/>
      <c r="GM115" s="24"/>
      <c r="GN115" s="24"/>
      <c r="GO115" s="24"/>
      <c r="GP115" s="24"/>
      <c r="GQ115" s="24"/>
      <c r="GR115" s="24"/>
      <c r="GS115" s="24"/>
      <c r="GT115" s="24"/>
      <c r="GU115" s="24"/>
      <c r="GV115" s="24"/>
      <c r="GW115" s="24"/>
      <c r="GX115" s="24"/>
      <c r="GY115" s="24"/>
      <c r="GZ115" s="24"/>
      <c r="HA115" s="24"/>
      <c r="HB115" s="24"/>
      <c r="HC115" s="24"/>
      <c r="HD115" s="24"/>
      <c r="HE115" s="24"/>
      <c r="HF115" s="24"/>
      <c r="HG115" s="24"/>
      <c r="HH115" s="24"/>
      <c r="HI115" s="24"/>
      <c r="HJ115" s="24"/>
      <c r="HK115" s="24"/>
      <c r="HL115" s="24"/>
      <c r="HM115" s="24"/>
      <c r="HN115" s="24"/>
      <c r="HO115" s="24"/>
      <c r="HP115" s="24"/>
      <c r="HQ115" s="24"/>
      <c r="HR115" s="24"/>
      <c r="HS115" s="24"/>
      <c r="HT115" s="24"/>
      <c r="HU115" s="24"/>
      <c r="HV115" s="24"/>
      <c r="HW115" s="24"/>
      <c r="HX115" s="24"/>
      <c r="HY115" s="24"/>
      <c r="HZ115" s="24"/>
      <c r="IA115" s="24"/>
      <c r="IB115" s="24"/>
      <c r="IC115" s="24"/>
      <c r="ID115" s="24"/>
      <c r="IE115" s="24"/>
      <c r="IF115" s="24"/>
      <c r="IG115" s="24"/>
      <c r="IH115" s="24"/>
      <c r="II115" s="24"/>
      <c r="IJ115" s="24"/>
      <c r="IK115" s="24"/>
      <c r="IL115" s="24"/>
      <c r="IM115" s="24"/>
      <c r="IN115" s="24"/>
      <c r="IO115" s="24"/>
      <c r="IP115" s="24"/>
      <c r="IQ115" s="24"/>
      <c r="IR115" s="24"/>
      <c r="IS115" s="24"/>
      <c r="IT115" s="24"/>
      <c r="IU115" s="24"/>
      <c r="IV115" s="24"/>
      <c r="IW115" s="24"/>
      <c r="IX115" s="24"/>
      <c r="IY115" s="24"/>
      <c r="IZ115" s="24"/>
      <c r="JA115" s="24"/>
      <c r="JB115" s="24"/>
      <c r="JC115" s="24"/>
      <c r="JD115" s="24"/>
      <c r="JE115" s="24"/>
      <c r="JF115" s="24"/>
      <c r="JG115" s="24"/>
      <c r="JH115" s="24"/>
      <c r="JI115" s="24"/>
      <c r="JJ115" s="24"/>
      <c r="JK115" s="24"/>
      <c r="JL115" s="24"/>
      <c r="JM115" s="24"/>
      <c r="JN115" s="24"/>
      <c r="JO115" s="24"/>
      <c r="JP115" s="24"/>
      <c r="JQ115" s="24"/>
      <c r="JR115" s="24"/>
      <c r="JS115" s="24"/>
      <c r="JT115" s="24"/>
      <c r="JU115" s="24"/>
      <c r="JV115" s="24"/>
      <c r="JW115" s="24"/>
      <c r="JX115" s="24"/>
      <c r="JY115" s="24"/>
      <c r="JZ115" s="24"/>
      <c r="KA115" s="24"/>
      <c r="KB115" s="24"/>
      <c r="KC115" s="24"/>
      <c r="KD115" s="24"/>
      <c r="KE115" s="24"/>
      <c r="KF115" s="24"/>
      <c r="KG115" s="24"/>
      <c r="KH115" s="24"/>
      <c r="KI115" s="24"/>
      <c r="KJ115" s="24"/>
      <c r="KK115" s="24"/>
      <c r="KL115" s="24"/>
    </row>
    <row r="116" spans="1:298" s="26" customFormat="1" ht="15" hidden="1" customHeight="1" x14ac:dyDescent="0.3">
      <c r="A116" s="172"/>
      <c r="B116" s="172"/>
      <c r="C116" s="172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4"/>
      <c r="BZ116" s="172"/>
      <c r="CA116" s="172"/>
      <c r="CB116" s="24"/>
      <c r="CC116" s="25"/>
      <c r="CH116" s="27"/>
      <c r="CL116" s="28"/>
      <c r="CM116" s="28"/>
      <c r="CO116" s="29"/>
      <c r="CP116" s="28"/>
      <c r="CQ116" s="28"/>
      <c r="CR116" s="28"/>
      <c r="CS116" s="28"/>
      <c r="CT116" s="28"/>
      <c r="CU116" s="28"/>
      <c r="CW116" s="58" t="s">
        <v>109</v>
      </c>
      <c r="CX116" s="59" t="str">
        <f>견적관리자용!$S$8</f>
        <v>승용일반</v>
      </c>
      <c r="CY116" s="60">
        <v>0</v>
      </c>
      <c r="CZ116" s="61">
        <v>0.06</v>
      </c>
      <c r="DA116" s="61">
        <v>0.06</v>
      </c>
      <c r="DB116" s="61">
        <v>0.08</v>
      </c>
      <c r="DC116" s="61">
        <v>0.12</v>
      </c>
      <c r="DD116" s="62">
        <f t="shared" si="4"/>
        <v>0</v>
      </c>
      <c r="DE116" s="63">
        <v>113</v>
      </c>
      <c r="DF116" s="62">
        <f t="shared" si="3"/>
        <v>0</v>
      </c>
      <c r="DG116" s="163">
        <f>SUM(DF116:DF125)</f>
        <v>0</v>
      </c>
      <c r="DJ116" s="25"/>
      <c r="DK116" s="25"/>
      <c r="DL116" s="25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  <c r="EG116" s="24"/>
      <c r="EH116" s="24"/>
      <c r="EI116" s="24"/>
      <c r="EJ116" s="24"/>
      <c r="EK116" s="24"/>
      <c r="EL116" s="24"/>
      <c r="EM116" s="24"/>
      <c r="EN116" s="24"/>
      <c r="EO116" s="24"/>
      <c r="EP116" s="24"/>
      <c r="EQ116" s="24"/>
      <c r="ER116" s="24"/>
      <c r="ES116" s="24"/>
      <c r="ET116" s="24"/>
      <c r="EU116" s="24"/>
      <c r="EV116" s="24"/>
      <c r="EW116" s="24"/>
      <c r="EX116" s="24"/>
      <c r="EY116" s="24"/>
      <c r="EZ116" s="24"/>
      <c r="FA116" s="24"/>
      <c r="FB116" s="24"/>
      <c r="FC116" s="24"/>
      <c r="FD116" s="24"/>
      <c r="FE116" s="24"/>
      <c r="FF116" s="24"/>
      <c r="FG116" s="24"/>
      <c r="FH116" s="24"/>
      <c r="FI116" s="24"/>
      <c r="FJ116" s="24"/>
      <c r="FK116" s="24"/>
      <c r="FL116" s="24"/>
      <c r="FM116" s="24"/>
      <c r="FN116" s="24"/>
      <c r="FO116" s="24"/>
      <c r="FP116" s="24"/>
      <c r="FQ116" s="24"/>
      <c r="FR116" s="24"/>
      <c r="FS116" s="24"/>
      <c r="FT116" s="24"/>
      <c r="FU116" s="24"/>
      <c r="FV116" s="24"/>
      <c r="FW116" s="24"/>
      <c r="FX116" s="24"/>
      <c r="FY116" s="24"/>
      <c r="FZ116" s="24"/>
      <c r="GA116" s="24"/>
      <c r="GB116" s="24"/>
      <c r="GC116" s="24"/>
      <c r="GD116" s="24"/>
      <c r="GE116" s="24"/>
      <c r="GF116" s="24"/>
      <c r="GG116" s="24"/>
      <c r="GH116" s="24"/>
      <c r="GI116" s="24"/>
      <c r="GJ116" s="24"/>
      <c r="GK116" s="24"/>
      <c r="GL116" s="24"/>
      <c r="GM116" s="24"/>
      <c r="GN116" s="24"/>
      <c r="GO116" s="24"/>
      <c r="GP116" s="24"/>
      <c r="GQ116" s="24"/>
      <c r="GR116" s="24"/>
      <c r="GS116" s="24"/>
      <c r="GT116" s="24"/>
      <c r="GU116" s="24"/>
      <c r="GV116" s="24"/>
      <c r="GW116" s="24"/>
      <c r="GX116" s="24"/>
      <c r="GY116" s="24"/>
      <c r="GZ116" s="24"/>
      <c r="HA116" s="24"/>
      <c r="HB116" s="24"/>
      <c r="HC116" s="24"/>
      <c r="HD116" s="24"/>
      <c r="HE116" s="24"/>
      <c r="HF116" s="24"/>
      <c r="HG116" s="24"/>
      <c r="HH116" s="24"/>
      <c r="HI116" s="24"/>
      <c r="HJ116" s="24"/>
      <c r="HK116" s="24"/>
      <c r="HL116" s="24"/>
      <c r="HM116" s="24"/>
      <c r="HN116" s="24"/>
      <c r="HO116" s="24"/>
      <c r="HP116" s="24"/>
      <c r="HQ116" s="24"/>
      <c r="HR116" s="24"/>
      <c r="HS116" s="24"/>
      <c r="HT116" s="24"/>
      <c r="HU116" s="24"/>
      <c r="HV116" s="24"/>
      <c r="HW116" s="24"/>
      <c r="HX116" s="24"/>
      <c r="HY116" s="24"/>
      <c r="HZ116" s="24"/>
      <c r="IA116" s="24"/>
      <c r="IB116" s="24"/>
      <c r="IC116" s="24"/>
      <c r="ID116" s="24"/>
      <c r="IE116" s="24"/>
      <c r="IF116" s="24"/>
      <c r="IG116" s="24"/>
      <c r="IH116" s="24"/>
      <c r="II116" s="24"/>
      <c r="IJ116" s="24"/>
      <c r="IK116" s="24"/>
      <c r="IL116" s="24"/>
      <c r="IM116" s="24"/>
      <c r="IN116" s="24"/>
      <c r="IO116" s="24"/>
      <c r="IP116" s="24"/>
      <c r="IQ116" s="24"/>
      <c r="IR116" s="24"/>
      <c r="IS116" s="24"/>
      <c r="IT116" s="24"/>
      <c r="IU116" s="24"/>
      <c r="IV116" s="24"/>
      <c r="IW116" s="24"/>
      <c r="IX116" s="24"/>
      <c r="IY116" s="24"/>
      <c r="IZ116" s="24"/>
      <c r="JA116" s="24"/>
      <c r="JB116" s="24"/>
      <c r="JC116" s="24"/>
      <c r="JD116" s="24"/>
      <c r="JE116" s="24"/>
      <c r="JF116" s="24"/>
      <c r="JG116" s="24"/>
      <c r="JH116" s="24"/>
      <c r="JI116" s="24"/>
      <c r="JJ116" s="24"/>
      <c r="JK116" s="24"/>
      <c r="JL116" s="24"/>
      <c r="JM116" s="24"/>
      <c r="JN116" s="24"/>
      <c r="JO116" s="24"/>
      <c r="JP116" s="24"/>
      <c r="JQ116" s="24"/>
      <c r="JR116" s="24"/>
      <c r="JS116" s="24"/>
      <c r="JT116" s="24"/>
      <c r="JU116" s="24"/>
      <c r="JV116" s="24"/>
      <c r="JW116" s="24"/>
      <c r="JX116" s="24"/>
      <c r="JY116" s="24"/>
      <c r="JZ116" s="24"/>
      <c r="KA116" s="24"/>
      <c r="KB116" s="24"/>
      <c r="KC116" s="24"/>
      <c r="KD116" s="24"/>
      <c r="KE116" s="24"/>
      <c r="KF116" s="24"/>
      <c r="KG116" s="24"/>
      <c r="KH116" s="24"/>
      <c r="KI116" s="24"/>
      <c r="KJ116" s="24"/>
      <c r="KK116" s="24"/>
      <c r="KL116" s="24"/>
    </row>
    <row r="117" spans="1:298" s="26" customFormat="1" ht="15" hidden="1" customHeight="1" x14ac:dyDescent="0.3">
      <c r="A117" s="172"/>
      <c r="B117" s="172"/>
      <c r="C117" s="172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4"/>
      <c r="BZ117" s="172"/>
      <c r="CA117" s="172"/>
      <c r="CB117" s="24"/>
      <c r="CC117" s="25"/>
      <c r="CH117" s="27"/>
      <c r="CL117" s="28"/>
      <c r="CM117" s="28"/>
      <c r="CO117" s="29"/>
      <c r="CP117" s="28"/>
      <c r="CQ117" s="28"/>
      <c r="CR117" s="28"/>
      <c r="CS117" s="28"/>
      <c r="CT117" s="28"/>
      <c r="CU117" s="28"/>
      <c r="CW117" s="68"/>
      <c r="CX117" s="69" t="str">
        <f>견적관리자용!$S$9</f>
        <v>승용SUV(~5인)</v>
      </c>
      <c r="CY117" s="70">
        <v>0</v>
      </c>
      <c r="CZ117" s="71">
        <v>0.06</v>
      </c>
      <c r="DA117" s="71">
        <v>0.06</v>
      </c>
      <c r="DB117" s="71">
        <v>0.08</v>
      </c>
      <c r="DC117" s="71">
        <v>0.12</v>
      </c>
      <c r="DD117" s="72">
        <f t="shared" si="4"/>
        <v>0</v>
      </c>
      <c r="DE117" s="73">
        <v>114</v>
      </c>
      <c r="DF117" s="72">
        <f t="shared" si="3"/>
        <v>0</v>
      </c>
      <c r="DG117" s="166"/>
      <c r="DJ117" s="25"/>
      <c r="DK117" s="25"/>
      <c r="DL117" s="25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4"/>
      <c r="EP117" s="24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4"/>
      <c r="FC117" s="24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4"/>
      <c r="FP117" s="24"/>
      <c r="FQ117" s="24"/>
      <c r="FR117" s="24"/>
      <c r="FS117" s="24"/>
      <c r="FT117" s="24"/>
      <c r="FU117" s="24"/>
      <c r="FV117" s="24"/>
      <c r="FW117" s="24"/>
      <c r="FX117" s="24"/>
      <c r="FY117" s="24"/>
      <c r="FZ117" s="24"/>
      <c r="GA117" s="24"/>
      <c r="GB117" s="24"/>
      <c r="GC117" s="24"/>
      <c r="GD117" s="24"/>
      <c r="GE117" s="24"/>
      <c r="GF117" s="24"/>
      <c r="GG117" s="24"/>
      <c r="GH117" s="24"/>
      <c r="GI117" s="24"/>
      <c r="GJ117" s="24"/>
      <c r="GK117" s="24"/>
      <c r="GL117" s="24"/>
      <c r="GM117" s="24"/>
      <c r="GN117" s="24"/>
      <c r="GO117" s="24"/>
      <c r="GP117" s="24"/>
      <c r="GQ117" s="24"/>
      <c r="GR117" s="24"/>
      <c r="GS117" s="24"/>
      <c r="GT117" s="24"/>
      <c r="GU117" s="24"/>
      <c r="GV117" s="24"/>
      <c r="GW117" s="24"/>
      <c r="GX117" s="24"/>
      <c r="GY117" s="24"/>
      <c r="GZ117" s="24"/>
      <c r="HA117" s="24"/>
      <c r="HB117" s="24"/>
      <c r="HC117" s="24"/>
      <c r="HD117" s="24"/>
      <c r="HE117" s="24"/>
      <c r="HF117" s="24"/>
      <c r="HG117" s="24"/>
      <c r="HH117" s="24"/>
      <c r="HI117" s="24"/>
      <c r="HJ117" s="24"/>
      <c r="HK117" s="24"/>
      <c r="HL117" s="24"/>
      <c r="HM117" s="24"/>
      <c r="HN117" s="24"/>
      <c r="HO117" s="24"/>
      <c r="HP117" s="24"/>
      <c r="HQ117" s="24"/>
      <c r="HR117" s="24"/>
      <c r="HS117" s="24"/>
      <c r="HT117" s="24"/>
      <c r="HU117" s="24"/>
      <c r="HV117" s="24"/>
      <c r="HW117" s="24"/>
      <c r="HX117" s="24"/>
      <c r="HY117" s="24"/>
      <c r="HZ117" s="24"/>
      <c r="IA117" s="24"/>
      <c r="IB117" s="24"/>
      <c r="IC117" s="24"/>
      <c r="ID117" s="24"/>
      <c r="IE117" s="24"/>
      <c r="IF117" s="24"/>
      <c r="IG117" s="24"/>
      <c r="IH117" s="24"/>
      <c r="II117" s="24"/>
      <c r="IJ117" s="24"/>
      <c r="IK117" s="24"/>
      <c r="IL117" s="24"/>
      <c r="IM117" s="24"/>
      <c r="IN117" s="24"/>
      <c r="IO117" s="24"/>
      <c r="IP117" s="24"/>
      <c r="IQ117" s="24"/>
      <c r="IR117" s="24"/>
      <c r="IS117" s="24"/>
      <c r="IT117" s="24"/>
      <c r="IU117" s="24"/>
      <c r="IV117" s="24"/>
      <c r="IW117" s="24"/>
      <c r="IX117" s="24"/>
      <c r="IY117" s="24"/>
      <c r="IZ117" s="24"/>
      <c r="JA117" s="24"/>
      <c r="JB117" s="24"/>
      <c r="JC117" s="24"/>
      <c r="JD117" s="24"/>
      <c r="JE117" s="24"/>
      <c r="JF117" s="24"/>
      <c r="JG117" s="24"/>
      <c r="JH117" s="24"/>
      <c r="JI117" s="24"/>
      <c r="JJ117" s="24"/>
      <c r="JK117" s="24"/>
      <c r="JL117" s="24"/>
      <c r="JM117" s="24"/>
      <c r="JN117" s="24"/>
      <c r="JO117" s="24"/>
      <c r="JP117" s="24"/>
      <c r="JQ117" s="24"/>
      <c r="JR117" s="24"/>
      <c r="JS117" s="24"/>
      <c r="JT117" s="24"/>
      <c r="JU117" s="24"/>
      <c r="JV117" s="24"/>
      <c r="JW117" s="24"/>
      <c r="JX117" s="24"/>
      <c r="JY117" s="24"/>
      <c r="JZ117" s="24"/>
      <c r="KA117" s="24"/>
      <c r="KB117" s="24"/>
      <c r="KC117" s="24"/>
      <c r="KD117" s="24"/>
      <c r="KE117" s="24"/>
      <c r="KF117" s="24"/>
      <c r="KG117" s="24"/>
      <c r="KH117" s="24"/>
      <c r="KI117" s="24"/>
      <c r="KJ117" s="24"/>
      <c r="KK117" s="24"/>
      <c r="KL117" s="24"/>
    </row>
    <row r="118" spans="1:298" s="26" customFormat="1" ht="15" hidden="1" customHeight="1" x14ac:dyDescent="0.3">
      <c r="A118" s="172"/>
      <c r="B118" s="172"/>
      <c r="C118" s="172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4"/>
      <c r="BZ118" s="172"/>
      <c r="CA118" s="172"/>
      <c r="CB118" s="24"/>
      <c r="CC118" s="25"/>
      <c r="CH118" s="27"/>
      <c r="CL118" s="28"/>
      <c r="CM118" s="28"/>
      <c r="CO118" s="29"/>
      <c r="CP118" s="28"/>
      <c r="CQ118" s="28"/>
      <c r="CR118" s="28"/>
      <c r="CS118" s="28"/>
      <c r="CT118" s="28"/>
      <c r="CU118" s="28"/>
      <c r="CW118" s="68"/>
      <c r="CX118" s="69" t="str">
        <f>견적관리자용!$S$10</f>
        <v>승용SUV(7~10인)</v>
      </c>
      <c r="CY118" s="70">
        <v>0</v>
      </c>
      <c r="CZ118" s="71">
        <v>0.06</v>
      </c>
      <c r="DA118" s="71">
        <v>0.06</v>
      </c>
      <c r="DB118" s="71">
        <v>0.08</v>
      </c>
      <c r="DC118" s="71">
        <v>0.12</v>
      </c>
      <c r="DD118" s="72">
        <f t="shared" si="4"/>
        <v>0</v>
      </c>
      <c r="DE118" s="73">
        <v>115</v>
      </c>
      <c r="DF118" s="72">
        <f t="shared" si="3"/>
        <v>0</v>
      </c>
      <c r="DG118" s="166"/>
      <c r="DJ118" s="25"/>
      <c r="DK118" s="25"/>
      <c r="DL118" s="25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  <c r="EG118" s="24"/>
      <c r="EH118" s="24"/>
      <c r="EI118" s="24"/>
      <c r="EJ118" s="24"/>
      <c r="EK118" s="24"/>
      <c r="EL118" s="24"/>
      <c r="EM118" s="24"/>
      <c r="EN118" s="24"/>
      <c r="EO118" s="24"/>
      <c r="EP118" s="24"/>
      <c r="EQ118" s="24"/>
      <c r="ER118" s="24"/>
      <c r="ES118" s="24"/>
      <c r="ET118" s="24"/>
      <c r="EU118" s="24"/>
      <c r="EV118" s="24"/>
      <c r="EW118" s="24"/>
      <c r="EX118" s="24"/>
      <c r="EY118" s="24"/>
      <c r="EZ118" s="24"/>
      <c r="FA118" s="24"/>
      <c r="FB118" s="24"/>
      <c r="FC118" s="24"/>
      <c r="FD118" s="24"/>
      <c r="FE118" s="24"/>
      <c r="FF118" s="24"/>
      <c r="FG118" s="24"/>
      <c r="FH118" s="24"/>
      <c r="FI118" s="24"/>
      <c r="FJ118" s="24"/>
      <c r="FK118" s="24"/>
      <c r="FL118" s="24"/>
      <c r="FM118" s="24"/>
      <c r="FN118" s="24"/>
      <c r="FO118" s="24"/>
      <c r="FP118" s="24"/>
      <c r="FQ118" s="24"/>
      <c r="FR118" s="24"/>
      <c r="FS118" s="24"/>
      <c r="FT118" s="24"/>
      <c r="FU118" s="24"/>
      <c r="FV118" s="24"/>
      <c r="FW118" s="24"/>
      <c r="FX118" s="24"/>
      <c r="FY118" s="24"/>
      <c r="FZ118" s="24"/>
      <c r="GA118" s="24"/>
      <c r="GB118" s="24"/>
      <c r="GC118" s="24"/>
      <c r="GD118" s="24"/>
      <c r="GE118" s="24"/>
      <c r="GF118" s="24"/>
      <c r="GG118" s="24"/>
      <c r="GH118" s="24"/>
      <c r="GI118" s="24"/>
      <c r="GJ118" s="24"/>
      <c r="GK118" s="24"/>
      <c r="GL118" s="24"/>
      <c r="GM118" s="24"/>
      <c r="GN118" s="24"/>
      <c r="GO118" s="24"/>
      <c r="GP118" s="24"/>
      <c r="GQ118" s="24"/>
      <c r="GR118" s="24"/>
      <c r="GS118" s="24"/>
      <c r="GT118" s="24"/>
      <c r="GU118" s="24"/>
      <c r="GV118" s="24"/>
      <c r="GW118" s="24"/>
      <c r="GX118" s="24"/>
      <c r="GY118" s="24"/>
      <c r="GZ118" s="24"/>
      <c r="HA118" s="24"/>
      <c r="HB118" s="24"/>
      <c r="HC118" s="24"/>
      <c r="HD118" s="24"/>
      <c r="HE118" s="24"/>
      <c r="HF118" s="24"/>
      <c r="HG118" s="24"/>
      <c r="HH118" s="24"/>
      <c r="HI118" s="24"/>
      <c r="HJ118" s="24"/>
      <c r="HK118" s="24"/>
      <c r="HL118" s="24"/>
      <c r="HM118" s="24"/>
      <c r="HN118" s="24"/>
      <c r="HO118" s="24"/>
      <c r="HP118" s="24"/>
      <c r="HQ118" s="24"/>
      <c r="HR118" s="24"/>
      <c r="HS118" s="24"/>
      <c r="HT118" s="24"/>
      <c r="HU118" s="24"/>
      <c r="HV118" s="24"/>
      <c r="HW118" s="24"/>
      <c r="HX118" s="24"/>
      <c r="HY118" s="24"/>
      <c r="HZ118" s="24"/>
      <c r="IA118" s="24"/>
      <c r="IB118" s="24"/>
      <c r="IC118" s="24"/>
      <c r="ID118" s="24"/>
      <c r="IE118" s="24"/>
      <c r="IF118" s="24"/>
      <c r="IG118" s="24"/>
      <c r="IH118" s="24"/>
      <c r="II118" s="24"/>
      <c r="IJ118" s="24"/>
      <c r="IK118" s="24"/>
      <c r="IL118" s="24"/>
      <c r="IM118" s="24"/>
      <c r="IN118" s="24"/>
      <c r="IO118" s="24"/>
      <c r="IP118" s="24"/>
      <c r="IQ118" s="24"/>
      <c r="IR118" s="24"/>
      <c r="IS118" s="24"/>
      <c r="IT118" s="24"/>
      <c r="IU118" s="24"/>
      <c r="IV118" s="24"/>
      <c r="IW118" s="24"/>
      <c r="IX118" s="24"/>
      <c r="IY118" s="24"/>
      <c r="IZ118" s="24"/>
      <c r="JA118" s="24"/>
      <c r="JB118" s="24"/>
      <c r="JC118" s="24"/>
      <c r="JD118" s="24"/>
      <c r="JE118" s="24"/>
      <c r="JF118" s="24"/>
      <c r="JG118" s="24"/>
      <c r="JH118" s="24"/>
      <c r="JI118" s="24"/>
      <c r="JJ118" s="24"/>
      <c r="JK118" s="24"/>
      <c r="JL118" s="24"/>
      <c r="JM118" s="24"/>
      <c r="JN118" s="24"/>
      <c r="JO118" s="24"/>
      <c r="JP118" s="24"/>
      <c r="JQ118" s="24"/>
      <c r="JR118" s="24"/>
      <c r="JS118" s="24"/>
      <c r="JT118" s="24"/>
      <c r="JU118" s="24"/>
      <c r="JV118" s="24"/>
      <c r="JW118" s="24"/>
      <c r="JX118" s="24"/>
      <c r="JY118" s="24"/>
      <c r="JZ118" s="24"/>
      <c r="KA118" s="24"/>
      <c r="KB118" s="24"/>
      <c r="KC118" s="24"/>
      <c r="KD118" s="24"/>
      <c r="KE118" s="24"/>
      <c r="KF118" s="24"/>
      <c r="KG118" s="24"/>
      <c r="KH118" s="24"/>
      <c r="KI118" s="24"/>
      <c r="KJ118" s="24"/>
      <c r="KK118" s="24"/>
      <c r="KL118" s="24"/>
    </row>
    <row r="119" spans="1:298" s="26" customFormat="1" ht="15" hidden="1" customHeight="1" x14ac:dyDescent="0.3">
      <c r="A119" s="172"/>
      <c r="B119" s="172"/>
      <c r="C119" s="172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4"/>
      <c r="BZ119" s="172"/>
      <c r="CA119" s="172"/>
      <c r="CB119" s="24"/>
      <c r="CC119" s="25"/>
      <c r="CH119" s="27"/>
      <c r="CL119" s="28"/>
      <c r="CM119" s="28"/>
      <c r="CO119" s="29"/>
      <c r="CP119" s="28"/>
      <c r="CQ119" s="28"/>
      <c r="CR119" s="28"/>
      <c r="CS119" s="28"/>
      <c r="CT119" s="28"/>
      <c r="CU119" s="28"/>
      <c r="CW119" s="68"/>
      <c r="CX119" s="69" t="str">
        <f>견적관리자용!$S$11</f>
        <v>승합(11~15인)</v>
      </c>
      <c r="CY119" s="70">
        <v>0</v>
      </c>
      <c r="CZ119" s="125">
        <v>0.03</v>
      </c>
      <c r="DA119" s="125">
        <v>0.03</v>
      </c>
      <c r="DB119" s="125">
        <v>0.03</v>
      </c>
      <c r="DC119" s="125">
        <v>0.03</v>
      </c>
      <c r="DD119" s="72">
        <f t="shared" si="4"/>
        <v>0</v>
      </c>
      <c r="DE119" s="73">
        <v>116</v>
      </c>
      <c r="DF119" s="72">
        <f t="shared" si="3"/>
        <v>0</v>
      </c>
      <c r="DG119" s="166"/>
      <c r="DJ119" s="25"/>
      <c r="DK119" s="25"/>
      <c r="DL119" s="25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4"/>
      <c r="EP119" s="24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4"/>
      <c r="FC119" s="24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4"/>
      <c r="FP119" s="24"/>
      <c r="FQ119" s="24"/>
      <c r="FR119" s="24"/>
      <c r="FS119" s="24"/>
      <c r="FT119" s="24"/>
      <c r="FU119" s="24"/>
      <c r="FV119" s="24"/>
      <c r="FW119" s="24"/>
      <c r="FX119" s="24"/>
      <c r="FY119" s="24"/>
      <c r="FZ119" s="24"/>
      <c r="GA119" s="24"/>
      <c r="GB119" s="24"/>
      <c r="GC119" s="24"/>
      <c r="GD119" s="24"/>
      <c r="GE119" s="24"/>
      <c r="GF119" s="24"/>
      <c r="GG119" s="24"/>
      <c r="GH119" s="24"/>
      <c r="GI119" s="24"/>
      <c r="GJ119" s="24"/>
      <c r="GK119" s="24"/>
      <c r="GL119" s="24"/>
      <c r="GM119" s="24"/>
      <c r="GN119" s="24"/>
      <c r="GO119" s="24"/>
      <c r="GP119" s="24"/>
      <c r="GQ119" s="24"/>
      <c r="GR119" s="24"/>
      <c r="GS119" s="24"/>
      <c r="GT119" s="24"/>
      <c r="GU119" s="24"/>
      <c r="GV119" s="24"/>
      <c r="GW119" s="24"/>
      <c r="GX119" s="24"/>
      <c r="GY119" s="24"/>
      <c r="GZ119" s="24"/>
      <c r="HA119" s="24"/>
      <c r="HB119" s="24"/>
      <c r="HC119" s="24"/>
      <c r="HD119" s="24"/>
      <c r="HE119" s="24"/>
      <c r="HF119" s="24"/>
      <c r="HG119" s="24"/>
      <c r="HH119" s="24"/>
      <c r="HI119" s="24"/>
      <c r="HJ119" s="24"/>
      <c r="HK119" s="24"/>
      <c r="HL119" s="24"/>
      <c r="HM119" s="24"/>
      <c r="HN119" s="24"/>
      <c r="HO119" s="24"/>
      <c r="HP119" s="24"/>
      <c r="HQ119" s="24"/>
      <c r="HR119" s="24"/>
      <c r="HS119" s="24"/>
      <c r="HT119" s="24"/>
      <c r="HU119" s="24"/>
      <c r="HV119" s="24"/>
      <c r="HW119" s="24"/>
      <c r="HX119" s="24"/>
      <c r="HY119" s="24"/>
      <c r="HZ119" s="24"/>
      <c r="IA119" s="24"/>
      <c r="IB119" s="24"/>
      <c r="IC119" s="24"/>
      <c r="ID119" s="24"/>
      <c r="IE119" s="24"/>
      <c r="IF119" s="24"/>
      <c r="IG119" s="24"/>
      <c r="IH119" s="24"/>
      <c r="II119" s="24"/>
      <c r="IJ119" s="24"/>
      <c r="IK119" s="24"/>
      <c r="IL119" s="24"/>
      <c r="IM119" s="24"/>
      <c r="IN119" s="24"/>
      <c r="IO119" s="24"/>
      <c r="IP119" s="24"/>
      <c r="IQ119" s="24"/>
      <c r="IR119" s="24"/>
      <c r="IS119" s="24"/>
      <c r="IT119" s="24"/>
      <c r="IU119" s="24"/>
      <c r="IV119" s="24"/>
      <c r="IW119" s="24"/>
      <c r="IX119" s="24"/>
      <c r="IY119" s="24"/>
      <c r="IZ119" s="24"/>
      <c r="JA119" s="24"/>
      <c r="JB119" s="24"/>
      <c r="JC119" s="24"/>
      <c r="JD119" s="24"/>
      <c r="JE119" s="24"/>
      <c r="JF119" s="24"/>
      <c r="JG119" s="24"/>
      <c r="JH119" s="24"/>
      <c r="JI119" s="24"/>
      <c r="JJ119" s="24"/>
      <c r="JK119" s="24"/>
      <c r="JL119" s="24"/>
      <c r="JM119" s="24"/>
      <c r="JN119" s="24"/>
      <c r="JO119" s="24"/>
      <c r="JP119" s="24"/>
      <c r="JQ119" s="24"/>
      <c r="JR119" s="24"/>
      <c r="JS119" s="24"/>
      <c r="JT119" s="24"/>
      <c r="JU119" s="24"/>
      <c r="JV119" s="24"/>
      <c r="JW119" s="24"/>
      <c r="JX119" s="24"/>
      <c r="JY119" s="24"/>
      <c r="JZ119" s="24"/>
      <c r="KA119" s="24"/>
      <c r="KB119" s="24"/>
      <c r="KC119" s="24"/>
      <c r="KD119" s="24"/>
      <c r="KE119" s="24"/>
      <c r="KF119" s="24"/>
      <c r="KG119" s="24"/>
      <c r="KH119" s="24"/>
      <c r="KI119" s="24"/>
      <c r="KJ119" s="24"/>
      <c r="KK119" s="24"/>
      <c r="KL119" s="24"/>
    </row>
    <row r="120" spans="1:298" s="26" customFormat="1" ht="15" hidden="1" customHeight="1" x14ac:dyDescent="0.3">
      <c r="A120" s="172"/>
      <c r="B120" s="172"/>
      <c r="C120" s="172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4"/>
      <c r="BZ120" s="172"/>
      <c r="CA120" s="172"/>
      <c r="CB120" s="24"/>
      <c r="CC120" s="25"/>
      <c r="CH120" s="27"/>
      <c r="CL120" s="28"/>
      <c r="CM120" s="28"/>
      <c r="CO120" s="29"/>
      <c r="CP120" s="28"/>
      <c r="CQ120" s="28"/>
      <c r="CR120" s="28"/>
      <c r="CS120" s="28"/>
      <c r="CT120" s="28"/>
      <c r="CU120" s="28"/>
      <c r="CW120" s="68"/>
      <c r="CX120" s="69" t="str">
        <f>견적관리자용!$S$12</f>
        <v>화물(1000cc 미만)</v>
      </c>
      <c r="CY120" s="70">
        <v>0</v>
      </c>
      <c r="CZ120" s="70">
        <v>0</v>
      </c>
      <c r="DA120" s="70">
        <v>0</v>
      </c>
      <c r="DB120" s="70">
        <v>0</v>
      </c>
      <c r="DC120" s="70">
        <v>0</v>
      </c>
      <c r="DD120" s="72">
        <f t="shared" si="4"/>
        <v>0</v>
      </c>
      <c r="DE120" s="73">
        <v>117</v>
      </c>
      <c r="DF120" s="72">
        <f t="shared" si="3"/>
        <v>0</v>
      </c>
      <c r="DG120" s="166"/>
      <c r="DJ120" s="25"/>
      <c r="DK120" s="25"/>
      <c r="DL120" s="25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  <c r="EG120" s="24"/>
      <c r="EH120" s="24"/>
      <c r="EI120" s="24"/>
      <c r="EJ120" s="24"/>
      <c r="EK120" s="24"/>
      <c r="EL120" s="24"/>
      <c r="EM120" s="24"/>
      <c r="EN120" s="24"/>
      <c r="EO120" s="24"/>
      <c r="EP120" s="24"/>
      <c r="EQ120" s="24"/>
      <c r="ER120" s="24"/>
      <c r="ES120" s="24"/>
      <c r="ET120" s="24"/>
      <c r="EU120" s="24"/>
      <c r="EV120" s="24"/>
      <c r="EW120" s="24"/>
      <c r="EX120" s="24"/>
      <c r="EY120" s="24"/>
      <c r="EZ120" s="24"/>
      <c r="FA120" s="24"/>
      <c r="FB120" s="24"/>
      <c r="FC120" s="24"/>
      <c r="FD120" s="24"/>
      <c r="FE120" s="24"/>
      <c r="FF120" s="24"/>
      <c r="FG120" s="24"/>
      <c r="FH120" s="24"/>
      <c r="FI120" s="24"/>
      <c r="FJ120" s="24"/>
      <c r="FK120" s="24"/>
      <c r="FL120" s="24"/>
      <c r="FM120" s="24"/>
      <c r="FN120" s="24"/>
      <c r="FO120" s="24"/>
      <c r="FP120" s="24"/>
      <c r="FQ120" s="24"/>
      <c r="FR120" s="24"/>
      <c r="FS120" s="24"/>
      <c r="FT120" s="24"/>
      <c r="FU120" s="24"/>
      <c r="FV120" s="24"/>
      <c r="FW120" s="24"/>
      <c r="FX120" s="24"/>
      <c r="FY120" s="24"/>
      <c r="FZ120" s="24"/>
      <c r="GA120" s="24"/>
      <c r="GB120" s="24"/>
      <c r="GC120" s="24"/>
      <c r="GD120" s="24"/>
      <c r="GE120" s="24"/>
      <c r="GF120" s="24"/>
      <c r="GG120" s="24"/>
      <c r="GH120" s="24"/>
      <c r="GI120" s="24"/>
      <c r="GJ120" s="24"/>
      <c r="GK120" s="24"/>
      <c r="GL120" s="24"/>
      <c r="GM120" s="24"/>
      <c r="GN120" s="24"/>
      <c r="GO120" s="24"/>
      <c r="GP120" s="24"/>
      <c r="GQ120" s="24"/>
      <c r="GR120" s="24"/>
      <c r="GS120" s="24"/>
      <c r="GT120" s="24"/>
      <c r="GU120" s="24"/>
      <c r="GV120" s="24"/>
      <c r="GW120" s="24"/>
      <c r="GX120" s="24"/>
      <c r="GY120" s="24"/>
      <c r="GZ120" s="24"/>
      <c r="HA120" s="24"/>
      <c r="HB120" s="24"/>
      <c r="HC120" s="24"/>
      <c r="HD120" s="24"/>
      <c r="HE120" s="24"/>
      <c r="HF120" s="24"/>
      <c r="HG120" s="24"/>
      <c r="HH120" s="24"/>
      <c r="HI120" s="24"/>
      <c r="HJ120" s="24"/>
      <c r="HK120" s="24"/>
      <c r="HL120" s="24"/>
      <c r="HM120" s="24"/>
      <c r="HN120" s="24"/>
      <c r="HO120" s="24"/>
      <c r="HP120" s="24"/>
      <c r="HQ120" s="24"/>
      <c r="HR120" s="24"/>
      <c r="HS120" s="24"/>
      <c r="HT120" s="24"/>
      <c r="HU120" s="24"/>
      <c r="HV120" s="24"/>
      <c r="HW120" s="24"/>
      <c r="HX120" s="24"/>
      <c r="HY120" s="24"/>
      <c r="HZ120" s="24"/>
      <c r="IA120" s="24"/>
      <c r="IB120" s="24"/>
      <c r="IC120" s="24"/>
      <c r="ID120" s="24"/>
      <c r="IE120" s="24"/>
      <c r="IF120" s="24"/>
      <c r="IG120" s="24"/>
      <c r="IH120" s="24"/>
      <c r="II120" s="24"/>
      <c r="IJ120" s="24"/>
      <c r="IK120" s="24"/>
      <c r="IL120" s="24"/>
      <c r="IM120" s="24"/>
      <c r="IN120" s="24"/>
      <c r="IO120" s="24"/>
      <c r="IP120" s="24"/>
      <c r="IQ120" s="24"/>
      <c r="IR120" s="24"/>
      <c r="IS120" s="24"/>
      <c r="IT120" s="24"/>
      <c r="IU120" s="24"/>
      <c r="IV120" s="24"/>
      <c r="IW120" s="24"/>
      <c r="IX120" s="24"/>
      <c r="IY120" s="24"/>
      <c r="IZ120" s="24"/>
      <c r="JA120" s="24"/>
      <c r="JB120" s="24"/>
      <c r="JC120" s="24"/>
      <c r="JD120" s="24"/>
      <c r="JE120" s="24"/>
      <c r="JF120" s="24"/>
      <c r="JG120" s="24"/>
      <c r="JH120" s="24"/>
      <c r="JI120" s="24"/>
      <c r="JJ120" s="24"/>
      <c r="JK120" s="24"/>
      <c r="JL120" s="24"/>
      <c r="JM120" s="24"/>
      <c r="JN120" s="24"/>
      <c r="JO120" s="24"/>
      <c r="JP120" s="24"/>
      <c r="JQ120" s="24"/>
      <c r="JR120" s="24"/>
      <c r="JS120" s="24"/>
      <c r="JT120" s="24"/>
      <c r="JU120" s="24"/>
      <c r="JV120" s="24"/>
      <c r="JW120" s="24"/>
      <c r="JX120" s="24"/>
      <c r="JY120" s="24"/>
      <c r="JZ120" s="24"/>
      <c r="KA120" s="24"/>
      <c r="KB120" s="24"/>
      <c r="KC120" s="24"/>
      <c r="KD120" s="24"/>
      <c r="KE120" s="24"/>
      <c r="KF120" s="24"/>
      <c r="KG120" s="24"/>
      <c r="KH120" s="24"/>
      <c r="KI120" s="24"/>
      <c r="KJ120" s="24"/>
      <c r="KK120" s="24"/>
      <c r="KL120" s="24"/>
    </row>
    <row r="121" spans="1:298" s="26" customFormat="1" ht="15" hidden="1" customHeight="1" x14ac:dyDescent="0.3">
      <c r="A121" s="172"/>
      <c r="B121" s="172"/>
      <c r="C121" s="172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4"/>
      <c r="BZ121" s="172"/>
      <c r="CA121" s="172"/>
      <c r="CB121" s="24"/>
      <c r="CC121" s="25"/>
      <c r="CH121" s="27"/>
      <c r="CL121" s="28"/>
      <c r="CM121" s="28"/>
      <c r="CO121" s="29"/>
      <c r="CP121" s="28"/>
      <c r="CQ121" s="28"/>
      <c r="CR121" s="28"/>
      <c r="CS121" s="28"/>
      <c r="CT121" s="28"/>
      <c r="CU121" s="28"/>
      <c r="CW121" s="85"/>
      <c r="CX121" s="69" t="str">
        <f>견적관리자용!$S$13</f>
        <v>화물(0.6톤 미만)</v>
      </c>
      <c r="CY121" s="70">
        <v>0</v>
      </c>
      <c r="CZ121" s="70">
        <v>0</v>
      </c>
      <c r="DA121" s="70">
        <v>0</v>
      </c>
      <c r="DB121" s="70">
        <v>0</v>
      </c>
      <c r="DC121" s="70">
        <v>0</v>
      </c>
      <c r="DD121" s="72">
        <f t="shared" si="4"/>
        <v>0</v>
      </c>
      <c r="DE121" s="73">
        <v>118</v>
      </c>
      <c r="DF121" s="72">
        <f t="shared" si="3"/>
        <v>0</v>
      </c>
      <c r="DG121" s="166"/>
      <c r="DJ121" s="25"/>
      <c r="DK121" s="25"/>
      <c r="DL121" s="25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4"/>
      <c r="EP121" s="24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4"/>
      <c r="FC121" s="24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4"/>
      <c r="FP121" s="24"/>
      <c r="FQ121" s="24"/>
      <c r="FR121" s="24"/>
      <c r="FS121" s="24"/>
      <c r="FT121" s="24"/>
      <c r="FU121" s="24"/>
      <c r="FV121" s="24"/>
      <c r="FW121" s="24"/>
      <c r="FX121" s="24"/>
      <c r="FY121" s="24"/>
      <c r="FZ121" s="24"/>
      <c r="GA121" s="24"/>
      <c r="GB121" s="24"/>
      <c r="GC121" s="24"/>
      <c r="GD121" s="24"/>
      <c r="GE121" s="24"/>
      <c r="GF121" s="24"/>
      <c r="GG121" s="24"/>
      <c r="GH121" s="24"/>
      <c r="GI121" s="24"/>
      <c r="GJ121" s="24"/>
      <c r="GK121" s="24"/>
      <c r="GL121" s="24"/>
      <c r="GM121" s="24"/>
      <c r="GN121" s="24"/>
      <c r="GO121" s="24"/>
      <c r="GP121" s="24"/>
      <c r="GQ121" s="24"/>
      <c r="GR121" s="24"/>
      <c r="GS121" s="24"/>
      <c r="GT121" s="24"/>
      <c r="GU121" s="24"/>
      <c r="GV121" s="24"/>
      <c r="GW121" s="24"/>
      <c r="GX121" s="24"/>
      <c r="GY121" s="24"/>
      <c r="GZ121" s="24"/>
      <c r="HA121" s="24"/>
      <c r="HB121" s="24"/>
      <c r="HC121" s="24"/>
      <c r="HD121" s="24"/>
      <c r="HE121" s="24"/>
      <c r="HF121" s="24"/>
      <c r="HG121" s="24"/>
      <c r="HH121" s="24"/>
      <c r="HI121" s="24"/>
      <c r="HJ121" s="24"/>
      <c r="HK121" s="24"/>
      <c r="HL121" s="24"/>
      <c r="HM121" s="24"/>
      <c r="HN121" s="24"/>
      <c r="HO121" s="24"/>
      <c r="HP121" s="24"/>
      <c r="HQ121" s="24"/>
      <c r="HR121" s="24"/>
      <c r="HS121" s="24"/>
      <c r="HT121" s="24"/>
      <c r="HU121" s="24"/>
      <c r="HV121" s="24"/>
      <c r="HW121" s="24"/>
      <c r="HX121" s="24"/>
      <c r="HY121" s="24"/>
      <c r="HZ121" s="24"/>
      <c r="IA121" s="24"/>
      <c r="IB121" s="24"/>
      <c r="IC121" s="24"/>
      <c r="ID121" s="24"/>
      <c r="IE121" s="24"/>
      <c r="IF121" s="24"/>
      <c r="IG121" s="24"/>
      <c r="IH121" s="24"/>
      <c r="II121" s="24"/>
      <c r="IJ121" s="24"/>
      <c r="IK121" s="24"/>
      <c r="IL121" s="24"/>
      <c r="IM121" s="24"/>
      <c r="IN121" s="24"/>
      <c r="IO121" s="24"/>
      <c r="IP121" s="24"/>
      <c r="IQ121" s="24"/>
      <c r="IR121" s="24"/>
      <c r="IS121" s="24"/>
      <c r="IT121" s="24"/>
      <c r="IU121" s="24"/>
      <c r="IV121" s="24"/>
      <c r="IW121" s="24"/>
      <c r="IX121" s="24"/>
      <c r="IY121" s="24"/>
      <c r="IZ121" s="24"/>
      <c r="JA121" s="24"/>
      <c r="JB121" s="24"/>
      <c r="JC121" s="24"/>
      <c r="JD121" s="24"/>
      <c r="JE121" s="24"/>
      <c r="JF121" s="24"/>
      <c r="JG121" s="24"/>
      <c r="JH121" s="24"/>
      <c r="JI121" s="24"/>
      <c r="JJ121" s="24"/>
      <c r="JK121" s="24"/>
      <c r="JL121" s="24"/>
      <c r="JM121" s="24"/>
      <c r="JN121" s="24"/>
      <c r="JO121" s="24"/>
      <c r="JP121" s="24"/>
      <c r="JQ121" s="24"/>
      <c r="JR121" s="24"/>
      <c r="JS121" s="24"/>
      <c r="JT121" s="24"/>
      <c r="JU121" s="24"/>
      <c r="JV121" s="24"/>
      <c r="JW121" s="24"/>
      <c r="JX121" s="24"/>
      <c r="JY121" s="24"/>
      <c r="JZ121" s="24"/>
      <c r="KA121" s="24"/>
      <c r="KB121" s="24"/>
      <c r="KC121" s="24"/>
      <c r="KD121" s="24"/>
      <c r="KE121" s="24"/>
      <c r="KF121" s="24"/>
      <c r="KG121" s="24"/>
      <c r="KH121" s="24"/>
      <c r="KI121" s="24"/>
      <c r="KJ121" s="24"/>
      <c r="KK121" s="24"/>
      <c r="KL121" s="24"/>
    </row>
    <row r="122" spans="1:298" s="26" customFormat="1" ht="15" hidden="1" customHeight="1" x14ac:dyDescent="0.3">
      <c r="A122" s="172"/>
      <c r="B122" s="172"/>
      <c r="C122" s="172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4"/>
      <c r="BZ122" s="172"/>
      <c r="CA122" s="172"/>
      <c r="CB122" s="24"/>
      <c r="CC122" s="25"/>
      <c r="CH122" s="27"/>
      <c r="CL122" s="28"/>
      <c r="CM122" s="28"/>
      <c r="CO122" s="29"/>
      <c r="CP122" s="28"/>
      <c r="CQ122" s="28"/>
      <c r="CR122" s="28"/>
      <c r="CS122" s="28"/>
      <c r="CT122" s="28"/>
      <c r="CU122" s="28"/>
      <c r="CW122" s="85"/>
      <c r="CX122" s="69" t="str">
        <f>견적관리자용!$S$14</f>
        <v>화물(0.6~1톤 미만)</v>
      </c>
      <c r="CY122" s="70">
        <v>0</v>
      </c>
      <c r="CZ122" s="70">
        <v>0</v>
      </c>
      <c r="DA122" s="70">
        <v>0</v>
      </c>
      <c r="DB122" s="70">
        <v>0</v>
      </c>
      <c r="DC122" s="70">
        <v>0</v>
      </c>
      <c r="DD122" s="72">
        <f t="shared" si="4"/>
        <v>0</v>
      </c>
      <c r="DE122" s="73">
        <v>119</v>
      </c>
      <c r="DF122" s="72">
        <f t="shared" si="3"/>
        <v>0</v>
      </c>
      <c r="DG122" s="166"/>
      <c r="DJ122" s="25"/>
      <c r="DK122" s="25"/>
      <c r="DL122" s="25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  <c r="EG122" s="24"/>
      <c r="EH122" s="24"/>
      <c r="EI122" s="24"/>
      <c r="EJ122" s="24"/>
      <c r="EK122" s="24"/>
      <c r="EL122" s="24"/>
      <c r="EM122" s="24"/>
      <c r="EN122" s="24"/>
      <c r="EO122" s="24"/>
      <c r="EP122" s="24"/>
      <c r="EQ122" s="24"/>
      <c r="ER122" s="24"/>
      <c r="ES122" s="24"/>
      <c r="ET122" s="24"/>
      <c r="EU122" s="24"/>
      <c r="EV122" s="24"/>
      <c r="EW122" s="24"/>
      <c r="EX122" s="24"/>
      <c r="EY122" s="24"/>
      <c r="EZ122" s="24"/>
      <c r="FA122" s="24"/>
      <c r="FB122" s="24"/>
      <c r="FC122" s="24"/>
      <c r="FD122" s="24"/>
      <c r="FE122" s="24"/>
      <c r="FF122" s="24"/>
      <c r="FG122" s="24"/>
      <c r="FH122" s="24"/>
      <c r="FI122" s="24"/>
      <c r="FJ122" s="24"/>
      <c r="FK122" s="24"/>
      <c r="FL122" s="24"/>
      <c r="FM122" s="24"/>
      <c r="FN122" s="24"/>
      <c r="FO122" s="24"/>
      <c r="FP122" s="24"/>
      <c r="FQ122" s="24"/>
      <c r="FR122" s="24"/>
      <c r="FS122" s="24"/>
      <c r="FT122" s="24"/>
      <c r="FU122" s="24"/>
      <c r="FV122" s="24"/>
      <c r="FW122" s="24"/>
      <c r="FX122" s="24"/>
      <c r="FY122" s="24"/>
      <c r="FZ122" s="24"/>
      <c r="GA122" s="24"/>
      <c r="GB122" s="24"/>
      <c r="GC122" s="24"/>
      <c r="GD122" s="24"/>
      <c r="GE122" s="24"/>
      <c r="GF122" s="24"/>
      <c r="GG122" s="24"/>
      <c r="GH122" s="24"/>
      <c r="GI122" s="24"/>
      <c r="GJ122" s="24"/>
      <c r="GK122" s="24"/>
      <c r="GL122" s="24"/>
      <c r="GM122" s="24"/>
      <c r="GN122" s="24"/>
      <c r="GO122" s="24"/>
      <c r="GP122" s="24"/>
      <c r="GQ122" s="24"/>
      <c r="GR122" s="24"/>
      <c r="GS122" s="24"/>
      <c r="GT122" s="24"/>
      <c r="GU122" s="24"/>
      <c r="GV122" s="24"/>
      <c r="GW122" s="24"/>
      <c r="GX122" s="24"/>
      <c r="GY122" s="24"/>
      <c r="GZ122" s="24"/>
      <c r="HA122" s="24"/>
      <c r="HB122" s="24"/>
      <c r="HC122" s="24"/>
      <c r="HD122" s="24"/>
      <c r="HE122" s="24"/>
      <c r="HF122" s="24"/>
      <c r="HG122" s="24"/>
      <c r="HH122" s="24"/>
      <c r="HI122" s="24"/>
      <c r="HJ122" s="24"/>
      <c r="HK122" s="24"/>
      <c r="HL122" s="24"/>
      <c r="HM122" s="24"/>
      <c r="HN122" s="24"/>
      <c r="HO122" s="24"/>
      <c r="HP122" s="24"/>
      <c r="HQ122" s="24"/>
      <c r="HR122" s="24"/>
      <c r="HS122" s="24"/>
      <c r="HT122" s="24"/>
      <c r="HU122" s="24"/>
      <c r="HV122" s="24"/>
      <c r="HW122" s="24"/>
      <c r="HX122" s="24"/>
      <c r="HY122" s="24"/>
      <c r="HZ122" s="24"/>
      <c r="IA122" s="24"/>
      <c r="IB122" s="24"/>
      <c r="IC122" s="24"/>
      <c r="ID122" s="24"/>
      <c r="IE122" s="24"/>
      <c r="IF122" s="24"/>
      <c r="IG122" s="24"/>
      <c r="IH122" s="24"/>
      <c r="II122" s="24"/>
      <c r="IJ122" s="24"/>
      <c r="IK122" s="24"/>
      <c r="IL122" s="24"/>
      <c r="IM122" s="24"/>
      <c r="IN122" s="24"/>
      <c r="IO122" s="24"/>
      <c r="IP122" s="24"/>
      <c r="IQ122" s="24"/>
      <c r="IR122" s="24"/>
      <c r="IS122" s="24"/>
      <c r="IT122" s="24"/>
      <c r="IU122" s="24"/>
      <c r="IV122" s="24"/>
      <c r="IW122" s="24"/>
      <c r="IX122" s="24"/>
      <c r="IY122" s="24"/>
      <c r="IZ122" s="24"/>
      <c r="JA122" s="24"/>
      <c r="JB122" s="24"/>
      <c r="JC122" s="24"/>
      <c r="JD122" s="24"/>
      <c r="JE122" s="24"/>
      <c r="JF122" s="24"/>
      <c r="JG122" s="24"/>
      <c r="JH122" s="24"/>
      <c r="JI122" s="24"/>
      <c r="JJ122" s="24"/>
      <c r="JK122" s="24"/>
      <c r="JL122" s="24"/>
      <c r="JM122" s="24"/>
      <c r="JN122" s="24"/>
      <c r="JO122" s="24"/>
      <c r="JP122" s="24"/>
      <c r="JQ122" s="24"/>
      <c r="JR122" s="24"/>
      <c r="JS122" s="24"/>
      <c r="JT122" s="24"/>
      <c r="JU122" s="24"/>
      <c r="JV122" s="24"/>
      <c r="JW122" s="24"/>
      <c r="JX122" s="24"/>
      <c r="JY122" s="24"/>
      <c r="JZ122" s="24"/>
      <c r="KA122" s="24"/>
      <c r="KB122" s="24"/>
      <c r="KC122" s="24"/>
      <c r="KD122" s="24"/>
      <c r="KE122" s="24"/>
      <c r="KF122" s="24"/>
      <c r="KG122" s="24"/>
      <c r="KH122" s="24"/>
      <c r="KI122" s="24"/>
      <c r="KJ122" s="24"/>
      <c r="KK122" s="24"/>
      <c r="KL122" s="24"/>
    </row>
    <row r="123" spans="1:298" s="26" customFormat="1" ht="15" hidden="1" customHeight="1" x14ac:dyDescent="0.3">
      <c r="A123" s="172"/>
      <c r="B123" s="172"/>
      <c r="C123" s="172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2"/>
      <c r="AT123" s="172"/>
      <c r="AU123" s="172"/>
      <c r="AV123" s="172"/>
      <c r="AW123" s="172"/>
      <c r="AX123" s="172"/>
      <c r="AY123" s="172"/>
      <c r="AZ123" s="172"/>
      <c r="BA123" s="172"/>
      <c r="BB123" s="172"/>
      <c r="BC123" s="172"/>
      <c r="BD123" s="172"/>
      <c r="BE123" s="172"/>
      <c r="BF123" s="172"/>
      <c r="BG123" s="172"/>
      <c r="BH123" s="172"/>
      <c r="BI123" s="172"/>
      <c r="BJ123" s="172"/>
      <c r="BK123" s="172"/>
      <c r="BL123" s="172"/>
      <c r="BM123" s="172"/>
      <c r="BN123" s="172"/>
      <c r="BO123" s="172"/>
      <c r="BP123" s="172"/>
      <c r="BQ123" s="172"/>
      <c r="BR123" s="172"/>
      <c r="BS123" s="172"/>
      <c r="BT123" s="172"/>
      <c r="BU123" s="172"/>
      <c r="BV123" s="172"/>
      <c r="BW123" s="172"/>
      <c r="BX123" s="172"/>
      <c r="BY123" s="174"/>
      <c r="BZ123" s="172"/>
      <c r="CA123" s="172"/>
      <c r="CB123" s="24"/>
      <c r="CC123" s="25"/>
      <c r="CH123" s="27"/>
      <c r="CL123" s="28"/>
      <c r="CM123" s="28"/>
      <c r="CO123" s="29"/>
      <c r="CP123" s="28"/>
      <c r="CQ123" s="28"/>
      <c r="CR123" s="28"/>
      <c r="CS123" s="28"/>
      <c r="CT123" s="28"/>
      <c r="CU123" s="28"/>
      <c r="CW123" s="85"/>
      <c r="CX123" s="69" t="str">
        <f>견적관리자용!$S$15</f>
        <v>화물(1~2.5톤 미만)</v>
      </c>
      <c r="CY123" s="70">
        <v>0</v>
      </c>
      <c r="CZ123" s="125">
        <v>0.03</v>
      </c>
      <c r="DA123" s="125">
        <v>0.03</v>
      </c>
      <c r="DB123" s="125">
        <v>0.03</v>
      </c>
      <c r="DC123" s="125">
        <v>0.03</v>
      </c>
      <c r="DD123" s="72">
        <f t="shared" si="4"/>
        <v>0</v>
      </c>
      <c r="DE123" s="73">
        <v>120</v>
      </c>
      <c r="DF123" s="72">
        <f t="shared" si="3"/>
        <v>0</v>
      </c>
      <c r="DG123" s="166"/>
      <c r="DJ123" s="25"/>
      <c r="DK123" s="25"/>
      <c r="DL123" s="25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4"/>
      <c r="EP123" s="24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4"/>
      <c r="FC123" s="24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4"/>
      <c r="FP123" s="24"/>
      <c r="FQ123" s="24"/>
      <c r="FR123" s="24"/>
      <c r="FS123" s="24"/>
      <c r="FT123" s="24"/>
      <c r="FU123" s="24"/>
      <c r="FV123" s="24"/>
      <c r="FW123" s="24"/>
      <c r="FX123" s="24"/>
      <c r="FY123" s="24"/>
      <c r="FZ123" s="24"/>
      <c r="GA123" s="24"/>
      <c r="GB123" s="24"/>
      <c r="GC123" s="24"/>
      <c r="GD123" s="24"/>
      <c r="GE123" s="24"/>
      <c r="GF123" s="24"/>
      <c r="GG123" s="24"/>
      <c r="GH123" s="24"/>
      <c r="GI123" s="24"/>
      <c r="GJ123" s="24"/>
      <c r="GK123" s="24"/>
      <c r="GL123" s="24"/>
      <c r="GM123" s="24"/>
      <c r="GN123" s="24"/>
      <c r="GO123" s="24"/>
      <c r="GP123" s="24"/>
      <c r="GQ123" s="24"/>
      <c r="GR123" s="24"/>
      <c r="GS123" s="24"/>
      <c r="GT123" s="24"/>
      <c r="GU123" s="24"/>
      <c r="GV123" s="24"/>
      <c r="GW123" s="24"/>
      <c r="GX123" s="24"/>
      <c r="GY123" s="24"/>
      <c r="GZ123" s="24"/>
      <c r="HA123" s="24"/>
      <c r="HB123" s="24"/>
      <c r="HC123" s="24"/>
      <c r="HD123" s="24"/>
      <c r="HE123" s="24"/>
      <c r="HF123" s="24"/>
      <c r="HG123" s="24"/>
      <c r="HH123" s="24"/>
      <c r="HI123" s="24"/>
      <c r="HJ123" s="24"/>
      <c r="HK123" s="24"/>
      <c r="HL123" s="24"/>
      <c r="HM123" s="24"/>
      <c r="HN123" s="24"/>
      <c r="HO123" s="24"/>
      <c r="HP123" s="24"/>
      <c r="HQ123" s="24"/>
      <c r="HR123" s="24"/>
      <c r="HS123" s="24"/>
      <c r="HT123" s="24"/>
      <c r="HU123" s="24"/>
      <c r="HV123" s="24"/>
      <c r="HW123" s="24"/>
      <c r="HX123" s="24"/>
      <c r="HY123" s="24"/>
      <c r="HZ123" s="24"/>
      <c r="IA123" s="24"/>
      <c r="IB123" s="24"/>
      <c r="IC123" s="24"/>
      <c r="ID123" s="24"/>
      <c r="IE123" s="24"/>
      <c r="IF123" s="24"/>
      <c r="IG123" s="24"/>
      <c r="IH123" s="24"/>
      <c r="II123" s="24"/>
      <c r="IJ123" s="24"/>
      <c r="IK123" s="24"/>
      <c r="IL123" s="24"/>
      <c r="IM123" s="24"/>
      <c r="IN123" s="24"/>
      <c r="IO123" s="24"/>
      <c r="IP123" s="24"/>
      <c r="IQ123" s="24"/>
      <c r="IR123" s="24"/>
      <c r="IS123" s="24"/>
      <c r="IT123" s="24"/>
      <c r="IU123" s="24"/>
      <c r="IV123" s="24"/>
      <c r="IW123" s="24"/>
      <c r="IX123" s="24"/>
      <c r="IY123" s="24"/>
      <c r="IZ123" s="24"/>
      <c r="JA123" s="24"/>
      <c r="JB123" s="24"/>
      <c r="JC123" s="24"/>
      <c r="JD123" s="24"/>
      <c r="JE123" s="24"/>
      <c r="JF123" s="24"/>
      <c r="JG123" s="24"/>
      <c r="JH123" s="24"/>
      <c r="JI123" s="24"/>
      <c r="JJ123" s="24"/>
      <c r="JK123" s="24"/>
      <c r="JL123" s="24"/>
      <c r="JM123" s="24"/>
      <c r="JN123" s="24"/>
      <c r="JO123" s="24"/>
      <c r="JP123" s="24"/>
      <c r="JQ123" s="24"/>
      <c r="JR123" s="24"/>
      <c r="JS123" s="24"/>
      <c r="JT123" s="24"/>
      <c r="JU123" s="24"/>
      <c r="JV123" s="24"/>
      <c r="JW123" s="24"/>
      <c r="JX123" s="24"/>
      <c r="JY123" s="24"/>
      <c r="JZ123" s="24"/>
      <c r="KA123" s="24"/>
      <c r="KB123" s="24"/>
      <c r="KC123" s="24"/>
      <c r="KD123" s="24"/>
      <c r="KE123" s="24"/>
      <c r="KF123" s="24"/>
      <c r="KG123" s="24"/>
      <c r="KH123" s="24"/>
      <c r="KI123" s="24"/>
      <c r="KJ123" s="24"/>
      <c r="KK123" s="24"/>
      <c r="KL123" s="24"/>
    </row>
    <row r="124" spans="1:298" s="26" customFormat="1" ht="15" hidden="1" customHeight="1" x14ac:dyDescent="0.3">
      <c r="A124" s="172"/>
      <c r="B124" s="172"/>
      <c r="C124" s="172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2"/>
      <c r="AT124" s="172"/>
      <c r="AU124" s="172"/>
      <c r="AV124" s="172"/>
      <c r="AW124" s="172"/>
      <c r="AX124" s="172"/>
      <c r="AY124" s="172"/>
      <c r="AZ124" s="172"/>
      <c r="BA124" s="172"/>
      <c r="BB124" s="172"/>
      <c r="BC124" s="172"/>
      <c r="BD124" s="172"/>
      <c r="BE124" s="172"/>
      <c r="BF124" s="172"/>
      <c r="BG124" s="172"/>
      <c r="BH124" s="172"/>
      <c r="BI124" s="172"/>
      <c r="BJ124" s="172"/>
      <c r="BK124" s="172"/>
      <c r="BL124" s="172"/>
      <c r="BM124" s="172"/>
      <c r="BN124" s="172"/>
      <c r="BO124" s="172"/>
      <c r="BP124" s="172"/>
      <c r="BQ124" s="172"/>
      <c r="BR124" s="172"/>
      <c r="BS124" s="172"/>
      <c r="BT124" s="172"/>
      <c r="BU124" s="172"/>
      <c r="BV124" s="172"/>
      <c r="BW124" s="172"/>
      <c r="BX124" s="172"/>
      <c r="BY124" s="174"/>
      <c r="BZ124" s="172"/>
      <c r="CA124" s="172"/>
      <c r="CB124" s="24"/>
      <c r="CC124" s="25"/>
      <c r="CH124" s="27"/>
      <c r="CL124" s="28"/>
      <c r="CM124" s="28"/>
      <c r="CO124" s="29"/>
      <c r="CP124" s="28"/>
      <c r="CQ124" s="28"/>
      <c r="CR124" s="28"/>
      <c r="CS124" s="28"/>
      <c r="CT124" s="28"/>
      <c r="CU124" s="28"/>
      <c r="CW124" s="85"/>
      <c r="CX124" s="69" t="str">
        <f>견적관리자용!$S$16</f>
        <v>화물(2.5~4.6톤 미만)</v>
      </c>
      <c r="CY124" s="70">
        <v>0</v>
      </c>
      <c r="CZ124" s="125">
        <v>0.03</v>
      </c>
      <c r="DA124" s="125">
        <v>0.03</v>
      </c>
      <c r="DB124" s="125">
        <v>0.03</v>
      </c>
      <c r="DC124" s="125">
        <v>0.03</v>
      </c>
      <c r="DD124" s="72">
        <f t="shared" si="4"/>
        <v>0</v>
      </c>
      <c r="DE124" s="73">
        <v>121</v>
      </c>
      <c r="DF124" s="72">
        <f t="shared" si="3"/>
        <v>0</v>
      </c>
      <c r="DG124" s="166"/>
      <c r="DJ124" s="25"/>
      <c r="DK124" s="25"/>
      <c r="DL124" s="25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  <c r="EG124" s="24"/>
      <c r="EH124" s="24"/>
      <c r="EI124" s="24"/>
      <c r="EJ124" s="24"/>
      <c r="EK124" s="24"/>
      <c r="EL124" s="24"/>
      <c r="EM124" s="24"/>
      <c r="EN124" s="24"/>
      <c r="EO124" s="24"/>
      <c r="EP124" s="24"/>
      <c r="EQ124" s="24"/>
      <c r="ER124" s="24"/>
      <c r="ES124" s="24"/>
      <c r="ET124" s="24"/>
      <c r="EU124" s="24"/>
      <c r="EV124" s="24"/>
      <c r="EW124" s="24"/>
      <c r="EX124" s="24"/>
      <c r="EY124" s="24"/>
      <c r="EZ124" s="24"/>
      <c r="FA124" s="24"/>
      <c r="FB124" s="24"/>
      <c r="FC124" s="24"/>
      <c r="FD124" s="24"/>
      <c r="FE124" s="24"/>
      <c r="FF124" s="24"/>
      <c r="FG124" s="24"/>
      <c r="FH124" s="24"/>
      <c r="FI124" s="24"/>
      <c r="FJ124" s="24"/>
      <c r="FK124" s="24"/>
      <c r="FL124" s="24"/>
      <c r="FM124" s="24"/>
      <c r="FN124" s="24"/>
      <c r="FO124" s="24"/>
      <c r="FP124" s="24"/>
      <c r="FQ124" s="24"/>
      <c r="FR124" s="24"/>
      <c r="FS124" s="24"/>
      <c r="FT124" s="24"/>
      <c r="FU124" s="24"/>
      <c r="FV124" s="24"/>
      <c r="FW124" s="24"/>
      <c r="FX124" s="24"/>
      <c r="FY124" s="24"/>
      <c r="FZ124" s="24"/>
      <c r="GA124" s="24"/>
      <c r="GB124" s="24"/>
      <c r="GC124" s="24"/>
      <c r="GD124" s="24"/>
      <c r="GE124" s="24"/>
      <c r="GF124" s="24"/>
      <c r="GG124" s="24"/>
      <c r="GH124" s="24"/>
      <c r="GI124" s="24"/>
      <c r="GJ124" s="24"/>
      <c r="GK124" s="24"/>
      <c r="GL124" s="24"/>
      <c r="GM124" s="24"/>
      <c r="GN124" s="24"/>
      <c r="GO124" s="24"/>
      <c r="GP124" s="24"/>
      <c r="GQ124" s="24"/>
      <c r="GR124" s="24"/>
      <c r="GS124" s="24"/>
      <c r="GT124" s="24"/>
      <c r="GU124" s="24"/>
      <c r="GV124" s="24"/>
      <c r="GW124" s="24"/>
      <c r="GX124" s="24"/>
      <c r="GY124" s="24"/>
      <c r="GZ124" s="24"/>
      <c r="HA124" s="24"/>
      <c r="HB124" s="24"/>
      <c r="HC124" s="24"/>
      <c r="HD124" s="24"/>
      <c r="HE124" s="24"/>
      <c r="HF124" s="24"/>
      <c r="HG124" s="24"/>
      <c r="HH124" s="24"/>
      <c r="HI124" s="24"/>
      <c r="HJ124" s="24"/>
      <c r="HK124" s="24"/>
      <c r="HL124" s="24"/>
      <c r="HM124" s="24"/>
      <c r="HN124" s="24"/>
      <c r="HO124" s="24"/>
      <c r="HP124" s="24"/>
      <c r="HQ124" s="24"/>
      <c r="HR124" s="24"/>
      <c r="HS124" s="24"/>
      <c r="HT124" s="24"/>
      <c r="HU124" s="24"/>
      <c r="HV124" s="24"/>
      <c r="HW124" s="24"/>
      <c r="HX124" s="24"/>
      <c r="HY124" s="24"/>
      <c r="HZ124" s="24"/>
      <c r="IA124" s="24"/>
      <c r="IB124" s="24"/>
      <c r="IC124" s="24"/>
      <c r="ID124" s="24"/>
      <c r="IE124" s="24"/>
      <c r="IF124" s="24"/>
      <c r="IG124" s="24"/>
      <c r="IH124" s="24"/>
      <c r="II124" s="24"/>
      <c r="IJ124" s="24"/>
      <c r="IK124" s="24"/>
      <c r="IL124" s="24"/>
      <c r="IM124" s="24"/>
      <c r="IN124" s="24"/>
      <c r="IO124" s="24"/>
      <c r="IP124" s="24"/>
      <c r="IQ124" s="24"/>
      <c r="IR124" s="24"/>
      <c r="IS124" s="24"/>
      <c r="IT124" s="24"/>
      <c r="IU124" s="24"/>
      <c r="IV124" s="24"/>
      <c r="IW124" s="24"/>
      <c r="IX124" s="24"/>
      <c r="IY124" s="24"/>
      <c r="IZ124" s="24"/>
      <c r="JA124" s="24"/>
      <c r="JB124" s="24"/>
      <c r="JC124" s="24"/>
      <c r="JD124" s="24"/>
      <c r="JE124" s="24"/>
      <c r="JF124" s="24"/>
      <c r="JG124" s="24"/>
      <c r="JH124" s="24"/>
      <c r="JI124" s="24"/>
      <c r="JJ124" s="24"/>
      <c r="JK124" s="24"/>
      <c r="JL124" s="24"/>
      <c r="JM124" s="24"/>
      <c r="JN124" s="24"/>
      <c r="JO124" s="24"/>
      <c r="JP124" s="24"/>
      <c r="JQ124" s="24"/>
      <c r="JR124" s="24"/>
      <c r="JS124" s="24"/>
      <c r="JT124" s="24"/>
      <c r="JU124" s="24"/>
      <c r="JV124" s="24"/>
      <c r="JW124" s="24"/>
      <c r="JX124" s="24"/>
      <c r="JY124" s="24"/>
      <c r="JZ124" s="24"/>
      <c r="KA124" s="24"/>
      <c r="KB124" s="24"/>
      <c r="KC124" s="24"/>
      <c r="KD124" s="24"/>
      <c r="KE124" s="24"/>
      <c r="KF124" s="24"/>
      <c r="KG124" s="24"/>
      <c r="KH124" s="24"/>
      <c r="KI124" s="24"/>
      <c r="KJ124" s="24"/>
      <c r="KK124" s="24"/>
      <c r="KL124" s="24"/>
    </row>
    <row r="125" spans="1:298" s="26" customFormat="1" ht="15" hidden="1" customHeight="1" x14ac:dyDescent="0.3">
      <c r="A125" s="172"/>
      <c r="B125" s="172"/>
      <c r="C125" s="172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2"/>
      <c r="AT125" s="172"/>
      <c r="AU125" s="172"/>
      <c r="AV125" s="172"/>
      <c r="AW125" s="172"/>
      <c r="AX125" s="172"/>
      <c r="AY125" s="172"/>
      <c r="AZ125" s="172"/>
      <c r="BA125" s="172"/>
      <c r="BB125" s="172"/>
      <c r="BC125" s="172"/>
      <c r="BD125" s="172"/>
      <c r="BE125" s="172"/>
      <c r="BF125" s="172"/>
      <c r="BG125" s="172"/>
      <c r="BH125" s="172"/>
      <c r="BI125" s="172"/>
      <c r="BJ125" s="172"/>
      <c r="BK125" s="172"/>
      <c r="BL125" s="172"/>
      <c r="BM125" s="172"/>
      <c r="BN125" s="172"/>
      <c r="BO125" s="172"/>
      <c r="BP125" s="172"/>
      <c r="BQ125" s="172"/>
      <c r="BR125" s="172"/>
      <c r="BS125" s="172"/>
      <c r="BT125" s="172"/>
      <c r="BU125" s="172"/>
      <c r="BV125" s="172"/>
      <c r="BW125" s="172"/>
      <c r="BX125" s="172"/>
      <c r="BY125" s="174"/>
      <c r="BZ125" s="172"/>
      <c r="CA125" s="172"/>
      <c r="CB125" s="24"/>
      <c r="CC125" s="25"/>
      <c r="CH125" s="27"/>
      <c r="CL125" s="28"/>
      <c r="CM125" s="28"/>
      <c r="CO125" s="29"/>
      <c r="CP125" s="28"/>
      <c r="CQ125" s="28"/>
      <c r="CR125" s="28"/>
      <c r="CS125" s="28"/>
      <c r="CT125" s="28"/>
      <c r="CU125" s="28"/>
      <c r="CW125" s="90"/>
      <c r="CX125" s="91" t="str">
        <f>견적관리자용!$S$17</f>
        <v>화물(4.6톤 이상)</v>
      </c>
      <c r="CY125" s="92">
        <v>0</v>
      </c>
      <c r="CZ125" s="180">
        <v>0.03</v>
      </c>
      <c r="DA125" s="180">
        <v>0.03</v>
      </c>
      <c r="DB125" s="180">
        <v>0.03</v>
      </c>
      <c r="DC125" s="180">
        <v>0.03</v>
      </c>
      <c r="DD125" s="93">
        <f t="shared" si="4"/>
        <v>0</v>
      </c>
      <c r="DE125" s="94">
        <v>122</v>
      </c>
      <c r="DF125" s="93">
        <f t="shared" si="3"/>
        <v>0</v>
      </c>
      <c r="DG125" s="181"/>
      <c r="DJ125" s="25"/>
      <c r="DK125" s="25"/>
      <c r="DL125" s="25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4"/>
      <c r="EP125" s="24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4"/>
      <c r="FC125" s="24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4"/>
      <c r="FP125" s="24"/>
      <c r="FQ125" s="24"/>
      <c r="FR125" s="24"/>
      <c r="FS125" s="24"/>
      <c r="FT125" s="24"/>
      <c r="FU125" s="24"/>
      <c r="FV125" s="24"/>
      <c r="FW125" s="24"/>
      <c r="FX125" s="24"/>
      <c r="FY125" s="24"/>
      <c r="FZ125" s="24"/>
      <c r="GA125" s="24"/>
      <c r="GB125" s="24"/>
      <c r="GC125" s="24"/>
      <c r="GD125" s="24"/>
      <c r="GE125" s="24"/>
      <c r="GF125" s="24"/>
      <c r="GG125" s="24"/>
      <c r="GH125" s="24"/>
      <c r="GI125" s="24"/>
      <c r="GJ125" s="24"/>
      <c r="GK125" s="24"/>
      <c r="GL125" s="24"/>
      <c r="GM125" s="24"/>
      <c r="GN125" s="24"/>
      <c r="GO125" s="24"/>
      <c r="GP125" s="24"/>
      <c r="GQ125" s="24"/>
      <c r="GR125" s="24"/>
      <c r="GS125" s="24"/>
      <c r="GT125" s="24"/>
      <c r="GU125" s="24"/>
      <c r="GV125" s="24"/>
      <c r="GW125" s="24"/>
      <c r="GX125" s="24"/>
      <c r="GY125" s="24"/>
      <c r="GZ125" s="24"/>
      <c r="HA125" s="24"/>
      <c r="HB125" s="24"/>
      <c r="HC125" s="24"/>
      <c r="HD125" s="24"/>
      <c r="HE125" s="24"/>
      <c r="HF125" s="24"/>
      <c r="HG125" s="24"/>
      <c r="HH125" s="24"/>
      <c r="HI125" s="24"/>
      <c r="HJ125" s="24"/>
      <c r="HK125" s="24"/>
      <c r="HL125" s="24"/>
      <c r="HM125" s="24"/>
      <c r="HN125" s="24"/>
      <c r="HO125" s="24"/>
      <c r="HP125" s="24"/>
      <c r="HQ125" s="24"/>
      <c r="HR125" s="24"/>
      <c r="HS125" s="24"/>
      <c r="HT125" s="24"/>
      <c r="HU125" s="24"/>
      <c r="HV125" s="24"/>
      <c r="HW125" s="24"/>
      <c r="HX125" s="24"/>
      <c r="HY125" s="24"/>
      <c r="HZ125" s="24"/>
      <c r="IA125" s="24"/>
      <c r="IB125" s="24"/>
      <c r="IC125" s="24"/>
      <c r="ID125" s="24"/>
      <c r="IE125" s="24"/>
      <c r="IF125" s="24"/>
      <c r="IG125" s="24"/>
      <c r="IH125" s="24"/>
      <c r="II125" s="24"/>
      <c r="IJ125" s="24"/>
      <c r="IK125" s="24"/>
      <c r="IL125" s="24"/>
      <c r="IM125" s="24"/>
      <c r="IN125" s="24"/>
      <c r="IO125" s="24"/>
      <c r="IP125" s="24"/>
      <c r="IQ125" s="24"/>
      <c r="IR125" s="24"/>
      <c r="IS125" s="24"/>
      <c r="IT125" s="24"/>
      <c r="IU125" s="24"/>
      <c r="IV125" s="24"/>
      <c r="IW125" s="24"/>
      <c r="IX125" s="24"/>
      <c r="IY125" s="24"/>
      <c r="IZ125" s="24"/>
      <c r="JA125" s="24"/>
      <c r="JB125" s="24"/>
      <c r="JC125" s="24"/>
      <c r="JD125" s="24"/>
      <c r="JE125" s="24"/>
      <c r="JF125" s="24"/>
      <c r="JG125" s="24"/>
      <c r="JH125" s="24"/>
      <c r="JI125" s="24"/>
      <c r="JJ125" s="24"/>
      <c r="JK125" s="24"/>
      <c r="JL125" s="24"/>
      <c r="JM125" s="24"/>
      <c r="JN125" s="24"/>
      <c r="JO125" s="24"/>
      <c r="JP125" s="24"/>
      <c r="JQ125" s="24"/>
      <c r="JR125" s="24"/>
      <c r="JS125" s="24"/>
      <c r="JT125" s="24"/>
      <c r="JU125" s="24"/>
      <c r="JV125" s="24"/>
      <c r="JW125" s="24"/>
      <c r="JX125" s="24"/>
      <c r="JY125" s="24"/>
      <c r="JZ125" s="24"/>
      <c r="KA125" s="24"/>
      <c r="KB125" s="24"/>
      <c r="KC125" s="24"/>
      <c r="KD125" s="24"/>
      <c r="KE125" s="24"/>
      <c r="KF125" s="24"/>
      <c r="KG125" s="24"/>
      <c r="KH125" s="24"/>
      <c r="KI125" s="24"/>
      <c r="KJ125" s="24"/>
      <c r="KK125" s="24"/>
      <c r="KL125" s="24"/>
    </row>
    <row r="126" spans="1:298" s="26" customFormat="1" ht="15" hidden="1" customHeight="1" x14ac:dyDescent="0.3">
      <c r="A126" s="172"/>
      <c r="B126" s="172"/>
      <c r="C126" s="172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2"/>
      <c r="AT126" s="172"/>
      <c r="AU126" s="172"/>
      <c r="AV126" s="172"/>
      <c r="AW126" s="172"/>
      <c r="AX126" s="172"/>
      <c r="AY126" s="172"/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172"/>
      <c r="BM126" s="172"/>
      <c r="BN126" s="172"/>
      <c r="BO126" s="172"/>
      <c r="BP126" s="172"/>
      <c r="BQ126" s="172"/>
      <c r="BR126" s="172"/>
      <c r="BS126" s="172"/>
      <c r="BT126" s="172"/>
      <c r="BU126" s="172"/>
      <c r="BV126" s="172"/>
      <c r="BW126" s="172"/>
      <c r="BX126" s="172"/>
      <c r="BY126" s="174"/>
      <c r="BZ126" s="172"/>
      <c r="CA126" s="172"/>
      <c r="CB126" s="24"/>
      <c r="CC126" s="25"/>
      <c r="CH126" s="27"/>
      <c r="CL126" s="28"/>
      <c r="CM126" s="28"/>
      <c r="CO126" s="29"/>
      <c r="CP126" s="28"/>
      <c r="CQ126" s="28"/>
      <c r="CR126" s="28"/>
      <c r="CS126" s="28"/>
      <c r="CT126" s="28"/>
      <c r="CU126" s="28"/>
      <c r="CW126" s="68" t="s">
        <v>110</v>
      </c>
      <c r="CX126" s="124" t="str">
        <f>견적관리자용!$S$8</f>
        <v>승용일반</v>
      </c>
      <c r="CY126" s="70">
        <v>0</v>
      </c>
      <c r="CZ126" s="125">
        <v>0.04</v>
      </c>
      <c r="DA126" s="125">
        <v>0.04</v>
      </c>
      <c r="DB126" s="125">
        <v>0.06</v>
      </c>
      <c r="DC126" s="125">
        <v>0.1</v>
      </c>
      <c r="DD126" s="72">
        <f t="shared" si="4"/>
        <v>0</v>
      </c>
      <c r="DE126" s="73">
        <v>123</v>
      </c>
      <c r="DF126" s="72">
        <f t="shared" si="3"/>
        <v>0</v>
      </c>
      <c r="DG126" s="166">
        <f>SUM(DF126:DF135)</f>
        <v>0</v>
      </c>
      <c r="DJ126" s="25"/>
      <c r="DK126" s="25"/>
      <c r="DL126" s="25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  <c r="HN126" s="24"/>
      <c r="HO126" s="24"/>
      <c r="HP126" s="24"/>
      <c r="HQ126" s="24"/>
      <c r="HR126" s="24"/>
      <c r="HS126" s="24"/>
      <c r="HT126" s="24"/>
      <c r="HU126" s="24"/>
      <c r="HV126" s="24"/>
      <c r="HW126" s="24"/>
      <c r="HX126" s="24"/>
      <c r="HY126" s="24"/>
      <c r="HZ126" s="24"/>
      <c r="IA126" s="24"/>
      <c r="IB126" s="24"/>
      <c r="IC126" s="24"/>
      <c r="ID126" s="24"/>
      <c r="IE126" s="24"/>
      <c r="IF126" s="24"/>
      <c r="IG126" s="24"/>
      <c r="IH126" s="24"/>
      <c r="II126" s="24"/>
      <c r="IJ126" s="24"/>
      <c r="IK126" s="24"/>
      <c r="IL126" s="24"/>
      <c r="IM126" s="24"/>
      <c r="IN126" s="24"/>
      <c r="IO126" s="24"/>
      <c r="IP126" s="24"/>
      <c r="IQ126" s="24"/>
      <c r="IR126" s="24"/>
      <c r="IS126" s="24"/>
      <c r="IT126" s="24"/>
      <c r="IU126" s="24"/>
      <c r="IV126" s="24"/>
      <c r="IW126" s="24"/>
      <c r="IX126" s="24"/>
      <c r="IY126" s="24"/>
      <c r="IZ126" s="24"/>
      <c r="JA126" s="24"/>
      <c r="JB126" s="24"/>
      <c r="JC126" s="24"/>
      <c r="JD126" s="24"/>
      <c r="JE126" s="24"/>
      <c r="JF126" s="24"/>
      <c r="JG126" s="24"/>
      <c r="JH126" s="24"/>
      <c r="JI126" s="24"/>
      <c r="JJ126" s="24"/>
      <c r="JK126" s="24"/>
      <c r="JL126" s="24"/>
      <c r="JM126" s="24"/>
      <c r="JN126" s="24"/>
      <c r="JO126" s="24"/>
      <c r="JP126" s="24"/>
      <c r="JQ126" s="24"/>
      <c r="JR126" s="24"/>
      <c r="JS126" s="24"/>
      <c r="JT126" s="24"/>
      <c r="JU126" s="24"/>
      <c r="JV126" s="24"/>
      <c r="JW126" s="24"/>
      <c r="JX126" s="24"/>
      <c r="JY126" s="24"/>
      <c r="JZ126" s="24"/>
      <c r="KA126" s="24"/>
      <c r="KB126" s="24"/>
      <c r="KC126" s="24"/>
      <c r="KD126" s="24"/>
      <c r="KE126" s="24"/>
      <c r="KF126" s="24"/>
      <c r="KG126" s="24"/>
      <c r="KH126" s="24"/>
      <c r="KI126" s="24"/>
      <c r="KJ126" s="24"/>
      <c r="KK126" s="24"/>
      <c r="KL126" s="24"/>
    </row>
    <row r="127" spans="1:298" s="26" customFormat="1" ht="15" hidden="1" customHeight="1" x14ac:dyDescent="0.3">
      <c r="A127" s="172"/>
      <c r="B127" s="172"/>
      <c r="C127" s="172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2"/>
      <c r="AT127" s="172"/>
      <c r="AU127" s="172"/>
      <c r="AV127" s="172"/>
      <c r="AW127" s="172"/>
      <c r="AX127" s="172"/>
      <c r="AY127" s="172"/>
      <c r="AZ127" s="172"/>
      <c r="BA127" s="172"/>
      <c r="BB127" s="172"/>
      <c r="BC127" s="172"/>
      <c r="BD127" s="172"/>
      <c r="BE127" s="172"/>
      <c r="BF127" s="172"/>
      <c r="BG127" s="172"/>
      <c r="BH127" s="172"/>
      <c r="BI127" s="172"/>
      <c r="BJ127" s="172"/>
      <c r="BK127" s="172"/>
      <c r="BL127" s="172"/>
      <c r="BM127" s="172"/>
      <c r="BN127" s="172"/>
      <c r="BO127" s="172"/>
      <c r="BP127" s="172"/>
      <c r="BQ127" s="172"/>
      <c r="BR127" s="172"/>
      <c r="BS127" s="172"/>
      <c r="BT127" s="172"/>
      <c r="BU127" s="172"/>
      <c r="BV127" s="172"/>
      <c r="BW127" s="172"/>
      <c r="BX127" s="172"/>
      <c r="BY127" s="174"/>
      <c r="BZ127" s="172"/>
      <c r="CA127" s="172"/>
      <c r="CB127" s="24"/>
      <c r="CC127" s="25"/>
      <c r="CH127" s="27"/>
      <c r="CL127" s="28"/>
      <c r="CM127" s="28"/>
      <c r="CO127" s="29"/>
      <c r="CP127" s="28"/>
      <c r="CQ127" s="28"/>
      <c r="CR127" s="28"/>
      <c r="CS127" s="28"/>
      <c r="CT127" s="28"/>
      <c r="CU127" s="28"/>
      <c r="CW127" s="68"/>
      <c r="CX127" s="69" t="str">
        <f>견적관리자용!$S$9</f>
        <v>승용SUV(~5인)</v>
      </c>
      <c r="CY127" s="70">
        <v>0</v>
      </c>
      <c r="CZ127" s="71">
        <v>0.04</v>
      </c>
      <c r="DA127" s="71">
        <v>0.04</v>
      </c>
      <c r="DB127" s="71">
        <v>0.06</v>
      </c>
      <c r="DC127" s="71">
        <v>0.1</v>
      </c>
      <c r="DD127" s="72">
        <f t="shared" si="4"/>
        <v>0</v>
      </c>
      <c r="DE127" s="73">
        <v>124</v>
      </c>
      <c r="DF127" s="72">
        <f t="shared" si="3"/>
        <v>0</v>
      </c>
      <c r="DG127" s="166"/>
      <c r="DJ127" s="25"/>
      <c r="DK127" s="25"/>
      <c r="DL127" s="25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  <c r="EG127" s="24"/>
      <c r="EH127" s="24"/>
      <c r="EI127" s="24"/>
      <c r="EJ127" s="24"/>
      <c r="EK127" s="24"/>
      <c r="EL127" s="24"/>
      <c r="EM127" s="24"/>
      <c r="EN127" s="24"/>
      <c r="EO127" s="24"/>
      <c r="EP127" s="24"/>
      <c r="EQ127" s="24"/>
      <c r="ER127" s="24"/>
      <c r="ES127" s="24"/>
      <c r="ET127" s="24"/>
      <c r="EU127" s="24"/>
      <c r="EV127" s="24"/>
      <c r="EW127" s="24"/>
      <c r="EX127" s="24"/>
      <c r="EY127" s="24"/>
      <c r="EZ127" s="24"/>
      <c r="FA127" s="24"/>
      <c r="FB127" s="24"/>
      <c r="FC127" s="24"/>
      <c r="FD127" s="24"/>
      <c r="FE127" s="24"/>
      <c r="FF127" s="24"/>
      <c r="FG127" s="24"/>
      <c r="FH127" s="24"/>
      <c r="FI127" s="24"/>
      <c r="FJ127" s="24"/>
      <c r="FK127" s="24"/>
      <c r="FL127" s="24"/>
      <c r="FM127" s="24"/>
      <c r="FN127" s="24"/>
      <c r="FO127" s="24"/>
      <c r="FP127" s="24"/>
      <c r="FQ127" s="24"/>
      <c r="FR127" s="24"/>
      <c r="FS127" s="24"/>
      <c r="FT127" s="24"/>
      <c r="FU127" s="24"/>
      <c r="FV127" s="24"/>
      <c r="FW127" s="24"/>
      <c r="FX127" s="24"/>
      <c r="FY127" s="24"/>
      <c r="FZ127" s="24"/>
      <c r="GA127" s="24"/>
      <c r="GB127" s="24"/>
      <c r="GC127" s="24"/>
      <c r="GD127" s="24"/>
      <c r="GE127" s="24"/>
      <c r="GF127" s="24"/>
      <c r="GG127" s="24"/>
      <c r="GH127" s="24"/>
      <c r="GI127" s="24"/>
      <c r="GJ127" s="24"/>
      <c r="GK127" s="24"/>
      <c r="GL127" s="24"/>
      <c r="GM127" s="24"/>
      <c r="GN127" s="24"/>
      <c r="GO127" s="24"/>
      <c r="GP127" s="24"/>
      <c r="GQ127" s="24"/>
      <c r="GR127" s="24"/>
      <c r="GS127" s="24"/>
      <c r="GT127" s="24"/>
      <c r="GU127" s="24"/>
      <c r="GV127" s="24"/>
      <c r="GW127" s="24"/>
      <c r="GX127" s="24"/>
      <c r="GY127" s="24"/>
      <c r="GZ127" s="24"/>
      <c r="HA127" s="24"/>
      <c r="HB127" s="24"/>
      <c r="HC127" s="24"/>
      <c r="HD127" s="24"/>
      <c r="HE127" s="24"/>
      <c r="HF127" s="24"/>
      <c r="HG127" s="24"/>
      <c r="HH127" s="24"/>
      <c r="HI127" s="24"/>
      <c r="HJ127" s="24"/>
      <c r="HK127" s="24"/>
      <c r="HL127" s="24"/>
      <c r="HM127" s="24"/>
      <c r="HN127" s="24"/>
      <c r="HO127" s="24"/>
      <c r="HP127" s="24"/>
      <c r="HQ127" s="24"/>
      <c r="HR127" s="24"/>
      <c r="HS127" s="24"/>
      <c r="HT127" s="24"/>
      <c r="HU127" s="24"/>
      <c r="HV127" s="24"/>
      <c r="HW127" s="24"/>
      <c r="HX127" s="24"/>
      <c r="HY127" s="24"/>
      <c r="HZ127" s="24"/>
      <c r="IA127" s="24"/>
      <c r="IB127" s="24"/>
      <c r="IC127" s="24"/>
      <c r="ID127" s="24"/>
      <c r="IE127" s="24"/>
      <c r="IF127" s="24"/>
      <c r="IG127" s="24"/>
      <c r="IH127" s="24"/>
      <c r="II127" s="24"/>
      <c r="IJ127" s="24"/>
      <c r="IK127" s="24"/>
      <c r="IL127" s="24"/>
      <c r="IM127" s="24"/>
      <c r="IN127" s="24"/>
      <c r="IO127" s="24"/>
      <c r="IP127" s="24"/>
      <c r="IQ127" s="24"/>
      <c r="IR127" s="24"/>
      <c r="IS127" s="24"/>
      <c r="IT127" s="24"/>
      <c r="IU127" s="24"/>
      <c r="IV127" s="24"/>
      <c r="IW127" s="24"/>
      <c r="IX127" s="24"/>
      <c r="IY127" s="24"/>
      <c r="IZ127" s="24"/>
      <c r="JA127" s="24"/>
      <c r="JB127" s="24"/>
      <c r="JC127" s="24"/>
      <c r="JD127" s="24"/>
      <c r="JE127" s="24"/>
      <c r="JF127" s="24"/>
      <c r="JG127" s="24"/>
      <c r="JH127" s="24"/>
      <c r="JI127" s="24"/>
      <c r="JJ127" s="24"/>
      <c r="JK127" s="24"/>
      <c r="JL127" s="24"/>
      <c r="JM127" s="24"/>
      <c r="JN127" s="24"/>
      <c r="JO127" s="24"/>
      <c r="JP127" s="24"/>
      <c r="JQ127" s="24"/>
      <c r="JR127" s="24"/>
      <c r="JS127" s="24"/>
      <c r="JT127" s="24"/>
      <c r="JU127" s="24"/>
      <c r="JV127" s="24"/>
      <c r="JW127" s="24"/>
      <c r="JX127" s="24"/>
      <c r="JY127" s="24"/>
      <c r="JZ127" s="24"/>
      <c r="KA127" s="24"/>
      <c r="KB127" s="24"/>
      <c r="KC127" s="24"/>
      <c r="KD127" s="24"/>
      <c r="KE127" s="24"/>
      <c r="KF127" s="24"/>
      <c r="KG127" s="24"/>
      <c r="KH127" s="24"/>
      <c r="KI127" s="24"/>
      <c r="KJ127" s="24"/>
      <c r="KK127" s="24"/>
      <c r="KL127" s="24"/>
    </row>
    <row r="128" spans="1:298" s="26" customFormat="1" ht="15" hidden="1" customHeight="1" x14ac:dyDescent="0.3">
      <c r="A128" s="172"/>
      <c r="B128" s="172"/>
      <c r="C128" s="172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2"/>
      <c r="AT128" s="172"/>
      <c r="AU128" s="172"/>
      <c r="AV128" s="172"/>
      <c r="AW128" s="172"/>
      <c r="AX128" s="172"/>
      <c r="AY128" s="172"/>
      <c r="AZ128" s="172"/>
      <c r="BA128" s="172"/>
      <c r="BB128" s="172"/>
      <c r="BC128" s="172"/>
      <c r="BD128" s="172"/>
      <c r="BE128" s="172"/>
      <c r="BF128" s="172"/>
      <c r="BG128" s="172"/>
      <c r="BH128" s="172"/>
      <c r="BI128" s="172"/>
      <c r="BJ128" s="172"/>
      <c r="BK128" s="172"/>
      <c r="BL128" s="172"/>
      <c r="BM128" s="172"/>
      <c r="BN128" s="172"/>
      <c r="BO128" s="172"/>
      <c r="BP128" s="172"/>
      <c r="BQ128" s="172"/>
      <c r="BR128" s="172"/>
      <c r="BS128" s="172"/>
      <c r="BT128" s="172"/>
      <c r="BU128" s="172"/>
      <c r="BV128" s="172"/>
      <c r="BW128" s="172"/>
      <c r="BX128" s="172"/>
      <c r="BY128" s="174"/>
      <c r="BZ128" s="172"/>
      <c r="CA128" s="172"/>
      <c r="CB128" s="24"/>
      <c r="CC128" s="25"/>
      <c r="CH128" s="27"/>
      <c r="CL128" s="28"/>
      <c r="CM128" s="28"/>
      <c r="CO128" s="29"/>
      <c r="CP128" s="28"/>
      <c r="CQ128" s="28"/>
      <c r="CR128" s="28"/>
      <c r="CS128" s="28"/>
      <c r="CT128" s="28"/>
      <c r="CU128" s="28"/>
      <c r="CW128" s="68"/>
      <c r="CX128" s="69" t="str">
        <f>견적관리자용!$S$10</f>
        <v>승용SUV(7~10인)</v>
      </c>
      <c r="CY128" s="70">
        <v>0</v>
      </c>
      <c r="CZ128" s="71">
        <v>0.04</v>
      </c>
      <c r="DA128" s="71">
        <v>0.04</v>
      </c>
      <c r="DB128" s="71">
        <v>0.06</v>
      </c>
      <c r="DC128" s="71">
        <v>0.1</v>
      </c>
      <c r="DD128" s="72">
        <f t="shared" si="4"/>
        <v>0</v>
      </c>
      <c r="DE128" s="73">
        <v>125</v>
      </c>
      <c r="DF128" s="72">
        <f t="shared" si="3"/>
        <v>0</v>
      </c>
      <c r="DG128" s="166"/>
      <c r="DJ128" s="25"/>
      <c r="DK128" s="25"/>
      <c r="DL128" s="25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  <c r="EG128" s="24"/>
      <c r="EH128" s="24"/>
      <c r="EI128" s="24"/>
      <c r="EJ128" s="24"/>
      <c r="EK128" s="24"/>
      <c r="EL128" s="24"/>
      <c r="EM128" s="24"/>
      <c r="EN128" s="24"/>
      <c r="EO128" s="24"/>
      <c r="EP128" s="24"/>
      <c r="EQ128" s="24"/>
      <c r="ER128" s="24"/>
      <c r="ES128" s="24"/>
      <c r="ET128" s="24"/>
      <c r="EU128" s="24"/>
      <c r="EV128" s="24"/>
      <c r="EW128" s="24"/>
      <c r="EX128" s="24"/>
      <c r="EY128" s="24"/>
      <c r="EZ128" s="24"/>
      <c r="FA128" s="24"/>
      <c r="FB128" s="24"/>
      <c r="FC128" s="24"/>
      <c r="FD128" s="24"/>
      <c r="FE128" s="24"/>
      <c r="FF128" s="24"/>
      <c r="FG128" s="24"/>
      <c r="FH128" s="24"/>
      <c r="FI128" s="24"/>
      <c r="FJ128" s="24"/>
      <c r="FK128" s="24"/>
      <c r="FL128" s="24"/>
      <c r="FM128" s="24"/>
      <c r="FN128" s="24"/>
      <c r="FO128" s="24"/>
      <c r="FP128" s="24"/>
      <c r="FQ128" s="24"/>
      <c r="FR128" s="24"/>
      <c r="FS128" s="24"/>
      <c r="FT128" s="24"/>
      <c r="FU128" s="24"/>
      <c r="FV128" s="24"/>
      <c r="FW128" s="24"/>
      <c r="FX128" s="24"/>
      <c r="FY128" s="24"/>
      <c r="FZ128" s="24"/>
      <c r="GA128" s="24"/>
      <c r="GB128" s="24"/>
      <c r="GC128" s="24"/>
      <c r="GD128" s="24"/>
      <c r="GE128" s="24"/>
      <c r="GF128" s="24"/>
      <c r="GG128" s="24"/>
      <c r="GH128" s="24"/>
      <c r="GI128" s="24"/>
      <c r="GJ128" s="24"/>
      <c r="GK128" s="24"/>
      <c r="GL128" s="24"/>
      <c r="GM128" s="24"/>
      <c r="GN128" s="24"/>
      <c r="GO128" s="24"/>
      <c r="GP128" s="24"/>
      <c r="GQ128" s="24"/>
      <c r="GR128" s="24"/>
      <c r="GS128" s="24"/>
      <c r="GT128" s="24"/>
      <c r="GU128" s="24"/>
      <c r="GV128" s="24"/>
      <c r="GW128" s="24"/>
      <c r="GX128" s="24"/>
      <c r="GY128" s="24"/>
      <c r="GZ128" s="24"/>
      <c r="HA128" s="24"/>
      <c r="HB128" s="24"/>
      <c r="HC128" s="24"/>
      <c r="HD128" s="24"/>
      <c r="HE128" s="24"/>
      <c r="HF128" s="24"/>
      <c r="HG128" s="24"/>
      <c r="HH128" s="24"/>
      <c r="HI128" s="24"/>
      <c r="HJ128" s="24"/>
      <c r="HK128" s="24"/>
      <c r="HL128" s="24"/>
      <c r="HM128" s="24"/>
      <c r="HN128" s="24"/>
      <c r="HO128" s="24"/>
      <c r="HP128" s="24"/>
      <c r="HQ128" s="24"/>
      <c r="HR128" s="24"/>
      <c r="HS128" s="24"/>
      <c r="HT128" s="24"/>
      <c r="HU128" s="24"/>
      <c r="HV128" s="24"/>
      <c r="HW128" s="24"/>
      <c r="HX128" s="24"/>
      <c r="HY128" s="24"/>
      <c r="HZ128" s="24"/>
      <c r="IA128" s="24"/>
      <c r="IB128" s="24"/>
      <c r="IC128" s="24"/>
      <c r="ID128" s="24"/>
      <c r="IE128" s="24"/>
      <c r="IF128" s="24"/>
      <c r="IG128" s="24"/>
      <c r="IH128" s="24"/>
      <c r="II128" s="24"/>
      <c r="IJ128" s="24"/>
      <c r="IK128" s="24"/>
      <c r="IL128" s="24"/>
      <c r="IM128" s="24"/>
      <c r="IN128" s="24"/>
      <c r="IO128" s="24"/>
      <c r="IP128" s="24"/>
      <c r="IQ128" s="24"/>
      <c r="IR128" s="24"/>
      <c r="IS128" s="24"/>
      <c r="IT128" s="24"/>
      <c r="IU128" s="24"/>
      <c r="IV128" s="24"/>
      <c r="IW128" s="24"/>
      <c r="IX128" s="24"/>
      <c r="IY128" s="24"/>
      <c r="IZ128" s="24"/>
      <c r="JA128" s="24"/>
      <c r="JB128" s="24"/>
      <c r="JC128" s="24"/>
      <c r="JD128" s="24"/>
      <c r="JE128" s="24"/>
      <c r="JF128" s="24"/>
      <c r="JG128" s="24"/>
      <c r="JH128" s="24"/>
      <c r="JI128" s="24"/>
      <c r="JJ128" s="24"/>
      <c r="JK128" s="24"/>
      <c r="JL128" s="24"/>
      <c r="JM128" s="24"/>
      <c r="JN128" s="24"/>
      <c r="JO128" s="24"/>
      <c r="JP128" s="24"/>
      <c r="JQ128" s="24"/>
      <c r="JR128" s="24"/>
      <c r="JS128" s="24"/>
      <c r="JT128" s="24"/>
      <c r="JU128" s="24"/>
      <c r="JV128" s="24"/>
      <c r="JW128" s="24"/>
      <c r="JX128" s="24"/>
      <c r="JY128" s="24"/>
      <c r="JZ128" s="24"/>
      <c r="KA128" s="24"/>
      <c r="KB128" s="24"/>
      <c r="KC128" s="24"/>
      <c r="KD128" s="24"/>
      <c r="KE128" s="24"/>
      <c r="KF128" s="24"/>
      <c r="KG128" s="24"/>
      <c r="KH128" s="24"/>
      <c r="KI128" s="24"/>
      <c r="KJ128" s="24"/>
      <c r="KK128" s="24"/>
      <c r="KL128" s="24"/>
    </row>
    <row r="129" spans="1:298" s="26" customFormat="1" ht="15" hidden="1" customHeight="1" x14ac:dyDescent="0.3">
      <c r="A129" s="172"/>
      <c r="B129" s="172"/>
      <c r="C129" s="172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2"/>
      <c r="AT129" s="172"/>
      <c r="AU129" s="172"/>
      <c r="AV129" s="172"/>
      <c r="AW129" s="172"/>
      <c r="AX129" s="172"/>
      <c r="AY129" s="172"/>
      <c r="AZ129" s="172"/>
      <c r="BA129" s="172"/>
      <c r="BB129" s="172"/>
      <c r="BC129" s="172"/>
      <c r="BD129" s="172"/>
      <c r="BE129" s="172"/>
      <c r="BF129" s="172"/>
      <c r="BG129" s="172"/>
      <c r="BH129" s="172"/>
      <c r="BI129" s="172"/>
      <c r="BJ129" s="172"/>
      <c r="BK129" s="172"/>
      <c r="BL129" s="172"/>
      <c r="BM129" s="172"/>
      <c r="BN129" s="172"/>
      <c r="BO129" s="172"/>
      <c r="BP129" s="172"/>
      <c r="BQ129" s="172"/>
      <c r="BR129" s="172"/>
      <c r="BS129" s="172"/>
      <c r="BT129" s="172"/>
      <c r="BU129" s="172"/>
      <c r="BV129" s="172"/>
      <c r="BW129" s="172"/>
      <c r="BX129" s="172"/>
      <c r="BY129" s="174"/>
      <c r="BZ129" s="172"/>
      <c r="CA129" s="172"/>
      <c r="CB129" s="24"/>
      <c r="CC129" s="25"/>
      <c r="CH129" s="27"/>
      <c r="CL129" s="28"/>
      <c r="CM129" s="28"/>
      <c r="CO129" s="29"/>
      <c r="CP129" s="28"/>
      <c r="CQ129" s="28"/>
      <c r="CR129" s="28"/>
      <c r="CS129" s="28"/>
      <c r="CT129" s="28"/>
      <c r="CU129" s="28"/>
      <c r="CW129" s="68"/>
      <c r="CX129" s="69" t="str">
        <f>견적관리자용!$S$11</f>
        <v>승합(11~15인)</v>
      </c>
      <c r="CY129" s="70">
        <v>0</v>
      </c>
      <c r="CZ129" s="125">
        <v>1.4999999999999999E-2</v>
      </c>
      <c r="DA129" s="125">
        <v>1.4999999999999999E-2</v>
      </c>
      <c r="DB129" s="125">
        <v>1.4999999999999999E-2</v>
      </c>
      <c r="DC129" s="125">
        <v>1.4999999999999999E-2</v>
      </c>
      <c r="DD129" s="72">
        <f t="shared" si="4"/>
        <v>0</v>
      </c>
      <c r="DE129" s="73">
        <v>126</v>
      </c>
      <c r="DF129" s="72">
        <f t="shared" si="3"/>
        <v>0</v>
      </c>
      <c r="DG129" s="166"/>
      <c r="DJ129" s="25"/>
      <c r="DK129" s="25"/>
      <c r="DL129" s="25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4"/>
      <c r="EP129" s="24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4"/>
      <c r="FC129" s="24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4"/>
      <c r="FP129" s="24"/>
      <c r="FQ129" s="24"/>
      <c r="FR129" s="24"/>
      <c r="FS129" s="24"/>
      <c r="FT129" s="24"/>
      <c r="FU129" s="24"/>
      <c r="FV129" s="24"/>
      <c r="FW129" s="24"/>
      <c r="FX129" s="24"/>
      <c r="FY129" s="24"/>
      <c r="FZ129" s="24"/>
      <c r="GA129" s="24"/>
      <c r="GB129" s="24"/>
      <c r="GC129" s="24"/>
      <c r="GD129" s="24"/>
      <c r="GE129" s="24"/>
      <c r="GF129" s="24"/>
      <c r="GG129" s="24"/>
      <c r="GH129" s="24"/>
      <c r="GI129" s="24"/>
      <c r="GJ129" s="24"/>
      <c r="GK129" s="24"/>
      <c r="GL129" s="24"/>
      <c r="GM129" s="24"/>
      <c r="GN129" s="24"/>
      <c r="GO129" s="24"/>
      <c r="GP129" s="24"/>
      <c r="GQ129" s="24"/>
      <c r="GR129" s="24"/>
      <c r="GS129" s="24"/>
      <c r="GT129" s="24"/>
      <c r="GU129" s="24"/>
      <c r="GV129" s="24"/>
      <c r="GW129" s="24"/>
      <c r="GX129" s="24"/>
      <c r="GY129" s="24"/>
      <c r="GZ129" s="24"/>
      <c r="HA129" s="24"/>
      <c r="HB129" s="24"/>
      <c r="HC129" s="24"/>
      <c r="HD129" s="24"/>
      <c r="HE129" s="24"/>
      <c r="HF129" s="24"/>
      <c r="HG129" s="24"/>
      <c r="HH129" s="24"/>
      <c r="HI129" s="24"/>
      <c r="HJ129" s="24"/>
      <c r="HK129" s="24"/>
      <c r="HL129" s="24"/>
      <c r="HM129" s="24"/>
      <c r="HN129" s="24"/>
      <c r="HO129" s="24"/>
      <c r="HP129" s="24"/>
      <c r="HQ129" s="24"/>
      <c r="HR129" s="24"/>
      <c r="HS129" s="24"/>
      <c r="HT129" s="24"/>
      <c r="HU129" s="24"/>
      <c r="HV129" s="24"/>
      <c r="HW129" s="24"/>
      <c r="HX129" s="24"/>
      <c r="HY129" s="24"/>
      <c r="HZ129" s="24"/>
      <c r="IA129" s="24"/>
      <c r="IB129" s="24"/>
      <c r="IC129" s="24"/>
      <c r="ID129" s="24"/>
      <c r="IE129" s="24"/>
      <c r="IF129" s="24"/>
      <c r="IG129" s="24"/>
      <c r="IH129" s="24"/>
      <c r="II129" s="24"/>
      <c r="IJ129" s="24"/>
      <c r="IK129" s="24"/>
      <c r="IL129" s="24"/>
      <c r="IM129" s="24"/>
      <c r="IN129" s="24"/>
      <c r="IO129" s="24"/>
      <c r="IP129" s="24"/>
      <c r="IQ129" s="24"/>
      <c r="IR129" s="24"/>
      <c r="IS129" s="24"/>
      <c r="IT129" s="24"/>
      <c r="IU129" s="24"/>
      <c r="IV129" s="24"/>
      <c r="IW129" s="24"/>
      <c r="IX129" s="24"/>
      <c r="IY129" s="24"/>
      <c r="IZ129" s="24"/>
      <c r="JA129" s="24"/>
      <c r="JB129" s="24"/>
      <c r="JC129" s="24"/>
      <c r="JD129" s="24"/>
      <c r="JE129" s="24"/>
      <c r="JF129" s="24"/>
      <c r="JG129" s="24"/>
      <c r="JH129" s="24"/>
      <c r="JI129" s="24"/>
      <c r="JJ129" s="24"/>
      <c r="JK129" s="24"/>
      <c r="JL129" s="24"/>
      <c r="JM129" s="24"/>
      <c r="JN129" s="24"/>
      <c r="JO129" s="24"/>
      <c r="JP129" s="24"/>
      <c r="JQ129" s="24"/>
      <c r="JR129" s="24"/>
      <c r="JS129" s="24"/>
      <c r="JT129" s="24"/>
      <c r="JU129" s="24"/>
      <c r="JV129" s="24"/>
      <c r="JW129" s="24"/>
      <c r="JX129" s="24"/>
      <c r="JY129" s="24"/>
      <c r="JZ129" s="24"/>
      <c r="KA129" s="24"/>
      <c r="KB129" s="24"/>
      <c r="KC129" s="24"/>
      <c r="KD129" s="24"/>
      <c r="KE129" s="24"/>
      <c r="KF129" s="24"/>
      <c r="KG129" s="24"/>
      <c r="KH129" s="24"/>
      <c r="KI129" s="24"/>
      <c r="KJ129" s="24"/>
      <c r="KK129" s="24"/>
      <c r="KL129" s="24"/>
    </row>
    <row r="130" spans="1:298" s="26" customFormat="1" ht="15" hidden="1" customHeight="1" x14ac:dyDescent="0.3">
      <c r="A130" s="172"/>
      <c r="B130" s="172"/>
      <c r="C130" s="172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2"/>
      <c r="AT130" s="172"/>
      <c r="AU130" s="172"/>
      <c r="AV130" s="172"/>
      <c r="AW130" s="172"/>
      <c r="AX130" s="172"/>
      <c r="AY130" s="172"/>
      <c r="AZ130" s="172"/>
      <c r="BA130" s="172"/>
      <c r="BB130" s="172"/>
      <c r="BC130" s="172"/>
      <c r="BD130" s="172"/>
      <c r="BE130" s="172"/>
      <c r="BF130" s="172"/>
      <c r="BG130" s="172"/>
      <c r="BH130" s="172"/>
      <c r="BI130" s="172"/>
      <c r="BJ130" s="172"/>
      <c r="BK130" s="172"/>
      <c r="BL130" s="172"/>
      <c r="BM130" s="172"/>
      <c r="BN130" s="172"/>
      <c r="BO130" s="172"/>
      <c r="BP130" s="172"/>
      <c r="BQ130" s="172"/>
      <c r="BR130" s="172"/>
      <c r="BS130" s="172"/>
      <c r="BT130" s="172"/>
      <c r="BU130" s="172"/>
      <c r="BV130" s="172"/>
      <c r="BW130" s="172"/>
      <c r="BX130" s="172"/>
      <c r="BY130" s="174"/>
      <c r="BZ130" s="172"/>
      <c r="CA130" s="172"/>
      <c r="CB130" s="24"/>
      <c r="CC130" s="25"/>
      <c r="CH130" s="27"/>
      <c r="CL130" s="28"/>
      <c r="CM130" s="28"/>
      <c r="CO130" s="29"/>
      <c r="CP130" s="28"/>
      <c r="CQ130" s="28"/>
      <c r="CR130" s="28"/>
      <c r="CS130" s="28"/>
      <c r="CT130" s="28"/>
      <c r="CU130" s="28"/>
      <c r="CW130" s="68"/>
      <c r="CX130" s="69" t="str">
        <f>견적관리자용!$S$12</f>
        <v>화물(1000cc 미만)</v>
      </c>
      <c r="CY130" s="70">
        <v>0</v>
      </c>
      <c r="CZ130" s="70">
        <v>0</v>
      </c>
      <c r="DA130" s="80">
        <v>0</v>
      </c>
      <c r="DB130" s="80">
        <v>0</v>
      </c>
      <c r="DC130" s="80">
        <v>0</v>
      </c>
      <c r="DD130" s="72">
        <f t="shared" si="4"/>
        <v>0</v>
      </c>
      <c r="DE130" s="73">
        <v>127</v>
      </c>
      <c r="DF130" s="72">
        <f t="shared" si="3"/>
        <v>0</v>
      </c>
      <c r="DG130" s="166"/>
      <c r="DJ130" s="25"/>
      <c r="DK130" s="25"/>
      <c r="DL130" s="25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  <c r="EG130" s="24"/>
      <c r="EH130" s="24"/>
      <c r="EI130" s="24"/>
      <c r="EJ130" s="24"/>
      <c r="EK130" s="24"/>
      <c r="EL130" s="24"/>
      <c r="EM130" s="24"/>
      <c r="EN130" s="24"/>
      <c r="EO130" s="24"/>
      <c r="EP130" s="24"/>
      <c r="EQ130" s="24"/>
      <c r="ER130" s="24"/>
      <c r="ES130" s="24"/>
      <c r="ET130" s="24"/>
      <c r="EU130" s="24"/>
      <c r="EV130" s="24"/>
      <c r="EW130" s="24"/>
      <c r="EX130" s="24"/>
      <c r="EY130" s="24"/>
      <c r="EZ130" s="24"/>
      <c r="FA130" s="24"/>
      <c r="FB130" s="24"/>
      <c r="FC130" s="24"/>
      <c r="FD130" s="24"/>
      <c r="FE130" s="24"/>
      <c r="FF130" s="24"/>
      <c r="FG130" s="24"/>
      <c r="FH130" s="24"/>
      <c r="FI130" s="24"/>
      <c r="FJ130" s="24"/>
      <c r="FK130" s="24"/>
      <c r="FL130" s="24"/>
      <c r="FM130" s="24"/>
      <c r="FN130" s="24"/>
      <c r="FO130" s="24"/>
      <c r="FP130" s="24"/>
      <c r="FQ130" s="24"/>
      <c r="FR130" s="24"/>
      <c r="FS130" s="24"/>
      <c r="FT130" s="24"/>
      <c r="FU130" s="24"/>
      <c r="FV130" s="24"/>
      <c r="FW130" s="24"/>
      <c r="FX130" s="24"/>
      <c r="FY130" s="24"/>
      <c r="FZ130" s="24"/>
      <c r="GA130" s="24"/>
      <c r="GB130" s="24"/>
      <c r="GC130" s="24"/>
      <c r="GD130" s="24"/>
      <c r="GE130" s="24"/>
      <c r="GF130" s="24"/>
      <c r="GG130" s="24"/>
      <c r="GH130" s="24"/>
      <c r="GI130" s="24"/>
      <c r="GJ130" s="24"/>
      <c r="GK130" s="24"/>
      <c r="GL130" s="24"/>
      <c r="GM130" s="24"/>
      <c r="GN130" s="24"/>
      <c r="GO130" s="24"/>
      <c r="GP130" s="24"/>
      <c r="GQ130" s="24"/>
      <c r="GR130" s="24"/>
      <c r="GS130" s="24"/>
      <c r="GT130" s="24"/>
      <c r="GU130" s="24"/>
      <c r="GV130" s="24"/>
      <c r="GW130" s="24"/>
      <c r="GX130" s="24"/>
      <c r="GY130" s="24"/>
      <c r="GZ130" s="24"/>
      <c r="HA130" s="24"/>
      <c r="HB130" s="24"/>
      <c r="HC130" s="24"/>
      <c r="HD130" s="24"/>
      <c r="HE130" s="24"/>
      <c r="HF130" s="24"/>
      <c r="HG130" s="24"/>
      <c r="HH130" s="24"/>
      <c r="HI130" s="24"/>
      <c r="HJ130" s="24"/>
      <c r="HK130" s="24"/>
      <c r="HL130" s="24"/>
      <c r="HM130" s="24"/>
      <c r="HN130" s="24"/>
      <c r="HO130" s="24"/>
      <c r="HP130" s="24"/>
      <c r="HQ130" s="24"/>
      <c r="HR130" s="24"/>
      <c r="HS130" s="24"/>
      <c r="HT130" s="24"/>
      <c r="HU130" s="24"/>
      <c r="HV130" s="24"/>
      <c r="HW130" s="24"/>
      <c r="HX130" s="24"/>
      <c r="HY130" s="24"/>
      <c r="HZ130" s="24"/>
      <c r="IA130" s="24"/>
      <c r="IB130" s="24"/>
      <c r="IC130" s="24"/>
      <c r="ID130" s="24"/>
      <c r="IE130" s="24"/>
      <c r="IF130" s="24"/>
      <c r="IG130" s="24"/>
      <c r="IH130" s="24"/>
      <c r="II130" s="24"/>
      <c r="IJ130" s="24"/>
      <c r="IK130" s="24"/>
      <c r="IL130" s="24"/>
      <c r="IM130" s="24"/>
      <c r="IN130" s="24"/>
      <c r="IO130" s="24"/>
      <c r="IP130" s="24"/>
      <c r="IQ130" s="24"/>
      <c r="IR130" s="24"/>
      <c r="IS130" s="24"/>
      <c r="IT130" s="24"/>
      <c r="IU130" s="24"/>
      <c r="IV130" s="24"/>
      <c r="IW130" s="24"/>
      <c r="IX130" s="24"/>
      <c r="IY130" s="24"/>
      <c r="IZ130" s="24"/>
      <c r="JA130" s="24"/>
      <c r="JB130" s="24"/>
      <c r="JC130" s="24"/>
      <c r="JD130" s="24"/>
      <c r="JE130" s="24"/>
      <c r="JF130" s="24"/>
      <c r="JG130" s="24"/>
      <c r="JH130" s="24"/>
      <c r="JI130" s="24"/>
      <c r="JJ130" s="24"/>
      <c r="JK130" s="24"/>
      <c r="JL130" s="24"/>
      <c r="JM130" s="24"/>
      <c r="JN130" s="24"/>
      <c r="JO130" s="24"/>
      <c r="JP130" s="24"/>
      <c r="JQ130" s="24"/>
      <c r="JR130" s="24"/>
      <c r="JS130" s="24"/>
      <c r="JT130" s="24"/>
      <c r="JU130" s="24"/>
      <c r="JV130" s="24"/>
      <c r="JW130" s="24"/>
      <c r="JX130" s="24"/>
      <c r="JY130" s="24"/>
      <c r="JZ130" s="24"/>
      <c r="KA130" s="24"/>
      <c r="KB130" s="24"/>
      <c r="KC130" s="24"/>
      <c r="KD130" s="24"/>
      <c r="KE130" s="24"/>
      <c r="KF130" s="24"/>
      <c r="KG130" s="24"/>
      <c r="KH130" s="24"/>
      <c r="KI130" s="24"/>
      <c r="KJ130" s="24"/>
      <c r="KK130" s="24"/>
      <c r="KL130" s="24"/>
    </row>
    <row r="131" spans="1:298" s="26" customFormat="1" ht="15" hidden="1" customHeight="1" x14ac:dyDescent="0.3">
      <c r="A131" s="172"/>
      <c r="B131" s="172"/>
      <c r="C131" s="172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2"/>
      <c r="AT131" s="172"/>
      <c r="AU131" s="172"/>
      <c r="AV131" s="172"/>
      <c r="AW131" s="172"/>
      <c r="AX131" s="172"/>
      <c r="AY131" s="172"/>
      <c r="AZ131" s="172"/>
      <c r="BA131" s="172"/>
      <c r="BB131" s="172"/>
      <c r="BC131" s="172"/>
      <c r="BD131" s="172"/>
      <c r="BE131" s="172"/>
      <c r="BF131" s="172"/>
      <c r="BG131" s="172"/>
      <c r="BH131" s="172"/>
      <c r="BI131" s="172"/>
      <c r="BJ131" s="172"/>
      <c r="BK131" s="172"/>
      <c r="BL131" s="172"/>
      <c r="BM131" s="172"/>
      <c r="BN131" s="172"/>
      <c r="BO131" s="172"/>
      <c r="BP131" s="172"/>
      <c r="BQ131" s="172"/>
      <c r="BR131" s="172"/>
      <c r="BS131" s="172"/>
      <c r="BT131" s="172"/>
      <c r="BU131" s="172"/>
      <c r="BV131" s="172"/>
      <c r="BW131" s="172"/>
      <c r="BX131" s="172"/>
      <c r="BY131" s="174"/>
      <c r="BZ131" s="172"/>
      <c r="CA131" s="172"/>
      <c r="CB131" s="24"/>
      <c r="CC131" s="25"/>
      <c r="CH131" s="27"/>
      <c r="CL131" s="28"/>
      <c r="CM131" s="28"/>
      <c r="CO131" s="29"/>
      <c r="CP131" s="28"/>
      <c r="CQ131" s="28"/>
      <c r="CR131" s="28"/>
      <c r="CS131" s="28"/>
      <c r="CT131" s="28"/>
      <c r="CU131" s="28"/>
      <c r="CW131" s="85"/>
      <c r="CX131" s="69" t="str">
        <f>견적관리자용!$S$13</f>
        <v>화물(0.6톤 미만)</v>
      </c>
      <c r="CY131" s="70">
        <v>0</v>
      </c>
      <c r="CZ131" s="70">
        <v>0</v>
      </c>
      <c r="DA131" s="80">
        <v>0</v>
      </c>
      <c r="DB131" s="80">
        <v>0</v>
      </c>
      <c r="DC131" s="80">
        <v>0</v>
      </c>
      <c r="DD131" s="72">
        <f t="shared" si="4"/>
        <v>0</v>
      </c>
      <c r="DE131" s="73">
        <v>128</v>
      </c>
      <c r="DF131" s="72">
        <f t="shared" si="3"/>
        <v>0</v>
      </c>
      <c r="DG131" s="166"/>
      <c r="DJ131" s="25"/>
      <c r="DK131" s="25"/>
      <c r="DL131" s="25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4"/>
      <c r="EP131" s="24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4"/>
      <c r="FC131" s="24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4"/>
      <c r="FP131" s="24"/>
      <c r="FQ131" s="24"/>
      <c r="FR131" s="24"/>
      <c r="FS131" s="24"/>
      <c r="FT131" s="24"/>
      <c r="FU131" s="24"/>
      <c r="FV131" s="24"/>
      <c r="FW131" s="24"/>
      <c r="FX131" s="24"/>
      <c r="FY131" s="24"/>
      <c r="FZ131" s="24"/>
      <c r="GA131" s="24"/>
      <c r="GB131" s="24"/>
      <c r="GC131" s="24"/>
      <c r="GD131" s="24"/>
      <c r="GE131" s="24"/>
      <c r="GF131" s="24"/>
      <c r="GG131" s="24"/>
      <c r="GH131" s="24"/>
      <c r="GI131" s="24"/>
      <c r="GJ131" s="24"/>
      <c r="GK131" s="24"/>
      <c r="GL131" s="24"/>
      <c r="GM131" s="24"/>
      <c r="GN131" s="24"/>
      <c r="GO131" s="24"/>
      <c r="GP131" s="24"/>
      <c r="GQ131" s="24"/>
      <c r="GR131" s="24"/>
      <c r="GS131" s="24"/>
      <c r="GT131" s="24"/>
      <c r="GU131" s="24"/>
      <c r="GV131" s="24"/>
      <c r="GW131" s="24"/>
      <c r="GX131" s="24"/>
      <c r="GY131" s="24"/>
      <c r="GZ131" s="24"/>
      <c r="HA131" s="24"/>
      <c r="HB131" s="24"/>
      <c r="HC131" s="24"/>
      <c r="HD131" s="24"/>
      <c r="HE131" s="24"/>
      <c r="HF131" s="24"/>
      <c r="HG131" s="24"/>
      <c r="HH131" s="24"/>
      <c r="HI131" s="24"/>
      <c r="HJ131" s="24"/>
      <c r="HK131" s="24"/>
      <c r="HL131" s="24"/>
      <c r="HM131" s="24"/>
      <c r="HN131" s="24"/>
      <c r="HO131" s="24"/>
      <c r="HP131" s="24"/>
      <c r="HQ131" s="24"/>
      <c r="HR131" s="24"/>
      <c r="HS131" s="24"/>
      <c r="HT131" s="24"/>
      <c r="HU131" s="24"/>
      <c r="HV131" s="24"/>
      <c r="HW131" s="24"/>
      <c r="HX131" s="24"/>
      <c r="HY131" s="24"/>
      <c r="HZ131" s="24"/>
      <c r="IA131" s="24"/>
      <c r="IB131" s="24"/>
      <c r="IC131" s="24"/>
      <c r="ID131" s="24"/>
      <c r="IE131" s="24"/>
      <c r="IF131" s="24"/>
      <c r="IG131" s="24"/>
      <c r="IH131" s="24"/>
      <c r="II131" s="24"/>
      <c r="IJ131" s="24"/>
      <c r="IK131" s="24"/>
      <c r="IL131" s="24"/>
      <c r="IM131" s="24"/>
      <c r="IN131" s="24"/>
      <c r="IO131" s="24"/>
      <c r="IP131" s="24"/>
      <c r="IQ131" s="24"/>
      <c r="IR131" s="24"/>
      <c r="IS131" s="24"/>
      <c r="IT131" s="24"/>
      <c r="IU131" s="24"/>
      <c r="IV131" s="24"/>
      <c r="IW131" s="24"/>
      <c r="IX131" s="24"/>
      <c r="IY131" s="24"/>
      <c r="IZ131" s="24"/>
      <c r="JA131" s="24"/>
      <c r="JB131" s="24"/>
      <c r="JC131" s="24"/>
      <c r="JD131" s="24"/>
      <c r="JE131" s="24"/>
      <c r="JF131" s="24"/>
      <c r="JG131" s="24"/>
      <c r="JH131" s="24"/>
      <c r="JI131" s="24"/>
      <c r="JJ131" s="24"/>
      <c r="JK131" s="24"/>
      <c r="JL131" s="24"/>
      <c r="JM131" s="24"/>
      <c r="JN131" s="24"/>
      <c r="JO131" s="24"/>
      <c r="JP131" s="24"/>
      <c r="JQ131" s="24"/>
      <c r="JR131" s="24"/>
      <c r="JS131" s="24"/>
      <c r="JT131" s="24"/>
      <c r="JU131" s="24"/>
      <c r="JV131" s="24"/>
      <c r="JW131" s="24"/>
      <c r="JX131" s="24"/>
      <c r="JY131" s="24"/>
      <c r="JZ131" s="24"/>
      <c r="KA131" s="24"/>
      <c r="KB131" s="24"/>
      <c r="KC131" s="24"/>
      <c r="KD131" s="24"/>
      <c r="KE131" s="24"/>
      <c r="KF131" s="24"/>
      <c r="KG131" s="24"/>
      <c r="KH131" s="24"/>
      <c r="KI131" s="24"/>
      <c r="KJ131" s="24"/>
      <c r="KK131" s="24"/>
      <c r="KL131" s="24"/>
    </row>
    <row r="132" spans="1:298" s="26" customFormat="1" ht="15" hidden="1" customHeight="1" x14ac:dyDescent="0.3">
      <c r="A132" s="172"/>
      <c r="B132" s="172"/>
      <c r="C132" s="172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2"/>
      <c r="AT132" s="172"/>
      <c r="AU132" s="172"/>
      <c r="AV132" s="172"/>
      <c r="AW132" s="172"/>
      <c r="AX132" s="172"/>
      <c r="AY132" s="172"/>
      <c r="AZ132" s="172"/>
      <c r="BA132" s="172"/>
      <c r="BB132" s="172"/>
      <c r="BC132" s="172"/>
      <c r="BD132" s="172"/>
      <c r="BE132" s="172"/>
      <c r="BF132" s="172"/>
      <c r="BG132" s="172"/>
      <c r="BH132" s="172"/>
      <c r="BI132" s="172"/>
      <c r="BJ132" s="172"/>
      <c r="BK132" s="172"/>
      <c r="BL132" s="172"/>
      <c r="BM132" s="172"/>
      <c r="BN132" s="172"/>
      <c r="BO132" s="172"/>
      <c r="BP132" s="172"/>
      <c r="BQ132" s="172"/>
      <c r="BR132" s="172"/>
      <c r="BS132" s="172"/>
      <c r="BT132" s="172"/>
      <c r="BU132" s="172"/>
      <c r="BV132" s="172"/>
      <c r="BW132" s="172"/>
      <c r="BX132" s="172"/>
      <c r="BY132" s="174"/>
      <c r="BZ132" s="172"/>
      <c r="CA132" s="172"/>
      <c r="CB132" s="24"/>
      <c r="CC132" s="25"/>
      <c r="CH132" s="27"/>
      <c r="CL132" s="28"/>
      <c r="CM132" s="28"/>
      <c r="CO132" s="29"/>
      <c r="CP132" s="28"/>
      <c r="CQ132" s="28"/>
      <c r="CR132" s="28"/>
      <c r="CS132" s="28"/>
      <c r="CT132" s="28"/>
      <c r="CU132" s="28"/>
      <c r="CW132" s="85"/>
      <c r="CX132" s="69" t="str">
        <f>견적관리자용!$S$14</f>
        <v>화물(0.6~1톤 미만)</v>
      </c>
      <c r="CY132" s="70">
        <v>0</v>
      </c>
      <c r="CZ132" s="125">
        <v>1.4999999999999999E-2</v>
      </c>
      <c r="DA132" s="125">
        <v>1.4999999999999999E-2</v>
      </c>
      <c r="DB132" s="125">
        <v>1.4999999999999999E-2</v>
      </c>
      <c r="DC132" s="125">
        <v>1.4999999999999999E-2</v>
      </c>
      <c r="DD132" s="72">
        <f t="shared" si="4"/>
        <v>0</v>
      </c>
      <c r="DE132" s="73">
        <v>129</v>
      </c>
      <c r="DF132" s="72">
        <f t="shared" si="3"/>
        <v>0</v>
      </c>
      <c r="DG132" s="166"/>
      <c r="DJ132" s="25"/>
      <c r="DK132" s="25"/>
      <c r="DL132" s="25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  <c r="EG132" s="24"/>
      <c r="EH132" s="24"/>
      <c r="EI132" s="24"/>
      <c r="EJ132" s="24"/>
      <c r="EK132" s="24"/>
      <c r="EL132" s="24"/>
      <c r="EM132" s="24"/>
      <c r="EN132" s="24"/>
      <c r="EO132" s="24"/>
      <c r="EP132" s="24"/>
      <c r="EQ132" s="24"/>
      <c r="ER132" s="24"/>
      <c r="ES132" s="24"/>
      <c r="ET132" s="24"/>
      <c r="EU132" s="24"/>
      <c r="EV132" s="24"/>
      <c r="EW132" s="24"/>
      <c r="EX132" s="24"/>
      <c r="EY132" s="24"/>
      <c r="EZ132" s="24"/>
      <c r="FA132" s="24"/>
      <c r="FB132" s="24"/>
      <c r="FC132" s="24"/>
      <c r="FD132" s="24"/>
      <c r="FE132" s="24"/>
      <c r="FF132" s="24"/>
      <c r="FG132" s="24"/>
      <c r="FH132" s="24"/>
      <c r="FI132" s="24"/>
      <c r="FJ132" s="24"/>
      <c r="FK132" s="24"/>
      <c r="FL132" s="24"/>
      <c r="FM132" s="24"/>
      <c r="FN132" s="24"/>
      <c r="FO132" s="24"/>
      <c r="FP132" s="24"/>
      <c r="FQ132" s="24"/>
      <c r="FR132" s="24"/>
      <c r="FS132" s="24"/>
      <c r="FT132" s="24"/>
      <c r="FU132" s="24"/>
      <c r="FV132" s="24"/>
      <c r="FW132" s="24"/>
      <c r="FX132" s="24"/>
      <c r="FY132" s="24"/>
      <c r="FZ132" s="24"/>
      <c r="GA132" s="24"/>
      <c r="GB132" s="24"/>
      <c r="GC132" s="24"/>
      <c r="GD132" s="24"/>
      <c r="GE132" s="24"/>
      <c r="GF132" s="24"/>
      <c r="GG132" s="24"/>
      <c r="GH132" s="24"/>
      <c r="GI132" s="24"/>
      <c r="GJ132" s="24"/>
      <c r="GK132" s="24"/>
      <c r="GL132" s="24"/>
      <c r="GM132" s="24"/>
      <c r="GN132" s="24"/>
      <c r="GO132" s="24"/>
      <c r="GP132" s="24"/>
      <c r="GQ132" s="24"/>
      <c r="GR132" s="24"/>
      <c r="GS132" s="24"/>
      <c r="GT132" s="24"/>
      <c r="GU132" s="24"/>
      <c r="GV132" s="24"/>
      <c r="GW132" s="24"/>
      <c r="GX132" s="24"/>
      <c r="GY132" s="24"/>
      <c r="GZ132" s="24"/>
      <c r="HA132" s="24"/>
      <c r="HB132" s="24"/>
      <c r="HC132" s="24"/>
      <c r="HD132" s="24"/>
      <c r="HE132" s="24"/>
      <c r="HF132" s="24"/>
      <c r="HG132" s="24"/>
      <c r="HH132" s="24"/>
      <c r="HI132" s="24"/>
      <c r="HJ132" s="24"/>
      <c r="HK132" s="24"/>
      <c r="HL132" s="24"/>
      <c r="HM132" s="24"/>
      <c r="HN132" s="24"/>
      <c r="HO132" s="24"/>
      <c r="HP132" s="24"/>
      <c r="HQ132" s="24"/>
      <c r="HR132" s="24"/>
      <c r="HS132" s="24"/>
      <c r="HT132" s="24"/>
      <c r="HU132" s="24"/>
      <c r="HV132" s="24"/>
      <c r="HW132" s="24"/>
      <c r="HX132" s="24"/>
      <c r="HY132" s="24"/>
      <c r="HZ132" s="24"/>
      <c r="IA132" s="24"/>
      <c r="IB132" s="24"/>
      <c r="IC132" s="24"/>
      <c r="ID132" s="24"/>
      <c r="IE132" s="24"/>
      <c r="IF132" s="24"/>
      <c r="IG132" s="24"/>
      <c r="IH132" s="24"/>
      <c r="II132" s="24"/>
      <c r="IJ132" s="24"/>
      <c r="IK132" s="24"/>
      <c r="IL132" s="24"/>
      <c r="IM132" s="24"/>
      <c r="IN132" s="24"/>
      <c r="IO132" s="24"/>
      <c r="IP132" s="24"/>
      <c r="IQ132" s="24"/>
      <c r="IR132" s="24"/>
      <c r="IS132" s="24"/>
      <c r="IT132" s="24"/>
      <c r="IU132" s="24"/>
      <c r="IV132" s="24"/>
      <c r="IW132" s="24"/>
      <c r="IX132" s="24"/>
      <c r="IY132" s="24"/>
      <c r="IZ132" s="24"/>
      <c r="JA132" s="24"/>
      <c r="JB132" s="24"/>
      <c r="JC132" s="24"/>
      <c r="JD132" s="24"/>
      <c r="JE132" s="24"/>
      <c r="JF132" s="24"/>
      <c r="JG132" s="24"/>
      <c r="JH132" s="24"/>
      <c r="JI132" s="24"/>
      <c r="JJ132" s="24"/>
      <c r="JK132" s="24"/>
      <c r="JL132" s="24"/>
      <c r="JM132" s="24"/>
      <c r="JN132" s="24"/>
      <c r="JO132" s="24"/>
      <c r="JP132" s="24"/>
      <c r="JQ132" s="24"/>
      <c r="JR132" s="24"/>
      <c r="JS132" s="24"/>
      <c r="JT132" s="24"/>
      <c r="JU132" s="24"/>
      <c r="JV132" s="24"/>
      <c r="JW132" s="24"/>
      <c r="JX132" s="24"/>
      <c r="JY132" s="24"/>
      <c r="JZ132" s="24"/>
      <c r="KA132" s="24"/>
      <c r="KB132" s="24"/>
      <c r="KC132" s="24"/>
      <c r="KD132" s="24"/>
      <c r="KE132" s="24"/>
      <c r="KF132" s="24"/>
      <c r="KG132" s="24"/>
      <c r="KH132" s="24"/>
      <c r="KI132" s="24"/>
      <c r="KJ132" s="24"/>
      <c r="KK132" s="24"/>
      <c r="KL132" s="24"/>
    </row>
    <row r="133" spans="1:298" s="26" customFormat="1" ht="15" hidden="1" customHeight="1" x14ac:dyDescent="0.3">
      <c r="A133" s="172"/>
      <c r="B133" s="172"/>
      <c r="C133" s="172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2"/>
      <c r="AT133" s="172"/>
      <c r="AU133" s="172"/>
      <c r="AV133" s="172"/>
      <c r="AW133" s="172"/>
      <c r="AX133" s="172"/>
      <c r="AY133" s="172"/>
      <c r="AZ133" s="172"/>
      <c r="BA133" s="172"/>
      <c r="BB133" s="172"/>
      <c r="BC133" s="172"/>
      <c r="BD133" s="172"/>
      <c r="BE133" s="172"/>
      <c r="BF133" s="172"/>
      <c r="BG133" s="172"/>
      <c r="BH133" s="172"/>
      <c r="BI133" s="172"/>
      <c r="BJ133" s="172"/>
      <c r="BK133" s="172"/>
      <c r="BL133" s="172"/>
      <c r="BM133" s="172"/>
      <c r="BN133" s="172"/>
      <c r="BO133" s="172"/>
      <c r="BP133" s="172"/>
      <c r="BQ133" s="172"/>
      <c r="BR133" s="172"/>
      <c r="BS133" s="172"/>
      <c r="BT133" s="172"/>
      <c r="BU133" s="172"/>
      <c r="BV133" s="172"/>
      <c r="BW133" s="172"/>
      <c r="BX133" s="172"/>
      <c r="BY133" s="174"/>
      <c r="BZ133" s="172"/>
      <c r="CA133" s="172"/>
      <c r="CB133" s="24"/>
      <c r="CC133" s="25"/>
      <c r="CH133" s="27"/>
      <c r="CL133" s="28"/>
      <c r="CM133" s="28"/>
      <c r="CO133" s="29"/>
      <c r="CP133" s="28"/>
      <c r="CQ133" s="28"/>
      <c r="CR133" s="28"/>
      <c r="CS133" s="28"/>
      <c r="CT133" s="28"/>
      <c r="CU133" s="28"/>
      <c r="CW133" s="85"/>
      <c r="CX133" s="69" t="str">
        <f>견적관리자용!$S$15</f>
        <v>화물(1~2.5톤 미만)</v>
      </c>
      <c r="CY133" s="70">
        <v>0</v>
      </c>
      <c r="CZ133" s="125">
        <v>1.4999999999999999E-2</v>
      </c>
      <c r="DA133" s="125">
        <v>1.4999999999999999E-2</v>
      </c>
      <c r="DB133" s="125">
        <v>1.4999999999999999E-2</v>
      </c>
      <c r="DC133" s="125">
        <v>1.4999999999999999E-2</v>
      </c>
      <c r="DD133" s="72">
        <f t="shared" si="4"/>
        <v>0</v>
      </c>
      <c r="DE133" s="73">
        <v>130</v>
      </c>
      <c r="DF133" s="72">
        <f t="shared" si="3"/>
        <v>0</v>
      </c>
      <c r="DG133" s="166"/>
      <c r="DJ133" s="25"/>
      <c r="DK133" s="25"/>
      <c r="DL133" s="25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4"/>
      <c r="EP133" s="24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4"/>
      <c r="FC133" s="24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4"/>
      <c r="FP133" s="24"/>
      <c r="FQ133" s="24"/>
      <c r="FR133" s="24"/>
      <c r="FS133" s="24"/>
      <c r="FT133" s="24"/>
      <c r="FU133" s="24"/>
      <c r="FV133" s="24"/>
      <c r="FW133" s="24"/>
      <c r="FX133" s="24"/>
      <c r="FY133" s="24"/>
      <c r="FZ133" s="24"/>
      <c r="GA133" s="24"/>
      <c r="GB133" s="24"/>
      <c r="GC133" s="24"/>
      <c r="GD133" s="24"/>
      <c r="GE133" s="24"/>
      <c r="GF133" s="24"/>
      <c r="GG133" s="24"/>
      <c r="GH133" s="24"/>
      <c r="GI133" s="24"/>
      <c r="GJ133" s="24"/>
      <c r="GK133" s="24"/>
      <c r="GL133" s="24"/>
      <c r="GM133" s="24"/>
      <c r="GN133" s="24"/>
      <c r="GO133" s="24"/>
      <c r="GP133" s="24"/>
      <c r="GQ133" s="24"/>
      <c r="GR133" s="24"/>
      <c r="GS133" s="24"/>
      <c r="GT133" s="24"/>
      <c r="GU133" s="24"/>
      <c r="GV133" s="24"/>
      <c r="GW133" s="24"/>
      <c r="GX133" s="24"/>
      <c r="GY133" s="24"/>
      <c r="GZ133" s="24"/>
      <c r="HA133" s="24"/>
      <c r="HB133" s="24"/>
      <c r="HC133" s="24"/>
      <c r="HD133" s="24"/>
      <c r="HE133" s="24"/>
      <c r="HF133" s="24"/>
      <c r="HG133" s="24"/>
      <c r="HH133" s="24"/>
      <c r="HI133" s="24"/>
      <c r="HJ133" s="24"/>
      <c r="HK133" s="24"/>
      <c r="HL133" s="24"/>
      <c r="HM133" s="24"/>
      <c r="HN133" s="24"/>
      <c r="HO133" s="24"/>
      <c r="HP133" s="24"/>
      <c r="HQ133" s="24"/>
      <c r="HR133" s="24"/>
      <c r="HS133" s="24"/>
      <c r="HT133" s="24"/>
      <c r="HU133" s="24"/>
      <c r="HV133" s="24"/>
      <c r="HW133" s="24"/>
      <c r="HX133" s="24"/>
      <c r="HY133" s="24"/>
      <c r="HZ133" s="24"/>
      <c r="IA133" s="24"/>
      <c r="IB133" s="24"/>
      <c r="IC133" s="24"/>
      <c r="ID133" s="24"/>
      <c r="IE133" s="24"/>
      <c r="IF133" s="24"/>
      <c r="IG133" s="24"/>
      <c r="IH133" s="24"/>
      <c r="II133" s="24"/>
      <c r="IJ133" s="24"/>
      <c r="IK133" s="24"/>
      <c r="IL133" s="24"/>
      <c r="IM133" s="24"/>
      <c r="IN133" s="24"/>
      <c r="IO133" s="24"/>
      <c r="IP133" s="24"/>
      <c r="IQ133" s="24"/>
      <c r="IR133" s="24"/>
      <c r="IS133" s="24"/>
      <c r="IT133" s="24"/>
      <c r="IU133" s="24"/>
      <c r="IV133" s="24"/>
      <c r="IW133" s="24"/>
      <c r="IX133" s="24"/>
      <c r="IY133" s="24"/>
      <c r="IZ133" s="24"/>
      <c r="JA133" s="24"/>
      <c r="JB133" s="24"/>
      <c r="JC133" s="24"/>
      <c r="JD133" s="24"/>
      <c r="JE133" s="24"/>
      <c r="JF133" s="24"/>
      <c r="JG133" s="24"/>
      <c r="JH133" s="24"/>
      <c r="JI133" s="24"/>
      <c r="JJ133" s="24"/>
      <c r="JK133" s="24"/>
      <c r="JL133" s="24"/>
      <c r="JM133" s="24"/>
      <c r="JN133" s="24"/>
      <c r="JO133" s="24"/>
      <c r="JP133" s="24"/>
      <c r="JQ133" s="24"/>
      <c r="JR133" s="24"/>
      <c r="JS133" s="24"/>
      <c r="JT133" s="24"/>
      <c r="JU133" s="24"/>
      <c r="JV133" s="24"/>
      <c r="JW133" s="24"/>
      <c r="JX133" s="24"/>
      <c r="JY133" s="24"/>
      <c r="JZ133" s="24"/>
      <c r="KA133" s="24"/>
      <c r="KB133" s="24"/>
      <c r="KC133" s="24"/>
      <c r="KD133" s="24"/>
      <c r="KE133" s="24"/>
      <c r="KF133" s="24"/>
      <c r="KG133" s="24"/>
      <c r="KH133" s="24"/>
      <c r="KI133" s="24"/>
      <c r="KJ133" s="24"/>
      <c r="KK133" s="24"/>
      <c r="KL133" s="24"/>
    </row>
    <row r="134" spans="1:298" s="26" customFormat="1" ht="15" hidden="1" customHeight="1" x14ac:dyDescent="0.3">
      <c r="A134" s="172"/>
      <c r="B134" s="172"/>
      <c r="C134" s="172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2"/>
      <c r="AT134" s="172"/>
      <c r="AU134" s="172"/>
      <c r="AV134" s="172"/>
      <c r="AW134" s="172"/>
      <c r="AX134" s="172"/>
      <c r="AY134" s="172"/>
      <c r="AZ134" s="172"/>
      <c r="BA134" s="172"/>
      <c r="BB134" s="172"/>
      <c r="BC134" s="172"/>
      <c r="BD134" s="172"/>
      <c r="BE134" s="172"/>
      <c r="BF134" s="172"/>
      <c r="BG134" s="172"/>
      <c r="BH134" s="172"/>
      <c r="BI134" s="172"/>
      <c r="BJ134" s="172"/>
      <c r="BK134" s="172"/>
      <c r="BL134" s="172"/>
      <c r="BM134" s="172"/>
      <c r="BN134" s="172"/>
      <c r="BO134" s="172"/>
      <c r="BP134" s="172"/>
      <c r="BQ134" s="172"/>
      <c r="BR134" s="172"/>
      <c r="BS134" s="172"/>
      <c r="BT134" s="172"/>
      <c r="BU134" s="172"/>
      <c r="BV134" s="172"/>
      <c r="BW134" s="172"/>
      <c r="BX134" s="172"/>
      <c r="BY134" s="174"/>
      <c r="BZ134" s="172"/>
      <c r="CA134" s="172"/>
      <c r="CB134" s="24"/>
      <c r="CC134" s="25"/>
      <c r="CH134" s="27"/>
      <c r="CL134" s="28"/>
      <c r="CM134" s="28"/>
      <c r="CO134" s="29"/>
      <c r="CP134" s="28"/>
      <c r="CQ134" s="28"/>
      <c r="CR134" s="28"/>
      <c r="CS134" s="28"/>
      <c r="CT134" s="28"/>
      <c r="CU134" s="28"/>
      <c r="CW134" s="85"/>
      <c r="CX134" s="69" t="str">
        <f>견적관리자용!$S$16</f>
        <v>화물(2.5~4.6톤 미만)</v>
      </c>
      <c r="CY134" s="70">
        <v>0</v>
      </c>
      <c r="CZ134" s="125">
        <v>1.4999999999999999E-2</v>
      </c>
      <c r="DA134" s="125">
        <v>1.4999999999999999E-2</v>
      </c>
      <c r="DB134" s="125">
        <v>1.4999999999999999E-2</v>
      </c>
      <c r="DC134" s="125">
        <v>1.4999999999999999E-2</v>
      </c>
      <c r="DD134" s="72">
        <f t="shared" si="4"/>
        <v>0</v>
      </c>
      <c r="DE134" s="73">
        <v>131</v>
      </c>
      <c r="DF134" s="72">
        <f t="shared" ref="DF134:DF145" si="5">IF($CI$5=CX134,DD134,0)</f>
        <v>0</v>
      </c>
      <c r="DG134" s="166"/>
      <c r="DJ134" s="25"/>
      <c r="DK134" s="25"/>
      <c r="DL134" s="25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  <c r="EG134" s="24"/>
      <c r="EH134" s="24"/>
      <c r="EI134" s="24"/>
      <c r="EJ134" s="24"/>
      <c r="EK134" s="24"/>
      <c r="EL134" s="24"/>
      <c r="EM134" s="24"/>
      <c r="EN134" s="24"/>
      <c r="EO134" s="24"/>
      <c r="EP134" s="24"/>
      <c r="EQ134" s="24"/>
      <c r="ER134" s="24"/>
      <c r="ES134" s="24"/>
      <c r="ET134" s="24"/>
      <c r="EU134" s="24"/>
      <c r="EV134" s="24"/>
      <c r="EW134" s="24"/>
      <c r="EX134" s="24"/>
      <c r="EY134" s="24"/>
      <c r="EZ134" s="24"/>
      <c r="FA134" s="24"/>
      <c r="FB134" s="24"/>
      <c r="FC134" s="24"/>
      <c r="FD134" s="24"/>
      <c r="FE134" s="24"/>
      <c r="FF134" s="24"/>
      <c r="FG134" s="24"/>
      <c r="FH134" s="24"/>
      <c r="FI134" s="24"/>
      <c r="FJ134" s="24"/>
      <c r="FK134" s="24"/>
      <c r="FL134" s="24"/>
      <c r="FM134" s="24"/>
      <c r="FN134" s="24"/>
      <c r="FO134" s="24"/>
      <c r="FP134" s="24"/>
      <c r="FQ134" s="24"/>
      <c r="FR134" s="24"/>
      <c r="FS134" s="24"/>
      <c r="FT134" s="24"/>
      <c r="FU134" s="24"/>
      <c r="FV134" s="24"/>
      <c r="FW134" s="24"/>
      <c r="FX134" s="24"/>
      <c r="FY134" s="24"/>
      <c r="FZ134" s="24"/>
      <c r="GA134" s="24"/>
      <c r="GB134" s="24"/>
      <c r="GC134" s="24"/>
      <c r="GD134" s="24"/>
      <c r="GE134" s="24"/>
      <c r="GF134" s="24"/>
      <c r="GG134" s="24"/>
      <c r="GH134" s="24"/>
      <c r="GI134" s="24"/>
      <c r="GJ134" s="24"/>
      <c r="GK134" s="24"/>
      <c r="GL134" s="24"/>
      <c r="GM134" s="24"/>
      <c r="GN134" s="24"/>
      <c r="GO134" s="24"/>
      <c r="GP134" s="24"/>
      <c r="GQ134" s="24"/>
      <c r="GR134" s="24"/>
      <c r="GS134" s="24"/>
      <c r="GT134" s="24"/>
      <c r="GU134" s="24"/>
      <c r="GV134" s="24"/>
      <c r="GW134" s="24"/>
      <c r="GX134" s="24"/>
      <c r="GY134" s="24"/>
      <c r="GZ134" s="24"/>
      <c r="HA134" s="24"/>
      <c r="HB134" s="24"/>
      <c r="HC134" s="24"/>
      <c r="HD134" s="24"/>
      <c r="HE134" s="24"/>
      <c r="HF134" s="24"/>
      <c r="HG134" s="24"/>
      <c r="HH134" s="24"/>
      <c r="HI134" s="24"/>
      <c r="HJ134" s="24"/>
      <c r="HK134" s="24"/>
      <c r="HL134" s="24"/>
      <c r="HM134" s="24"/>
      <c r="HN134" s="24"/>
      <c r="HO134" s="24"/>
      <c r="HP134" s="24"/>
      <c r="HQ134" s="24"/>
      <c r="HR134" s="24"/>
      <c r="HS134" s="24"/>
      <c r="HT134" s="24"/>
      <c r="HU134" s="24"/>
      <c r="HV134" s="24"/>
      <c r="HW134" s="24"/>
      <c r="HX134" s="24"/>
      <c r="HY134" s="24"/>
      <c r="HZ134" s="24"/>
      <c r="IA134" s="24"/>
      <c r="IB134" s="24"/>
      <c r="IC134" s="24"/>
      <c r="ID134" s="24"/>
      <c r="IE134" s="24"/>
      <c r="IF134" s="24"/>
      <c r="IG134" s="24"/>
      <c r="IH134" s="24"/>
      <c r="II134" s="24"/>
      <c r="IJ134" s="24"/>
      <c r="IK134" s="24"/>
      <c r="IL134" s="24"/>
      <c r="IM134" s="24"/>
      <c r="IN134" s="24"/>
      <c r="IO134" s="24"/>
      <c r="IP134" s="24"/>
      <c r="IQ134" s="24"/>
      <c r="IR134" s="24"/>
      <c r="IS134" s="24"/>
      <c r="IT134" s="24"/>
      <c r="IU134" s="24"/>
      <c r="IV134" s="24"/>
      <c r="IW134" s="24"/>
      <c r="IX134" s="24"/>
      <c r="IY134" s="24"/>
      <c r="IZ134" s="24"/>
      <c r="JA134" s="24"/>
      <c r="JB134" s="24"/>
      <c r="JC134" s="24"/>
      <c r="JD134" s="24"/>
      <c r="JE134" s="24"/>
      <c r="JF134" s="24"/>
      <c r="JG134" s="24"/>
      <c r="JH134" s="24"/>
      <c r="JI134" s="24"/>
      <c r="JJ134" s="24"/>
      <c r="JK134" s="24"/>
      <c r="JL134" s="24"/>
      <c r="JM134" s="24"/>
      <c r="JN134" s="24"/>
      <c r="JO134" s="24"/>
      <c r="JP134" s="24"/>
      <c r="JQ134" s="24"/>
      <c r="JR134" s="24"/>
      <c r="JS134" s="24"/>
      <c r="JT134" s="24"/>
      <c r="JU134" s="24"/>
      <c r="JV134" s="24"/>
      <c r="JW134" s="24"/>
      <c r="JX134" s="24"/>
      <c r="JY134" s="24"/>
      <c r="JZ134" s="24"/>
      <c r="KA134" s="24"/>
      <c r="KB134" s="24"/>
      <c r="KC134" s="24"/>
      <c r="KD134" s="24"/>
      <c r="KE134" s="24"/>
      <c r="KF134" s="24"/>
      <c r="KG134" s="24"/>
      <c r="KH134" s="24"/>
      <c r="KI134" s="24"/>
      <c r="KJ134" s="24"/>
      <c r="KK134" s="24"/>
      <c r="KL134" s="24"/>
    </row>
    <row r="135" spans="1:298" s="26" customFormat="1" ht="15" hidden="1" customHeight="1" x14ac:dyDescent="0.3">
      <c r="A135" s="172"/>
      <c r="B135" s="172"/>
      <c r="C135" s="172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2"/>
      <c r="AT135" s="172"/>
      <c r="AU135" s="172"/>
      <c r="AV135" s="172"/>
      <c r="AW135" s="172"/>
      <c r="AX135" s="172"/>
      <c r="AY135" s="172"/>
      <c r="AZ135" s="172"/>
      <c r="BA135" s="172"/>
      <c r="BB135" s="172"/>
      <c r="BC135" s="172"/>
      <c r="BD135" s="172"/>
      <c r="BE135" s="172"/>
      <c r="BF135" s="172"/>
      <c r="BG135" s="172"/>
      <c r="BH135" s="172"/>
      <c r="BI135" s="172"/>
      <c r="BJ135" s="172"/>
      <c r="BK135" s="172"/>
      <c r="BL135" s="172"/>
      <c r="BM135" s="172"/>
      <c r="BN135" s="172"/>
      <c r="BO135" s="172"/>
      <c r="BP135" s="172"/>
      <c r="BQ135" s="172"/>
      <c r="BR135" s="172"/>
      <c r="BS135" s="172"/>
      <c r="BT135" s="172"/>
      <c r="BU135" s="172"/>
      <c r="BV135" s="172"/>
      <c r="BW135" s="172"/>
      <c r="BX135" s="172"/>
      <c r="BY135" s="174"/>
      <c r="BZ135" s="172"/>
      <c r="CA135" s="172"/>
      <c r="CB135" s="24"/>
      <c r="CC135" s="25"/>
      <c r="CH135" s="27"/>
      <c r="CL135" s="28"/>
      <c r="CM135" s="28"/>
      <c r="CO135" s="29"/>
      <c r="CP135" s="28"/>
      <c r="CQ135" s="28"/>
      <c r="CR135" s="28"/>
      <c r="CS135" s="28"/>
      <c r="CT135" s="28"/>
      <c r="CU135" s="28"/>
      <c r="CW135" s="85"/>
      <c r="CX135" s="69" t="str">
        <f>견적관리자용!$S$17</f>
        <v>화물(4.6톤 이상)</v>
      </c>
      <c r="CY135" s="70">
        <v>0</v>
      </c>
      <c r="CZ135" s="180">
        <v>1.4999999999999999E-2</v>
      </c>
      <c r="DA135" s="180">
        <v>1.4999999999999999E-2</v>
      </c>
      <c r="DB135" s="180">
        <v>1.4999999999999999E-2</v>
      </c>
      <c r="DC135" s="180">
        <v>1.4999999999999999E-2</v>
      </c>
      <c r="DD135" s="72">
        <f t="shared" si="4"/>
        <v>0</v>
      </c>
      <c r="DE135" s="73">
        <v>132</v>
      </c>
      <c r="DF135" s="72">
        <f t="shared" si="5"/>
        <v>0</v>
      </c>
      <c r="DG135" s="166"/>
      <c r="DJ135" s="25"/>
      <c r="DK135" s="25"/>
      <c r="DL135" s="25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  <c r="EG135" s="24"/>
      <c r="EH135" s="24"/>
      <c r="EI135" s="24"/>
      <c r="EJ135" s="24"/>
      <c r="EK135" s="24"/>
      <c r="EL135" s="24"/>
      <c r="EM135" s="24"/>
      <c r="EN135" s="24"/>
      <c r="EO135" s="24"/>
      <c r="EP135" s="24"/>
      <c r="EQ135" s="24"/>
      <c r="ER135" s="24"/>
      <c r="ES135" s="24"/>
      <c r="ET135" s="24"/>
      <c r="EU135" s="24"/>
      <c r="EV135" s="24"/>
      <c r="EW135" s="24"/>
      <c r="EX135" s="24"/>
      <c r="EY135" s="24"/>
      <c r="EZ135" s="24"/>
      <c r="FA135" s="24"/>
      <c r="FB135" s="24"/>
      <c r="FC135" s="24"/>
      <c r="FD135" s="24"/>
      <c r="FE135" s="24"/>
      <c r="FF135" s="24"/>
      <c r="FG135" s="24"/>
      <c r="FH135" s="24"/>
      <c r="FI135" s="24"/>
      <c r="FJ135" s="24"/>
      <c r="FK135" s="24"/>
      <c r="FL135" s="24"/>
      <c r="FM135" s="24"/>
      <c r="FN135" s="24"/>
      <c r="FO135" s="24"/>
      <c r="FP135" s="24"/>
      <c r="FQ135" s="24"/>
      <c r="FR135" s="24"/>
      <c r="FS135" s="24"/>
      <c r="FT135" s="24"/>
      <c r="FU135" s="24"/>
      <c r="FV135" s="24"/>
      <c r="FW135" s="24"/>
      <c r="FX135" s="24"/>
      <c r="FY135" s="24"/>
      <c r="FZ135" s="24"/>
      <c r="GA135" s="24"/>
      <c r="GB135" s="24"/>
      <c r="GC135" s="24"/>
      <c r="GD135" s="24"/>
      <c r="GE135" s="24"/>
      <c r="GF135" s="24"/>
      <c r="GG135" s="24"/>
      <c r="GH135" s="24"/>
      <c r="GI135" s="24"/>
      <c r="GJ135" s="24"/>
      <c r="GK135" s="24"/>
      <c r="GL135" s="24"/>
      <c r="GM135" s="24"/>
      <c r="GN135" s="24"/>
      <c r="GO135" s="24"/>
      <c r="GP135" s="24"/>
      <c r="GQ135" s="24"/>
      <c r="GR135" s="24"/>
      <c r="GS135" s="24"/>
      <c r="GT135" s="24"/>
      <c r="GU135" s="24"/>
      <c r="GV135" s="24"/>
      <c r="GW135" s="24"/>
      <c r="GX135" s="24"/>
      <c r="GY135" s="24"/>
      <c r="GZ135" s="24"/>
      <c r="HA135" s="24"/>
      <c r="HB135" s="24"/>
      <c r="HC135" s="24"/>
      <c r="HD135" s="24"/>
      <c r="HE135" s="24"/>
      <c r="HF135" s="24"/>
      <c r="HG135" s="24"/>
      <c r="HH135" s="24"/>
      <c r="HI135" s="24"/>
      <c r="HJ135" s="24"/>
      <c r="HK135" s="24"/>
      <c r="HL135" s="24"/>
      <c r="HM135" s="24"/>
      <c r="HN135" s="24"/>
      <c r="HO135" s="24"/>
      <c r="HP135" s="24"/>
      <c r="HQ135" s="24"/>
      <c r="HR135" s="24"/>
      <c r="HS135" s="24"/>
      <c r="HT135" s="24"/>
      <c r="HU135" s="24"/>
      <c r="HV135" s="24"/>
      <c r="HW135" s="24"/>
      <c r="HX135" s="24"/>
      <c r="HY135" s="24"/>
      <c r="HZ135" s="24"/>
      <c r="IA135" s="24"/>
      <c r="IB135" s="24"/>
      <c r="IC135" s="24"/>
      <c r="ID135" s="24"/>
      <c r="IE135" s="24"/>
      <c r="IF135" s="24"/>
      <c r="IG135" s="24"/>
      <c r="IH135" s="24"/>
      <c r="II135" s="24"/>
      <c r="IJ135" s="24"/>
      <c r="IK135" s="24"/>
      <c r="IL135" s="24"/>
      <c r="IM135" s="24"/>
      <c r="IN135" s="24"/>
      <c r="IO135" s="24"/>
      <c r="IP135" s="24"/>
      <c r="IQ135" s="24"/>
      <c r="IR135" s="24"/>
      <c r="IS135" s="24"/>
      <c r="IT135" s="24"/>
      <c r="IU135" s="24"/>
      <c r="IV135" s="24"/>
      <c r="IW135" s="24"/>
      <c r="IX135" s="24"/>
      <c r="IY135" s="24"/>
      <c r="IZ135" s="24"/>
      <c r="JA135" s="24"/>
      <c r="JB135" s="24"/>
      <c r="JC135" s="24"/>
      <c r="JD135" s="24"/>
      <c r="JE135" s="24"/>
      <c r="JF135" s="24"/>
      <c r="JG135" s="24"/>
      <c r="JH135" s="24"/>
      <c r="JI135" s="24"/>
      <c r="JJ135" s="24"/>
      <c r="JK135" s="24"/>
      <c r="JL135" s="24"/>
      <c r="JM135" s="24"/>
      <c r="JN135" s="24"/>
      <c r="JO135" s="24"/>
      <c r="JP135" s="24"/>
      <c r="JQ135" s="24"/>
      <c r="JR135" s="24"/>
      <c r="JS135" s="24"/>
      <c r="JT135" s="24"/>
      <c r="JU135" s="24"/>
      <c r="JV135" s="24"/>
      <c r="JW135" s="24"/>
      <c r="JX135" s="24"/>
      <c r="JY135" s="24"/>
      <c r="JZ135" s="24"/>
      <c r="KA135" s="24"/>
      <c r="KB135" s="24"/>
      <c r="KC135" s="24"/>
      <c r="KD135" s="24"/>
      <c r="KE135" s="24"/>
      <c r="KF135" s="24"/>
      <c r="KG135" s="24"/>
      <c r="KH135" s="24"/>
      <c r="KI135" s="24"/>
      <c r="KJ135" s="24"/>
      <c r="KK135" s="24"/>
      <c r="KL135" s="24"/>
    </row>
    <row r="136" spans="1:298" s="26" customFormat="1" ht="15" hidden="1" customHeight="1" x14ac:dyDescent="0.3">
      <c r="A136" s="172"/>
      <c r="B136" s="172"/>
      <c r="C136" s="172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2"/>
      <c r="AT136" s="172"/>
      <c r="AU136" s="172"/>
      <c r="AV136" s="172"/>
      <c r="AW136" s="172"/>
      <c r="AX136" s="172"/>
      <c r="AY136" s="172"/>
      <c r="AZ136" s="172"/>
      <c r="BA136" s="172"/>
      <c r="BB136" s="172"/>
      <c r="BC136" s="172"/>
      <c r="BD136" s="172"/>
      <c r="BE136" s="172"/>
      <c r="BF136" s="172"/>
      <c r="BG136" s="172"/>
      <c r="BH136" s="172"/>
      <c r="BI136" s="172"/>
      <c r="BJ136" s="172"/>
      <c r="BK136" s="172"/>
      <c r="BL136" s="172"/>
      <c r="BM136" s="172"/>
      <c r="BN136" s="172"/>
      <c r="BO136" s="172"/>
      <c r="BP136" s="172"/>
      <c r="BQ136" s="172"/>
      <c r="BR136" s="172"/>
      <c r="BS136" s="172"/>
      <c r="BT136" s="172"/>
      <c r="BU136" s="172"/>
      <c r="BV136" s="172"/>
      <c r="BW136" s="172"/>
      <c r="BX136" s="172"/>
      <c r="BY136" s="174"/>
      <c r="BZ136" s="172"/>
      <c r="CA136" s="172"/>
      <c r="CB136" s="24"/>
      <c r="CC136" s="25"/>
      <c r="CH136" s="27"/>
      <c r="CL136" s="28"/>
      <c r="CM136" s="28"/>
      <c r="CO136" s="29"/>
      <c r="CP136" s="28"/>
      <c r="CQ136" s="28"/>
      <c r="CR136" s="28"/>
      <c r="CS136" s="28"/>
      <c r="CT136" s="28"/>
      <c r="CU136" s="28"/>
      <c r="CW136" s="58" t="s">
        <v>94</v>
      </c>
      <c r="CX136" s="59" t="str">
        <f>견적관리자용!$S$8</f>
        <v>승용일반</v>
      </c>
      <c r="CY136" s="60">
        <v>0</v>
      </c>
      <c r="CZ136" s="61">
        <v>0</v>
      </c>
      <c r="DA136" s="61">
        <v>0.04</v>
      </c>
      <c r="DB136" s="61">
        <v>0.04</v>
      </c>
      <c r="DC136" s="61">
        <v>0.05</v>
      </c>
      <c r="DD136" s="191">
        <f t="shared" ref="DD136:DD145" si="6">HLOOKUP($CI$6,$CY$4:$DC$145,DE136,TRUE)</f>
        <v>0</v>
      </c>
      <c r="DE136" s="63">
        <v>133</v>
      </c>
      <c r="DF136" s="62">
        <f t="shared" si="5"/>
        <v>0</v>
      </c>
      <c r="DG136" s="163">
        <f>SUM(DF136:DF145)</f>
        <v>0</v>
      </c>
      <c r="DJ136" s="25"/>
      <c r="DK136" s="25"/>
      <c r="DL136" s="25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  <c r="EG136" s="24"/>
      <c r="EH136" s="24"/>
      <c r="EI136" s="24"/>
      <c r="EJ136" s="24"/>
      <c r="EK136" s="24"/>
      <c r="EL136" s="24"/>
      <c r="EM136" s="24"/>
      <c r="EN136" s="24"/>
      <c r="EO136" s="24"/>
      <c r="EP136" s="24"/>
      <c r="EQ136" s="24"/>
      <c r="ER136" s="24"/>
      <c r="ES136" s="24"/>
      <c r="ET136" s="24"/>
      <c r="EU136" s="24"/>
      <c r="EV136" s="24"/>
      <c r="EW136" s="24"/>
      <c r="EX136" s="24"/>
      <c r="EY136" s="24"/>
      <c r="EZ136" s="24"/>
      <c r="FA136" s="24"/>
      <c r="FB136" s="24"/>
      <c r="FC136" s="24"/>
      <c r="FD136" s="24"/>
      <c r="FE136" s="24"/>
      <c r="FF136" s="24"/>
      <c r="FG136" s="24"/>
      <c r="FH136" s="24"/>
      <c r="FI136" s="24"/>
      <c r="FJ136" s="24"/>
      <c r="FK136" s="24"/>
      <c r="FL136" s="24"/>
      <c r="FM136" s="24"/>
      <c r="FN136" s="24"/>
      <c r="FO136" s="24"/>
      <c r="FP136" s="24"/>
      <c r="FQ136" s="24"/>
      <c r="FR136" s="24"/>
      <c r="FS136" s="24"/>
      <c r="FT136" s="24"/>
      <c r="FU136" s="24"/>
      <c r="FV136" s="24"/>
      <c r="FW136" s="24"/>
      <c r="FX136" s="24"/>
      <c r="FY136" s="24"/>
      <c r="FZ136" s="24"/>
      <c r="GA136" s="24"/>
      <c r="GB136" s="24"/>
      <c r="GC136" s="24"/>
      <c r="GD136" s="24"/>
      <c r="GE136" s="24"/>
      <c r="GF136" s="24"/>
      <c r="GG136" s="24"/>
      <c r="GH136" s="24"/>
      <c r="GI136" s="24"/>
      <c r="GJ136" s="24"/>
      <c r="GK136" s="24"/>
      <c r="GL136" s="24"/>
      <c r="GM136" s="24"/>
      <c r="GN136" s="24"/>
      <c r="GO136" s="24"/>
      <c r="GP136" s="24"/>
      <c r="GQ136" s="24"/>
      <c r="GR136" s="24"/>
      <c r="GS136" s="24"/>
      <c r="GT136" s="24"/>
      <c r="GU136" s="24"/>
      <c r="GV136" s="24"/>
      <c r="GW136" s="24"/>
      <c r="GX136" s="24"/>
      <c r="GY136" s="24"/>
      <c r="GZ136" s="24"/>
      <c r="HA136" s="24"/>
      <c r="HB136" s="24"/>
      <c r="HC136" s="24"/>
      <c r="HD136" s="24"/>
      <c r="HE136" s="24"/>
      <c r="HF136" s="24"/>
      <c r="HG136" s="24"/>
      <c r="HH136" s="24"/>
      <c r="HI136" s="24"/>
      <c r="HJ136" s="24"/>
      <c r="HK136" s="24"/>
      <c r="HL136" s="24"/>
      <c r="HM136" s="24"/>
      <c r="HN136" s="24"/>
      <c r="HO136" s="24"/>
      <c r="HP136" s="24"/>
      <c r="HQ136" s="24"/>
      <c r="HR136" s="24"/>
      <c r="HS136" s="24"/>
      <c r="HT136" s="24"/>
      <c r="HU136" s="24"/>
      <c r="HV136" s="24"/>
      <c r="HW136" s="24"/>
      <c r="HX136" s="24"/>
      <c r="HY136" s="24"/>
      <c r="HZ136" s="24"/>
      <c r="IA136" s="24"/>
      <c r="IB136" s="24"/>
      <c r="IC136" s="24"/>
      <c r="ID136" s="24"/>
      <c r="IE136" s="24"/>
      <c r="IF136" s="24"/>
      <c r="IG136" s="24"/>
      <c r="IH136" s="24"/>
      <c r="II136" s="24"/>
      <c r="IJ136" s="24"/>
      <c r="IK136" s="24"/>
      <c r="IL136" s="24"/>
      <c r="IM136" s="24"/>
      <c r="IN136" s="24"/>
      <c r="IO136" s="24"/>
      <c r="IP136" s="24"/>
      <c r="IQ136" s="24"/>
      <c r="IR136" s="24"/>
      <c r="IS136" s="24"/>
      <c r="IT136" s="24"/>
      <c r="IU136" s="24"/>
      <c r="IV136" s="24"/>
      <c r="IW136" s="24"/>
      <c r="IX136" s="24"/>
      <c r="IY136" s="24"/>
      <c r="IZ136" s="24"/>
      <c r="JA136" s="24"/>
      <c r="JB136" s="24"/>
      <c r="JC136" s="24"/>
      <c r="JD136" s="24"/>
      <c r="JE136" s="24"/>
      <c r="JF136" s="24"/>
      <c r="JG136" s="24"/>
      <c r="JH136" s="24"/>
      <c r="JI136" s="24"/>
      <c r="JJ136" s="24"/>
      <c r="JK136" s="24"/>
      <c r="JL136" s="24"/>
      <c r="JM136" s="24"/>
      <c r="JN136" s="24"/>
      <c r="JO136" s="24"/>
      <c r="JP136" s="24"/>
      <c r="JQ136" s="24"/>
      <c r="JR136" s="24"/>
      <c r="JS136" s="24"/>
      <c r="JT136" s="24"/>
      <c r="JU136" s="24"/>
      <c r="JV136" s="24"/>
      <c r="JW136" s="24"/>
      <c r="JX136" s="24"/>
      <c r="JY136" s="24"/>
      <c r="JZ136" s="24"/>
      <c r="KA136" s="24"/>
      <c r="KB136" s="24"/>
      <c r="KC136" s="24"/>
      <c r="KD136" s="24"/>
      <c r="KE136" s="24"/>
      <c r="KF136" s="24"/>
      <c r="KG136" s="24"/>
      <c r="KH136" s="24"/>
      <c r="KI136" s="24"/>
      <c r="KJ136" s="24"/>
      <c r="KK136" s="24"/>
      <c r="KL136" s="24"/>
    </row>
    <row r="137" spans="1:298" s="26" customFormat="1" ht="15" hidden="1" customHeight="1" x14ac:dyDescent="0.3">
      <c r="A137" s="172"/>
      <c r="B137" s="172"/>
      <c r="C137" s="172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2"/>
      <c r="AT137" s="172"/>
      <c r="AU137" s="172"/>
      <c r="AV137" s="172"/>
      <c r="AW137" s="172"/>
      <c r="AX137" s="172"/>
      <c r="AY137" s="172"/>
      <c r="AZ137" s="172"/>
      <c r="BA137" s="172"/>
      <c r="BB137" s="172"/>
      <c r="BC137" s="172"/>
      <c r="BD137" s="172"/>
      <c r="BE137" s="172"/>
      <c r="BF137" s="172"/>
      <c r="BG137" s="172"/>
      <c r="BH137" s="172"/>
      <c r="BI137" s="172"/>
      <c r="BJ137" s="172"/>
      <c r="BK137" s="172"/>
      <c r="BL137" s="172"/>
      <c r="BM137" s="172"/>
      <c r="BN137" s="172"/>
      <c r="BO137" s="172"/>
      <c r="BP137" s="172"/>
      <c r="BQ137" s="172"/>
      <c r="BR137" s="172"/>
      <c r="BS137" s="172"/>
      <c r="BT137" s="172"/>
      <c r="BU137" s="172"/>
      <c r="BV137" s="172"/>
      <c r="BW137" s="172"/>
      <c r="BX137" s="172"/>
      <c r="BY137" s="174"/>
      <c r="BZ137" s="172"/>
      <c r="CA137" s="172"/>
      <c r="CB137" s="24"/>
      <c r="CC137" s="25"/>
      <c r="CH137" s="27"/>
      <c r="CL137" s="28"/>
      <c r="CM137" s="28"/>
      <c r="CO137" s="29"/>
      <c r="CP137" s="28"/>
      <c r="CQ137" s="28"/>
      <c r="CR137" s="28"/>
      <c r="CS137" s="28"/>
      <c r="CT137" s="28"/>
      <c r="CU137" s="28"/>
      <c r="CW137" s="68"/>
      <c r="CX137" s="69" t="str">
        <f>견적관리자용!$S$9</f>
        <v>승용SUV(~5인)</v>
      </c>
      <c r="CY137" s="70">
        <v>0</v>
      </c>
      <c r="CZ137" s="71">
        <v>0.04</v>
      </c>
      <c r="DA137" s="71">
        <v>0.04</v>
      </c>
      <c r="DB137" s="71">
        <v>0.04</v>
      </c>
      <c r="DC137" s="71">
        <v>0.04</v>
      </c>
      <c r="DD137" s="192">
        <f t="shared" si="6"/>
        <v>0</v>
      </c>
      <c r="DE137" s="73">
        <v>134</v>
      </c>
      <c r="DF137" s="72">
        <f t="shared" si="5"/>
        <v>0</v>
      </c>
      <c r="DG137" s="166"/>
      <c r="DJ137" s="25"/>
      <c r="DK137" s="25"/>
      <c r="DL137" s="25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4"/>
      <c r="EP137" s="24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4"/>
      <c r="FC137" s="24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4"/>
      <c r="FP137" s="24"/>
      <c r="FQ137" s="24"/>
      <c r="FR137" s="24"/>
      <c r="FS137" s="24"/>
      <c r="FT137" s="24"/>
      <c r="FU137" s="24"/>
      <c r="FV137" s="24"/>
      <c r="FW137" s="24"/>
      <c r="FX137" s="24"/>
      <c r="FY137" s="24"/>
      <c r="FZ137" s="24"/>
      <c r="GA137" s="24"/>
      <c r="GB137" s="24"/>
      <c r="GC137" s="24"/>
      <c r="GD137" s="24"/>
      <c r="GE137" s="24"/>
      <c r="GF137" s="24"/>
      <c r="GG137" s="24"/>
      <c r="GH137" s="24"/>
      <c r="GI137" s="24"/>
      <c r="GJ137" s="24"/>
      <c r="GK137" s="24"/>
      <c r="GL137" s="24"/>
      <c r="GM137" s="24"/>
      <c r="GN137" s="24"/>
      <c r="GO137" s="24"/>
      <c r="GP137" s="24"/>
      <c r="GQ137" s="24"/>
      <c r="GR137" s="24"/>
      <c r="GS137" s="24"/>
      <c r="GT137" s="24"/>
      <c r="GU137" s="24"/>
      <c r="GV137" s="24"/>
      <c r="GW137" s="24"/>
      <c r="GX137" s="24"/>
      <c r="GY137" s="24"/>
      <c r="GZ137" s="24"/>
      <c r="HA137" s="24"/>
      <c r="HB137" s="24"/>
      <c r="HC137" s="24"/>
      <c r="HD137" s="24"/>
      <c r="HE137" s="24"/>
      <c r="HF137" s="24"/>
      <c r="HG137" s="24"/>
      <c r="HH137" s="24"/>
      <c r="HI137" s="24"/>
      <c r="HJ137" s="24"/>
      <c r="HK137" s="24"/>
      <c r="HL137" s="24"/>
      <c r="HM137" s="24"/>
      <c r="HN137" s="24"/>
      <c r="HO137" s="24"/>
      <c r="HP137" s="24"/>
      <c r="HQ137" s="24"/>
      <c r="HR137" s="24"/>
      <c r="HS137" s="24"/>
      <c r="HT137" s="24"/>
      <c r="HU137" s="24"/>
      <c r="HV137" s="24"/>
      <c r="HW137" s="24"/>
      <c r="HX137" s="24"/>
      <c r="HY137" s="24"/>
      <c r="HZ137" s="24"/>
      <c r="IA137" s="24"/>
      <c r="IB137" s="24"/>
      <c r="IC137" s="24"/>
      <c r="ID137" s="24"/>
      <c r="IE137" s="24"/>
      <c r="IF137" s="24"/>
      <c r="IG137" s="24"/>
      <c r="IH137" s="24"/>
      <c r="II137" s="24"/>
      <c r="IJ137" s="24"/>
      <c r="IK137" s="24"/>
      <c r="IL137" s="24"/>
      <c r="IM137" s="24"/>
      <c r="IN137" s="24"/>
      <c r="IO137" s="24"/>
      <c r="IP137" s="24"/>
      <c r="IQ137" s="24"/>
      <c r="IR137" s="24"/>
      <c r="IS137" s="24"/>
      <c r="IT137" s="24"/>
      <c r="IU137" s="24"/>
      <c r="IV137" s="24"/>
      <c r="IW137" s="24"/>
      <c r="IX137" s="24"/>
      <c r="IY137" s="24"/>
      <c r="IZ137" s="24"/>
      <c r="JA137" s="24"/>
      <c r="JB137" s="24"/>
      <c r="JC137" s="24"/>
      <c r="JD137" s="24"/>
      <c r="JE137" s="24"/>
      <c r="JF137" s="24"/>
      <c r="JG137" s="24"/>
      <c r="JH137" s="24"/>
      <c r="JI137" s="24"/>
      <c r="JJ137" s="24"/>
      <c r="JK137" s="24"/>
      <c r="JL137" s="24"/>
      <c r="JM137" s="24"/>
      <c r="JN137" s="24"/>
      <c r="JO137" s="24"/>
      <c r="JP137" s="24"/>
      <c r="JQ137" s="24"/>
      <c r="JR137" s="24"/>
      <c r="JS137" s="24"/>
      <c r="JT137" s="24"/>
      <c r="JU137" s="24"/>
      <c r="JV137" s="24"/>
      <c r="JW137" s="24"/>
      <c r="JX137" s="24"/>
      <c r="JY137" s="24"/>
      <c r="JZ137" s="24"/>
      <c r="KA137" s="24"/>
      <c r="KB137" s="24"/>
      <c r="KC137" s="24"/>
      <c r="KD137" s="24"/>
      <c r="KE137" s="24"/>
      <c r="KF137" s="24"/>
      <c r="KG137" s="24"/>
      <c r="KH137" s="24"/>
      <c r="KI137" s="24"/>
      <c r="KJ137" s="24"/>
      <c r="KK137" s="24"/>
      <c r="KL137" s="24"/>
    </row>
    <row r="138" spans="1:298" s="26" customFormat="1" ht="15" hidden="1" customHeight="1" x14ac:dyDescent="0.3">
      <c r="A138" s="172"/>
      <c r="B138" s="172"/>
      <c r="C138" s="172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2"/>
      <c r="AT138" s="172"/>
      <c r="AU138" s="172"/>
      <c r="AV138" s="172"/>
      <c r="AW138" s="172"/>
      <c r="AX138" s="172"/>
      <c r="AY138" s="172"/>
      <c r="AZ138" s="172"/>
      <c r="BA138" s="172"/>
      <c r="BB138" s="172"/>
      <c r="BC138" s="172"/>
      <c r="BD138" s="172"/>
      <c r="BE138" s="172"/>
      <c r="BF138" s="172"/>
      <c r="BG138" s="172"/>
      <c r="BH138" s="172"/>
      <c r="BI138" s="172"/>
      <c r="BJ138" s="172"/>
      <c r="BK138" s="172"/>
      <c r="BL138" s="172"/>
      <c r="BM138" s="172"/>
      <c r="BN138" s="172"/>
      <c r="BO138" s="172"/>
      <c r="BP138" s="172"/>
      <c r="BQ138" s="172"/>
      <c r="BR138" s="172"/>
      <c r="BS138" s="172"/>
      <c r="BT138" s="172"/>
      <c r="BU138" s="172"/>
      <c r="BV138" s="172"/>
      <c r="BW138" s="172"/>
      <c r="BX138" s="172"/>
      <c r="BY138" s="174"/>
      <c r="BZ138" s="172"/>
      <c r="CA138" s="172"/>
      <c r="CB138" s="24"/>
      <c r="CC138" s="25"/>
      <c r="CH138" s="27"/>
      <c r="CL138" s="28"/>
      <c r="CM138" s="28"/>
      <c r="CO138" s="29"/>
      <c r="CP138" s="28"/>
      <c r="CQ138" s="28"/>
      <c r="CR138" s="28"/>
      <c r="CS138" s="28"/>
      <c r="CT138" s="28"/>
      <c r="CU138" s="28"/>
      <c r="CW138" s="68"/>
      <c r="CX138" s="69" t="str">
        <f>견적관리자용!$S$10</f>
        <v>승용SUV(7~10인)</v>
      </c>
      <c r="CY138" s="70">
        <v>0</v>
      </c>
      <c r="CZ138" s="70">
        <v>390000</v>
      </c>
      <c r="DA138" s="80">
        <v>390000</v>
      </c>
      <c r="DB138" s="80">
        <v>390000</v>
      </c>
      <c r="DC138" s="80">
        <v>390000</v>
      </c>
      <c r="DD138" s="192">
        <f t="shared" si="6"/>
        <v>0</v>
      </c>
      <c r="DE138" s="73">
        <v>135</v>
      </c>
      <c r="DF138" s="72">
        <f t="shared" si="5"/>
        <v>0</v>
      </c>
      <c r="DG138" s="166"/>
      <c r="DJ138" s="25"/>
      <c r="DK138" s="25"/>
      <c r="DL138" s="25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  <c r="EG138" s="24"/>
      <c r="EH138" s="24"/>
      <c r="EI138" s="24"/>
      <c r="EJ138" s="24"/>
      <c r="EK138" s="24"/>
      <c r="EL138" s="24"/>
      <c r="EM138" s="24"/>
      <c r="EN138" s="24"/>
      <c r="EO138" s="24"/>
      <c r="EP138" s="24"/>
      <c r="EQ138" s="24"/>
      <c r="ER138" s="24"/>
      <c r="ES138" s="24"/>
      <c r="ET138" s="24"/>
      <c r="EU138" s="24"/>
      <c r="EV138" s="24"/>
      <c r="EW138" s="24"/>
      <c r="EX138" s="24"/>
      <c r="EY138" s="24"/>
      <c r="EZ138" s="24"/>
      <c r="FA138" s="24"/>
      <c r="FB138" s="24"/>
      <c r="FC138" s="24"/>
      <c r="FD138" s="24"/>
      <c r="FE138" s="24"/>
      <c r="FF138" s="24"/>
      <c r="FG138" s="24"/>
      <c r="FH138" s="24"/>
      <c r="FI138" s="24"/>
      <c r="FJ138" s="24"/>
      <c r="FK138" s="24"/>
      <c r="FL138" s="24"/>
      <c r="FM138" s="24"/>
      <c r="FN138" s="24"/>
      <c r="FO138" s="24"/>
      <c r="FP138" s="24"/>
      <c r="FQ138" s="24"/>
      <c r="FR138" s="24"/>
      <c r="FS138" s="24"/>
      <c r="FT138" s="24"/>
      <c r="FU138" s="24"/>
      <c r="FV138" s="24"/>
      <c r="FW138" s="24"/>
      <c r="FX138" s="24"/>
      <c r="FY138" s="24"/>
      <c r="FZ138" s="24"/>
      <c r="GA138" s="24"/>
      <c r="GB138" s="24"/>
      <c r="GC138" s="24"/>
      <c r="GD138" s="24"/>
      <c r="GE138" s="24"/>
      <c r="GF138" s="24"/>
      <c r="GG138" s="24"/>
      <c r="GH138" s="24"/>
      <c r="GI138" s="24"/>
      <c r="GJ138" s="24"/>
      <c r="GK138" s="24"/>
      <c r="GL138" s="24"/>
      <c r="GM138" s="24"/>
      <c r="GN138" s="24"/>
      <c r="GO138" s="24"/>
      <c r="GP138" s="24"/>
      <c r="GQ138" s="24"/>
      <c r="GR138" s="24"/>
      <c r="GS138" s="24"/>
      <c r="GT138" s="24"/>
      <c r="GU138" s="24"/>
      <c r="GV138" s="24"/>
      <c r="GW138" s="24"/>
      <c r="GX138" s="24"/>
      <c r="GY138" s="24"/>
      <c r="GZ138" s="24"/>
      <c r="HA138" s="24"/>
      <c r="HB138" s="24"/>
      <c r="HC138" s="24"/>
      <c r="HD138" s="24"/>
      <c r="HE138" s="24"/>
      <c r="HF138" s="24"/>
      <c r="HG138" s="24"/>
      <c r="HH138" s="24"/>
      <c r="HI138" s="24"/>
      <c r="HJ138" s="24"/>
      <c r="HK138" s="24"/>
      <c r="HL138" s="24"/>
      <c r="HM138" s="24"/>
      <c r="HN138" s="24"/>
      <c r="HO138" s="24"/>
      <c r="HP138" s="24"/>
      <c r="HQ138" s="24"/>
      <c r="HR138" s="24"/>
      <c r="HS138" s="24"/>
      <c r="HT138" s="24"/>
      <c r="HU138" s="24"/>
      <c r="HV138" s="24"/>
      <c r="HW138" s="24"/>
      <c r="HX138" s="24"/>
      <c r="HY138" s="24"/>
      <c r="HZ138" s="24"/>
      <c r="IA138" s="24"/>
      <c r="IB138" s="24"/>
      <c r="IC138" s="24"/>
      <c r="ID138" s="24"/>
      <c r="IE138" s="24"/>
      <c r="IF138" s="24"/>
      <c r="IG138" s="24"/>
      <c r="IH138" s="24"/>
      <c r="II138" s="24"/>
      <c r="IJ138" s="24"/>
      <c r="IK138" s="24"/>
      <c r="IL138" s="24"/>
      <c r="IM138" s="24"/>
      <c r="IN138" s="24"/>
      <c r="IO138" s="24"/>
      <c r="IP138" s="24"/>
      <c r="IQ138" s="24"/>
      <c r="IR138" s="24"/>
      <c r="IS138" s="24"/>
      <c r="IT138" s="24"/>
      <c r="IU138" s="24"/>
      <c r="IV138" s="24"/>
      <c r="IW138" s="24"/>
      <c r="IX138" s="24"/>
      <c r="IY138" s="24"/>
      <c r="IZ138" s="24"/>
      <c r="JA138" s="24"/>
      <c r="JB138" s="24"/>
      <c r="JC138" s="24"/>
      <c r="JD138" s="24"/>
      <c r="JE138" s="24"/>
      <c r="JF138" s="24"/>
      <c r="JG138" s="24"/>
      <c r="JH138" s="24"/>
      <c r="JI138" s="24"/>
      <c r="JJ138" s="24"/>
      <c r="JK138" s="24"/>
      <c r="JL138" s="24"/>
      <c r="JM138" s="24"/>
      <c r="JN138" s="24"/>
      <c r="JO138" s="24"/>
      <c r="JP138" s="24"/>
      <c r="JQ138" s="24"/>
      <c r="JR138" s="24"/>
      <c r="JS138" s="24"/>
      <c r="JT138" s="24"/>
      <c r="JU138" s="24"/>
      <c r="JV138" s="24"/>
      <c r="JW138" s="24"/>
      <c r="JX138" s="24"/>
      <c r="JY138" s="24"/>
      <c r="JZ138" s="24"/>
      <c r="KA138" s="24"/>
      <c r="KB138" s="24"/>
      <c r="KC138" s="24"/>
      <c r="KD138" s="24"/>
      <c r="KE138" s="24"/>
      <c r="KF138" s="24"/>
      <c r="KG138" s="24"/>
      <c r="KH138" s="24"/>
      <c r="KI138" s="24"/>
      <c r="KJ138" s="24"/>
      <c r="KK138" s="24"/>
      <c r="KL138" s="24"/>
    </row>
    <row r="139" spans="1:298" s="26" customFormat="1" ht="15" hidden="1" customHeight="1" x14ac:dyDescent="0.3">
      <c r="A139" s="172"/>
      <c r="B139" s="172"/>
      <c r="C139" s="172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2"/>
      <c r="AT139" s="172"/>
      <c r="AU139" s="172"/>
      <c r="AV139" s="172"/>
      <c r="AW139" s="172"/>
      <c r="AX139" s="172"/>
      <c r="AY139" s="172"/>
      <c r="AZ139" s="172"/>
      <c r="BA139" s="172"/>
      <c r="BB139" s="172"/>
      <c r="BC139" s="172"/>
      <c r="BD139" s="172"/>
      <c r="BE139" s="172"/>
      <c r="BF139" s="172"/>
      <c r="BG139" s="172"/>
      <c r="BH139" s="172"/>
      <c r="BI139" s="172"/>
      <c r="BJ139" s="172"/>
      <c r="BK139" s="172"/>
      <c r="BL139" s="172"/>
      <c r="BM139" s="172"/>
      <c r="BN139" s="172"/>
      <c r="BO139" s="172"/>
      <c r="BP139" s="172"/>
      <c r="BQ139" s="172"/>
      <c r="BR139" s="172"/>
      <c r="BS139" s="172"/>
      <c r="BT139" s="172"/>
      <c r="BU139" s="172"/>
      <c r="BV139" s="172"/>
      <c r="BW139" s="172"/>
      <c r="BX139" s="172"/>
      <c r="BY139" s="174"/>
      <c r="BZ139" s="172"/>
      <c r="CA139" s="172"/>
      <c r="CB139" s="24"/>
      <c r="CC139" s="25"/>
      <c r="CH139" s="27"/>
      <c r="CL139" s="28"/>
      <c r="CM139" s="28"/>
      <c r="CO139" s="29"/>
      <c r="CP139" s="28"/>
      <c r="CQ139" s="28"/>
      <c r="CR139" s="28"/>
      <c r="CS139" s="28"/>
      <c r="CT139" s="28"/>
      <c r="CU139" s="28"/>
      <c r="CW139" s="68"/>
      <c r="CX139" s="69" t="str">
        <f>견적관리자용!$S$11</f>
        <v>승합(11~15인)</v>
      </c>
      <c r="CY139" s="70">
        <v>0</v>
      </c>
      <c r="CZ139" s="125">
        <v>1.4999999999999999E-2</v>
      </c>
      <c r="DA139" s="125">
        <v>1.4999999999999999E-2</v>
      </c>
      <c r="DB139" s="125">
        <v>1.4999999999999999E-2</v>
      </c>
      <c r="DC139" s="125">
        <v>1.4999999999999999E-2</v>
      </c>
      <c r="DD139" s="192">
        <f t="shared" si="6"/>
        <v>0</v>
      </c>
      <c r="DE139" s="73">
        <v>136</v>
      </c>
      <c r="DF139" s="72">
        <f t="shared" si="5"/>
        <v>0</v>
      </c>
      <c r="DG139" s="166"/>
      <c r="DJ139" s="25"/>
      <c r="DK139" s="25"/>
      <c r="DL139" s="25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4"/>
      <c r="EP139" s="24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4"/>
      <c r="FC139" s="24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4"/>
      <c r="FP139" s="24"/>
      <c r="FQ139" s="24"/>
      <c r="FR139" s="24"/>
      <c r="FS139" s="24"/>
      <c r="FT139" s="24"/>
      <c r="FU139" s="24"/>
      <c r="FV139" s="24"/>
      <c r="FW139" s="24"/>
      <c r="FX139" s="24"/>
      <c r="FY139" s="24"/>
      <c r="FZ139" s="24"/>
      <c r="GA139" s="24"/>
      <c r="GB139" s="24"/>
      <c r="GC139" s="24"/>
      <c r="GD139" s="24"/>
      <c r="GE139" s="24"/>
      <c r="GF139" s="24"/>
      <c r="GG139" s="24"/>
      <c r="GH139" s="24"/>
      <c r="GI139" s="24"/>
      <c r="GJ139" s="24"/>
      <c r="GK139" s="24"/>
      <c r="GL139" s="24"/>
      <c r="GM139" s="24"/>
      <c r="GN139" s="24"/>
      <c r="GO139" s="24"/>
      <c r="GP139" s="24"/>
      <c r="GQ139" s="24"/>
      <c r="GR139" s="24"/>
      <c r="GS139" s="24"/>
      <c r="GT139" s="24"/>
      <c r="GU139" s="24"/>
      <c r="GV139" s="24"/>
      <c r="GW139" s="24"/>
      <c r="GX139" s="24"/>
      <c r="GY139" s="24"/>
      <c r="GZ139" s="24"/>
      <c r="HA139" s="24"/>
      <c r="HB139" s="24"/>
      <c r="HC139" s="24"/>
      <c r="HD139" s="24"/>
      <c r="HE139" s="24"/>
      <c r="HF139" s="24"/>
      <c r="HG139" s="24"/>
      <c r="HH139" s="24"/>
      <c r="HI139" s="24"/>
      <c r="HJ139" s="24"/>
      <c r="HK139" s="24"/>
      <c r="HL139" s="24"/>
      <c r="HM139" s="24"/>
      <c r="HN139" s="24"/>
      <c r="HO139" s="24"/>
      <c r="HP139" s="24"/>
      <c r="HQ139" s="24"/>
      <c r="HR139" s="24"/>
      <c r="HS139" s="24"/>
      <c r="HT139" s="24"/>
      <c r="HU139" s="24"/>
      <c r="HV139" s="24"/>
      <c r="HW139" s="24"/>
      <c r="HX139" s="24"/>
      <c r="HY139" s="24"/>
      <c r="HZ139" s="24"/>
      <c r="IA139" s="24"/>
      <c r="IB139" s="24"/>
      <c r="IC139" s="24"/>
      <c r="ID139" s="24"/>
      <c r="IE139" s="24"/>
      <c r="IF139" s="24"/>
      <c r="IG139" s="24"/>
      <c r="IH139" s="24"/>
      <c r="II139" s="24"/>
      <c r="IJ139" s="24"/>
      <c r="IK139" s="24"/>
      <c r="IL139" s="24"/>
      <c r="IM139" s="24"/>
      <c r="IN139" s="24"/>
      <c r="IO139" s="24"/>
      <c r="IP139" s="24"/>
      <c r="IQ139" s="24"/>
      <c r="IR139" s="24"/>
      <c r="IS139" s="24"/>
      <c r="IT139" s="24"/>
      <c r="IU139" s="24"/>
      <c r="IV139" s="24"/>
      <c r="IW139" s="24"/>
      <c r="IX139" s="24"/>
      <c r="IY139" s="24"/>
      <c r="IZ139" s="24"/>
      <c r="JA139" s="24"/>
      <c r="JB139" s="24"/>
      <c r="JC139" s="24"/>
      <c r="JD139" s="24"/>
      <c r="JE139" s="24"/>
      <c r="JF139" s="24"/>
      <c r="JG139" s="24"/>
      <c r="JH139" s="24"/>
      <c r="JI139" s="24"/>
      <c r="JJ139" s="24"/>
      <c r="JK139" s="24"/>
      <c r="JL139" s="24"/>
      <c r="JM139" s="24"/>
      <c r="JN139" s="24"/>
      <c r="JO139" s="24"/>
      <c r="JP139" s="24"/>
      <c r="JQ139" s="24"/>
      <c r="JR139" s="24"/>
      <c r="JS139" s="24"/>
      <c r="JT139" s="24"/>
      <c r="JU139" s="24"/>
      <c r="JV139" s="24"/>
      <c r="JW139" s="24"/>
      <c r="JX139" s="24"/>
      <c r="JY139" s="24"/>
      <c r="JZ139" s="24"/>
      <c r="KA139" s="24"/>
      <c r="KB139" s="24"/>
      <c r="KC139" s="24"/>
      <c r="KD139" s="24"/>
      <c r="KE139" s="24"/>
      <c r="KF139" s="24"/>
      <c r="KG139" s="24"/>
      <c r="KH139" s="24"/>
      <c r="KI139" s="24"/>
      <c r="KJ139" s="24"/>
      <c r="KK139" s="24"/>
      <c r="KL139" s="24"/>
    </row>
    <row r="140" spans="1:298" s="26" customFormat="1" ht="15" hidden="1" customHeight="1" x14ac:dyDescent="0.3">
      <c r="A140" s="172"/>
      <c r="B140" s="172"/>
      <c r="C140" s="172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2"/>
      <c r="AT140" s="172"/>
      <c r="AU140" s="172"/>
      <c r="AV140" s="172"/>
      <c r="AW140" s="172"/>
      <c r="AX140" s="172"/>
      <c r="AY140" s="172"/>
      <c r="AZ140" s="172"/>
      <c r="BA140" s="172"/>
      <c r="BB140" s="172"/>
      <c r="BC140" s="172"/>
      <c r="BD140" s="172"/>
      <c r="BE140" s="172"/>
      <c r="BF140" s="172"/>
      <c r="BG140" s="172"/>
      <c r="BH140" s="172"/>
      <c r="BI140" s="172"/>
      <c r="BJ140" s="172"/>
      <c r="BK140" s="172"/>
      <c r="BL140" s="172"/>
      <c r="BM140" s="172"/>
      <c r="BN140" s="172"/>
      <c r="BO140" s="172"/>
      <c r="BP140" s="172"/>
      <c r="BQ140" s="172"/>
      <c r="BR140" s="172"/>
      <c r="BS140" s="172"/>
      <c r="BT140" s="172"/>
      <c r="BU140" s="172"/>
      <c r="BV140" s="172"/>
      <c r="BW140" s="172"/>
      <c r="BX140" s="172"/>
      <c r="BY140" s="174"/>
      <c r="BZ140" s="172"/>
      <c r="CA140" s="172"/>
      <c r="CB140" s="24"/>
      <c r="CC140" s="25"/>
      <c r="CH140" s="27"/>
      <c r="CL140" s="28"/>
      <c r="CM140" s="28"/>
      <c r="CO140" s="29"/>
      <c r="CP140" s="28"/>
      <c r="CQ140" s="28"/>
      <c r="CR140" s="28"/>
      <c r="CS140" s="28"/>
      <c r="CT140" s="28"/>
      <c r="CU140" s="28"/>
      <c r="CW140" s="68"/>
      <c r="CX140" s="69" t="str">
        <f>견적관리자용!$S$12</f>
        <v>화물(1000cc 미만)</v>
      </c>
      <c r="CY140" s="70">
        <v>0</v>
      </c>
      <c r="CZ140" s="70">
        <v>0</v>
      </c>
      <c r="DA140" s="80">
        <v>0</v>
      </c>
      <c r="DB140" s="80">
        <v>0</v>
      </c>
      <c r="DC140" s="80">
        <v>0</v>
      </c>
      <c r="DD140" s="192">
        <f t="shared" si="6"/>
        <v>0</v>
      </c>
      <c r="DE140" s="73">
        <v>137</v>
      </c>
      <c r="DF140" s="72">
        <f t="shared" si="5"/>
        <v>0</v>
      </c>
      <c r="DG140" s="166"/>
      <c r="DJ140" s="25"/>
      <c r="DK140" s="25"/>
      <c r="DL140" s="25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  <c r="EG140" s="24"/>
      <c r="EH140" s="24"/>
      <c r="EI140" s="24"/>
      <c r="EJ140" s="24"/>
      <c r="EK140" s="24"/>
      <c r="EL140" s="24"/>
      <c r="EM140" s="24"/>
      <c r="EN140" s="24"/>
      <c r="EO140" s="24"/>
      <c r="EP140" s="24"/>
      <c r="EQ140" s="24"/>
      <c r="ER140" s="24"/>
      <c r="ES140" s="24"/>
      <c r="ET140" s="24"/>
      <c r="EU140" s="24"/>
      <c r="EV140" s="24"/>
      <c r="EW140" s="24"/>
      <c r="EX140" s="24"/>
      <c r="EY140" s="24"/>
      <c r="EZ140" s="24"/>
      <c r="FA140" s="24"/>
      <c r="FB140" s="24"/>
      <c r="FC140" s="24"/>
      <c r="FD140" s="24"/>
      <c r="FE140" s="24"/>
      <c r="FF140" s="24"/>
      <c r="FG140" s="24"/>
      <c r="FH140" s="24"/>
      <c r="FI140" s="24"/>
      <c r="FJ140" s="24"/>
      <c r="FK140" s="24"/>
      <c r="FL140" s="24"/>
      <c r="FM140" s="24"/>
      <c r="FN140" s="24"/>
      <c r="FO140" s="24"/>
      <c r="FP140" s="24"/>
      <c r="FQ140" s="24"/>
      <c r="FR140" s="24"/>
      <c r="FS140" s="24"/>
      <c r="FT140" s="24"/>
      <c r="FU140" s="24"/>
      <c r="FV140" s="24"/>
      <c r="FW140" s="24"/>
      <c r="FX140" s="24"/>
      <c r="FY140" s="24"/>
      <c r="FZ140" s="24"/>
      <c r="GA140" s="24"/>
      <c r="GB140" s="24"/>
      <c r="GC140" s="24"/>
      <c r="GD140" s="24"/>
      <c r="GE140" s="24"/>
      <c r="GF140" s="24"/>
      <c r="GG140" s="24"/>
      <c r="GH140" s="24"/>
      <c r="GI140" s="24"/>
      <c r="GJ140" s="24"/>
      <c r="GK140" s="24"/>
      <c r="GL140" s="24"/>
      <c r="GM140" s="24"/>
      <c r="GN140" s="24"/>
      <c r="GO140" s="24"/>
      <c r="GP140" s="24"/>
      <c r="GQ140" s="24"/>
      <c r="GR140" s="24"/>
      <c r="GS140" s="24"/>
      <c r="GT140" s="24"/>
      <c r="GU140" s="24"/>
      <c r="GV140" s="24"/>
      <c r="GW140" s="24"/>
      <c r="GX140" s="24"/>
      <c r="GY140" s="24"/>
      <c r="GZ140" s="24"/>
      <c r="HA140" s="24"/>
      <c r="HB140" s="24"/>
      <c r="HC140" s="24"/>
      <c r="HD140" s="24"/>
      <c r="HE140" s="24"/>
      <c r="HF140" s="24"/>
      <c r="HG140" s="24"/>
      <c r="HH140" s="24"/>
      <c r="HI140" s="24"/>
      <c r="HJ140" s="24"/>
      <c r="HK140" s="24"/>
      <c r="HL140" s="24"/>
      <c r="HM140" s="24"/>
      <c r="HN140" s="24"/>
      <c r="HO140" s="24"/>
      <c r="HP140" s="24"/>
      <c r="HQ140" s="24"/>
      <c r="HR140" s="24"/>
      <c r="HS140" s="24"/>
      <c r="HT140" s="24"/>
      <c r="HU140" s="24"/>
      <c r="HV140" s="24"/>
      <c r="HW140" s="24"/>
      <c r="HX140" s="24"/>
      <c r="HY140" s="24"/>
      <c r="HZ140" s="24"/>
      <c r="IA140" s="24"/>
      <c r="IB140" s="24"/>
      <c r="IC140" s="24"/>
      <c r="ID140" s="24"/>
      <c r="IE140" s="24"/>
      <c r="IF140" s="24"/>
      <c r="IG140" s="24"/>
      <c r="IH140" s="24"/>
      <c r="II140" s="24"/>
      <c r="IJ140" s="24"/>
      <c r="IK140" s="24"/>
      <c r="IL140" s="24"/>
      <c r="IM140" s="24"/>
      <c r="IN140" s="24"/>
      <c r="IO140" s="24"/>
      <c r="IP140" s="24"/>
      <c r="IQ140" s="24"/>
      <c r="IR140" s="24"/>
      <c r="IS140" s="24"/>
      <c r="IT140" s="24"/>
      <c r="IU140" s="24"/>
      <c r="IV140" s="24"/>
      <c r="IW140" s="24"/>
      <c r="IX140" s="24"/>
      <c r="IY140" s="24"/>
      <c r="IZ140" s="24"/>
      <c r="JA140" s="24"/>
      <c r="JB140" s="24"/>
      <c r="JC140" s="24"/>
      <c r="JD140" s="24"/>
      <c r="JE140" s="24"/>
      <c r="JF140" s="24"/>
      <c r="JG140" s="24"/>
      <c r="JH140" s="24"/>
      <c r="JI140" s="24"/>
      <c r="JJ140" s="24"/>
      <c r="JK140" s="24"/>
      <c r="JL140" s="24"/>
      <c r="JM140" s="24"/>
      <c r="JN140" s="24"/>
      <c r="JO140" s="24"/>
      <c r="JP140" s="24"/>
      <c r="JQ140" s="24"/>
      <c r="JR140" s="24"/>
      <c r="JS140" s="24"/>
      <c r="JT140" s="24"/>
      <c r="JU140" s="24"/>
      <c r="JV140" s="24"/>
      <c r="JW140" s="24"/>
      <c r="JX140" s="24"/>
      <c r="JY140" s="24"/>
      <c r="JZ140" s="24"/>
      <c r="KA140" s="24"/>
      <c r="KB140" s="24"/>
      <c r="KC140" s="24"/>
      <c r="KD140" s="24"/>
      <c r="KE140" s="24"/>
      <c r="KF140" s="24"/>
      <c r="KG140" s="24"/>
      <c r="KH140" s="24"/>
      <c r="KI140" s="24"/>
      <c r="KJ140" s="24"/>
      <c r="KK140" s="24"/>
      <c r="KL140" s="24"/>
    </row>
    <row r="141" spans="1:298" s="26" customFormat="1" ht="15" hidden="1" customHeight="1" x14ac:dyDescent="0.3">
      <c r="A141" s="172"/>
      <c r="B141" s="172"/>
      <c r="C141" s="172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  <c r="AQ141" s="173"/>
      <c r="AR141" s="173"/>
      <c r="AS141" s="172"/>
      <c r="AT141" s="172"/>
      <c r="AU141" s="172"/>
      <c r="AV141" s="172"/>
      <c r="AW141" s="172"/>
      <c r="AX141" s="172"/>
      <c r="AY141" s="172"/>
      <c r="AZ141" s="172"/>
      <c r="BA141" s="172"/>
      <c r="BB141" s="172"/>
      <c r="BC141" s="172"/>
      <c r="BD141" s="172"/>
      <c r="BE141" s="172"/>
      <c r="BF141" s="172"/>
      <c r="BG141" s="172"/>
      <c r="BH141" s="172"/>
      <c r="BI141" s="172"/>
      <c r="BJ141" s="172"/>
      <c r="BK141" s="172"/>
      <c r="BL141" s="172"/>
      <c r="BM141" s="172"/>
      <c r="BN141" s="172"/>
      <c r="BO141" s="172"/>
      <c r="BP141" s="172"/>
      <c r="BQ141" s="172"/>
      <c r="BR141" s="172"/>
      <c r="BS141" s="172"/>
      <c r="BT141" s="172"/>
      <c r="BU141" s="172"/>
      <c r="BV141" s="172"/>
      <c r="BW141" s="172"/>
      <c r="BX141" s="172"/>
      <c r="BY141" s="174"/>
      <c r="BZ141" s="172"/>
      <c r="CA141" s="172"/>
      <c r="CB141" s="24"/>
      <c r="CC141" s="25"/>
      <c r="CH141" s="27"/>
      <c r="CL141" s="28"/>
      <c r="CM141" s="28"/>
      <c r="CO141" s="29"/>
      <c r="CP141" s="28"/>
      <c r="CQ141" s="28"/>
      <c r="CR141" s="28"/>
      <c r="CS141" s="28"/>
      <c r="CT141" s="28"/>
      <c r="CU141" s="28"/>
      <c r="CW141" s="85"/>
      <c r="CX141" s="69" t="str">
        <f>견적관리자용!$S$13</f>
        <v>화물(0.6톤 미만)</v>
      </c>
      <c r="CY141" s="70">
        <v>0</v>
      </c>
      <c r="CZ141" s="70">
        <v>0</v>
      </c>
      <c r="DA141" s="70">
        <v>0</v>
      </c>
      <c r="DB141" s="70">
        <v>0</v>
      </c>
      <c r="DC141" s="86">
        <v>0</v>
      </c>
      <c r="DD141" s="192">
        <f t="shared" si="6"/>
        <v>0</v>
      </c>
      <c r="DE141" s="73">
        <v>138</v>
      </c>
      <c r="DF141" s="72">
        <f t="shared" si="5"/>
        <v>0</v>
      </c>
      <c r="DG141" s="166"/>
      <c r="DJ141" s="25"/>
      <c r="DK141" s="25"/>
      <c r="DL141" s="25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4"/>
      <c r="EP141" s="24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4"/>
      <c r="FC141" s="24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4"/>
      <c r="FP141" s="24"/>
      <c r="FQ141" s="24"/>
      <c r="FR141" s="24"/>
      <c r="FS141" s="24"/>
      <c r="FT141" s="24"/>
      <c r="FU141" s="24"/>
      <c r="FV141" s="24"/>
      <c r="FW141" s="24"/>
      <c r="FX141" s="24"/>
      <c r="FY141" s="24"/>
      <c r="FZ141" s="24"/>
      <c r="GA141" s="24"/>
      <c r="GB141" s="24"/>
      <c r="GC141" s="24"/>
      <c r="GD141" s="24"/>
      <c r="GE141" s="24"/>
      <c r="GF141" s="24"/>
      <c r="GG141" s="24"/>
      <c r="GH141" s="24"/>
      <c r="GI141" s="24"/>
      <c r="GJ141" s="24"/>
      <c r="GK141" s="24"/>
      <c r="GL141" s="24"/>
      <c r="GM141" s="24"/>
      <c r="GN141" s="24"/>
      <c r="GO141" s="24"/>
      <c r="GP141" s="24"/>
      <c r="GQ141" s="24"/>
      <c r="GR141" s="24"/>
      <c r="GS141" s="24"/>
      <c r="GT141" s="24"/>
      <c r="GU141" s="24"/>
      <c r="GV141" s="24"/>
      <c r="GW141" s="24"/>
      <c r="GX141" s="24"/>
      <c r="GY141" s="24"/>
      <c r="GZ141" s="24"/>
      <c r="HA141" s="24"/>
      <c r="HB141" s="24"/>
      <c r="HC141" s="24"/>
      <c r="HD141" s="24"/>
      <c r="HE141" s="24"/>
      <c r="HF141" s="24"/>
      <c r="HG141" s="24"/>
      <c r="HH141" s="24"/>
      <c r="HI141" s="24"/>
      <c r="HJ141" s="24"/>
      <c r="HK141" s="24"/>
      <c r="HL141" s="24"/>
      <c r="HM141" s="24"/>
      <c r="HN141" s="24"/>
      <c r="HO141" s="24"/>
      <c r="HP141" s="24"/>
      <c r="HQ141" s="24"/>
      <c r="HR141" s="24"/>
      <c r="HS141" s="24"/>
      <c r="HT141" s="24"/>
      <c r="HU141" s="24"/>
      <c r="HV141" s="24"/>
      <c r="HW141" s="24"/>
      <c r="HX141" s="24"/>
      <c r="HY141" s="24"/>
      <c r="HZ141" s="24"/>
      <c r="IA141" s="24"/>
      <c r="IB141" s="24"/>
      <c r="IC141" s="24"/>
      <c r="ID141" s="24"/>
      <c r="IE141" s="24"/>
      <c r="IF141" s="24"/>
      <c r="IG141" s="24"/>
      <c r="IH141" s="24"/>
      <c r="II141" s="24"/>
      <c r="IJ141" s="24"/>
      <c r="IK141" s="24"/>
      <c r="IL141" s="24"/>
      <c r="IM141" s="24"/>
      <c r="IN141" s="24"/>
      <c r="IO141" s="24"/>
      <c r="IP141" s="24"/>
      <c r="IQ141" s="24"/>
      <c r="IR141" s="24"/>
      <c r="IS141" s="24"/>
      <c r="IT141" s="24"/>
      <c r="IU141" s="24"/>
      <c r="IV141" s="24"/>
      <c r="IW141" s="24"/>
      <c r="IX141" s="24"/>
      <c r="IY141" s="24"/>
      <c r="IZ141" s="24"/>
      <c r="JA141" s="24"/>
      <c r="JB141" s="24"/>
      <c r="JC141" s="24"/>
      <c r="JD141" s="24"/>
      <c r="JE141" s="24"/>
      <c r="JF141" s="24"/>
      <c r="JG141" s="24"/>
      <c r="JH141" s="24"/>
      <c r="JI141" s="24"/>
      <c r="JJ141" s="24"/>
      <c r="JK141" s="24"/>
      <c r="JL141" s="24"/>
      <c r="JM141" s="24"/>
      <c r="JN141" s="24"/>
      <c r="JO141" s="24"/>
      <c r="JP141" s="24"/>
      <c r="JQ141" s="24"/>
      <c r="JR141" s="24"/>
      <c r="JS141" s="24"/>
      <c r="JT141" s="24"/>
      <c r="JU141" s="24"/>
      <c r="JV141" s="24"/>
      <c r="JW141" s="24"/>
      <c r="JX141" s="24"/>
      <c r="JY141" s="24"/>
      <c r="JZ141" s="24"/>
      <c r="KA141" s="24"/>
      <c r="KB141" s="24"/>
      <c r="KC141" s="24"/>
      <c r="KD141" s="24"/>
      <c r="KE141" s="24"/>
      <c r="KF141" s="24"/>
      <c r="KG141" s="24"/>
      <c r="KH141" s="24"/>
      <c r="KI141" s="24"/>
      <c r="KJ141" s="24"/>
      <c r="KK141" s="24"/>
      <c r="KL141" s="24"/>
    </row>
    <row r="142" spans="1:298" s="26" customFormat="1" ht="15" hidden="1" customHeight="1" x14ac:dyDescent="0.3">
      <c r="A142" s="172"/>
      <c r="B142" s="172"/>
      <c r="C142" s="172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2"/>
      <c r="AT142" s="172"/>
      <c r="AU142" s="172"/>
      <c r="AV142" s="172"/>
      <c r="AW142" s="172"/>
      <c r="AX142" s="172"/>
      <c r="AY142" s="172"/>
      <c r="AZ142" s="172"/>
      <c r="BA142" s="172"/>
      <c r="BB142" s="172"/>
      <c r="BC142" s="172"/>
      <c r="BD142" s="172"/>
      <c r="BE142" s="172"/>
      <c r="BF142" s="172"/>
      <c r="BG142" s="172"/>
      <c r="BH142" s="172"/>
      <c r="BI142" s="172"/>
      <c r="BJ142" s="172"/>
      <c r="BK142" s="172"/>
      <c r="BL142" s="172"/>
      <c r="BM142" s="172"/>
      <c r="BN142" s="172"/>
      <c r="BO142" s="172"/>
      <c r="BP142" s="172"/>
      <c r="BQ142" s="172"/>
      <c r="BR142" s="172"/>
      <c r="BS142" s="172"/>
      <c r="BT142" s="172"/>
      <c r="BU142" s="172"/>
      <c r="BV142" s="172"/>
      <c r="BW142" s="172"/>
      <c r="BX142" s="172"/>
      <c r="BY142" s="174"/>
      <c r="BZ142" s="172"/>
      <c r="CA142" s="172"/>
      <c r="CB142" s="24"/>
      <c r="CC142" s="25"/>
      <c r="CH142" s="27"/>
      <c r="CL142" s="28"/>
      <c r="CM142" s="28"/>
      <c r="CO142" s="29"/>
      <c r="CP142" s="28"/>
      <c r="CQ142" s="28"/>
      <c r="CR142" s="28"/>
      <c r="CS142" s="28"/>
      <c r="CT142" s="28"/>
      <c r="CU142" s="28"/>
      <c r="CW142" s="85"/>
      <c r="CX142" s="69" t="str">
        <f>견적관리자용!$S$14</f>
        <v>화물(0.6~1톤 미만)</v>
      </c>
      <c r="CY142" s="70">
        <v>0</v>
      </c>
      <c r="CZ142" s="125">
        <v>1.4999999999999999E-2</v>
      </c>
      <c r="DA142" s="125">
        <v>1.4999999999999999E-2</v>
      </c>
      <c r="DB142" s="125">
        <v>1.4999999999999999E-2</v>
      </c>
      <c r="DC142" s="125">
        <v>1.4999999999999999E-2</v>
      </c>
      <c r="DD142" s="192">
        <f t="shared" si="6"/>
        <v>0</v>
      </c>
      <c r="DE142" s="73">
        <v>139</v>
      </c>
      <c r="DF142" s="72">
        <f t="shared" si="5"/>
        <v>0</v>
      </c>
      <c r="DG142" s="166"/>
      <c r="DJ142" s="25"/>
      <c r="DK142" s="25"/>
      <c r="DL142" s="25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  <c r="EG142" s="24"/>
      <c r="EH142" s="24"/>
      <c r="EI142" s="24"/>
      <c r="EJ142" s="24"/>
      <c r="EK142" s="24"/>
      <c r="EL142" s="24"/>
      <c r="EM142" s="24"/>
      <c r="EN142" s="24"/>
      <c r="EO142" s="24"/>
      <c r="EP142" s="24"/>
      <c r="EQ142" s="24"/>
      <c r="ER142" s="24"/>
      <c r="ES142" s="24"/>
      <c r="ET142" s="24"/>
      <c r="EU142" s="24"/>
      <c r="EV142" s="24"/>
      <c r="EW142" s="24"/>
      <c r="EX142" s="24"/>
      <c r="EY142" s="24"/>
      <c r="EZ142" s="24"/>
      <c r="FA142" s="24"/>
      <c r="FB142" s="24"/>
      <c r="FC142" s="24"/>
      <c r="FD142" s="24"/>
      <c r="FE142" s="24"/>
      <c r="FF142" s="24"/>
      <c r="FG142" s="24"/>
      <c r="FH142" s="24"/>
      <c r="FI142" s="24"/>
      <c r="FJ142" s="24"/>
      <c r="FK142" s="24"/>
      <c r="FL142" s="24"/>
      <c r="FM142" s="24"/>
      <c r="FN142" s="24"/>
      <c r="FO142" s="24"/>
      <c r="FP142" s="24"/>
      <c r="FQ142" s="24"/>
      <c r="FR142" s="24"/>
      <c r="FS142" s="24"/>
      <c r="FT142" s="24"/>
      <c r="FU142" s="24"/>
      <c r="FV142" s="24"/>
      <c r="FW142" s="24"/>
      <c r="FX142" s="24"/>
      <c r="FY142" s="24"/>
      <c r="FZ142" s="24"/>
      <c r="GA142" s="24"/>
      <c r="GB142" s="24"/>
      <c r="GC142" s="24"/>
      <c r="GD142" s="24"/>
      <c r="GE142" s="24"/>
      <c r="GF142" s="24"/>
      <c r="GG142" s="24"/>
      <c r="GH142" s="24"/>
      <c r="GI142" s="24"/>
      <c r="GJ142" s="24"/>
      <c r="GK142" s="24"/>
      <c r="GL142" s="24"/>
      <c r="GM142" s="24"/>
      <c r="GN142" s="24"/>
      <c r="GO142" s="24"/>
      <c r="GP142" s="24"/>
      <c r="GQ142" s="24"/>
      <c r="GR142" s="24"/>
      <c r="GS142" s="24"/>
      <c r="GT142" s="24"/>
      <c r="GU142" s="24"/>
      <c r="GV142" s="24"/>
      <c r="GW142" s="24"/>
      <c r="GX142" s="24"/>
      <c r="GY142" s="24"/>
      <c r="GZ142" s="24"/>
      <c r="HA142" s="24"/>
      <c r="HB142" s="24"/>
      <c r="HC142" s="24"/>
      <c r="HD142" s="24"/>
      <c r="HE142" s="24"/>
      <c r="HF142" s="24"/>
      <c r="HG142" s="24"/>
      <c r="HH142" s="24"/>
      <c r="HI142" s="24"/>
      <c r="HJ142" s="24"/>
      <c r="HK142" s="24"/>
      <c r="HL142" s="24"/>
      <c r="HM142" s="24"/>
      <c r="HN142" s="24"/>
      <c r="HO142" s="24"/>
      <c r="HP142" s="24"/>
      <c r="HQ142" s="24"/>
      <c r="HR142" s="24"/>
      <c r="HS142" s="24"/>
      <c r="HT142" s="24"/>
      <c r="HU142" s="24"/>
      <c r="HV142" s="24"/>
      <c r="HW142" s="24"/>
      <c r="HX142" s="24"/>
      <c r="HY142" s="24"/>
      <c r="HZ142" s="24"/>
      <c r="IA142" s="24"/>
      <c r="IB142" s="24"/>
      <c r="IC142" s="24"/>
      <c r="ID142" s="24"/>
      <c r="IE142" s="24"/>
      <c r="IF142" s="24"/>
      <c r="IG142" s="24"/>
      <c r="IH142" s="24"/>
      <c r="II142" s="24"/>
      <c r="IJ142" s="24"/>
      <c r="IK142" s="24"/>
      <c r="IL142" s="24"/>
      <c r="IM142" s="24"/>
      <c r="IN142" s="24"/>
      <c r="IO142" s="24"/>
      <c r="IP142" s="24"/>
      <c r="IQ142" s="24"/>
      <c r="IR142" s="24"/>
      <c r="IS142" s="24"/>
      <c r="IT142" s="24"/>
      <c r="IU142" s="24"/>
      <c r="IV142" s="24"/>
      <c r="IW142" s="24"/>
      <c r="IX142" s="24"/>
      <c r="IY142" s="24"/>
      <c r="IZ142" s="24"/>
      <c r="JA142" s="24"/>
      <c r="JB142" s="24"/>
      <c r="JC142" s="24"/>
      <c r="JD142" s="24"/>
      <c r="JE142" s="24"/>
      <c r="JF142" s="24"/>
      <c r="JG142" s="24"/>
      <c r="JH142" s="24"/>
      <c r="JI142" s="24"/>
      <c r="JJ142" s="24"/>
      <c r="JK142" s="24"/>
      <c r="JL142" s="24"/>
      <c r="JM142" s="24"/>
      <c r="JN142" s="24"/>
      <c r="JO142" s="24"/>
      <c r="JP142" s="24"/>
      <c r="JQ142" s="24"/>
      <c r="JR142" s="24"/>
      <c r="JS142" s="24"/>
      <c r="JT142" s="24"/>
      <c r="JU142" s="24"/>
      <c r="JV142" s="24"/>
      <c r="JW142" s="24"/>
      <c r="JX142" s="24"/>
      <c r="JY142" s="24"/>
      <c r="JZ142" s="24"/>
      <c r="KA142" s="24"/>
      <c r="KB142" s="24"/>
      <c r="KC142" s="24"/>
      <c r="KD142" s="24"/>
      <c r="KE142" s="24"/>
      <c r="KF142" s="24"/>
      <c r="KG142" s="24"/>
      <c r="KH142" s="24"/>
      <c r="KI142" s="24"/>
      <c r="KJ142" s="24"/>
      <c r="KK142" s="24"/>
      <c r="KL142" s="24"/>
    </row>
    <row r="143" spans="1:298" s="26" customFormat="1" ht="15" hidden="1" customHeight="1" x14ac:dyDescent="0.3">
      <c r="A143" s="172"/>
      <c r="B143" s="172"/>
      <c r="C143" s="172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  <c r="AQ143" s="173"/>
      <c r="AR143" s="173"/>
      <c r="AS143" s="172"/>
      <c r="AT143" s="172"/>
      <c r="AU143" s="172"/>
      <c r="AV143" s="172"/>
      <c r="AW143" s="172"/>
      <c r="AX143" s="172"/>
      <c r="AY143" s="172"/>
      <c r="AZ143" s="172"/>
      <c r="BA143" s="172"/>
      <c r="BB143" s="172"/>
      <c r="BC143" s="172"/>
      <c r="BD143" s="172"/>
      <c r="BE143" s="172"/>
      <c r="BF143" s="172"/>
      <c r="BG143" s="172"/>
      <c r="BH143" s="172"/>
      <c r="BI143" s="172"/>
      <c r="BJ143" s="172"/>
      <c r="BK143" s="172"/>
      <c r="BL143" s="172"/>
      <c r="BM143" s="172"/>
      <c r="BN143" s="172"/>
      <c r="BO143" s="172"/>
      <c r="BP143" s="172"/>
      <c r="BQ143" s="172"/>
      <c r="BR143" s="172"/>
      <c r="BS143" s="172"/>
      <c r="BT143" s="172"/>
      <c r="BU143" s="172"/>
      <c r="BV143" s="172"/>
      <c r="BW143" s="172"/>
      <c r="BX143" s="172"/>
      <c r="BY143" s="174"/>
      <c r="BZ143" s="172"/>
      <c r="CA143" s="172"/>
      <c r="CB143" s="24"/>
      <c r="CC143" s="25"/>
      <c r="CH143" s="27"/>
      <c r="CL143" s="28"/>
      <c r="CM143" s="28"/>
      <c r="CO143" s="29"/>
      <c r="CP143" s="28"/>
      <c r="CQ143" s="28"/>
      <c r="CR143" s="28"/>
      <c r="CS143" s="28"/>
      <c r="CT143" s="28"/>
      <c r="CU143" s="28"/>
      <c r="CW143" s="85"/>
      <c r="CX143" s="69" t="str">
        <f>견적관리자용!$S$15</f>
        <v>화물(1~2.5톤 미만)</v>
      </c>
      <c r="CY143" s="70">
        <v>0</v>
      </c>
      <c r="CZ143" s="125">
        <v>1.4999999999999999E-2</v>
      </c>
      <c r="DA143" s="125">
        <v>1.4999999999999999E-2</v>
      </c>
      <c r="DB143" s="125">
        <v>1.4999999999999999E-2</v>
      </c>
      <c r="DC143" s="125">
        <v>1.4999999999999999E-2</v>
      </c>
      <c r="DD143" s="192">
        <f t="shared" si="6"/>
        <v>0</v>
      </c>
      <c r="DE143" s="73">
        <v>140</v>
      </c>
      <c r="DF143" s="72">
        <f t="shared" si="5"/>
        <v>0</v>
      </c>
      <c r="DG143" s="166"/>
      <c r="DJ143" s="25"/>
      <c r="DK143" s="25"/>
      <c r="DL143" s="25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4"/>
      <c r="EP143" s="24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4"/>
      <c r="FC143" s="24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4"/>
      <c r="FP143" s="24"/>
      <c r="FQ143" s="24"/>
      <c r="FR143" s="24"/>
      <c r="FS143" s="24"/>
      <c r="FT143" s="24"/>
      <c r="FU143" s="24"/>
      <c r="FV143" s="24"/>
      <c r="FW143" s="24"/>
      <c r="FX143" s="24"/>
      <c r="FY143" s="24"/>
      <c r="FZ143" s="24"/>
      <c r="GA143" s="24"/>
      <c r="GB143" s="24"/>
      <c r="GC143" s="24"/>
      <c r="GD143" s="24"/>
      <c r="GE143" s="24"/>
      <c r="GF143" s="24"/>
      <c r="GG143" s="24"/>
      <c r="GH143" s="24"/>
      <c r="GI143" s="24"/>
      <c r="GJ143" s="24"/>
      <c r="GK143" s="24"/>
      <c r="GL143" s="24"/>
      <c r="GM143" s="24"/>
      <c r="GN143" s="24"/>
      <c r="GO143" s="24"/>
      <c r="GP143" s="24"/>
      <c r="GQ143" s="24"/>
      <c r="GR143" s="24"/>
      <c r="GS143" s="24"/>
      <c r="GT143" s="24"/>
      <c r="GU143" s="24"/>
      <c r="GV143" s="24"/>
      <c r="GW143" s="24"/>
      <c r="GX143" s="24"/>
      <c r="GY143" s="24"/>
      <c r="GZ143" s="24"/>
      <c r="HA143" s="24"/>
      <c r="HB143" s="24"/>
      <c r="HC143" s="24"/>
      <c r="HD143" s="24"/>
      <c r="HE143" s="24"/>
      <c r="HF143" s="24"/>
      <c r="HG143" s="24"/>
      <c r="HH143" s="24"/>
      <c r="HI143" s="24"/>
      <c r="HJ143" s="24"/>
      <c r="HK143" s="24"/>
      <c r="HL143" s="24"/>
      <c r="HM143" s="24"/>
      <c r="HN143" s="24"/>
      <c r="HO143" s="24"/>
      <c r="HP143" s="24"/>
      <c r="HQ143" s="24"/>
      <c r="HR143" s="24"/>
      <c r="HS143" s="24"/>
      <c r="HT143" s="24"/>
      <c r="HU143" s="24"/>
      <c r="HV143" s="24"/>
      <c r="HW143" s="24"/>
      <c r="HX143" s="24"/>
      <c r="HY143" s="24"/>
      <c r="HZ143" s="24"/>
      <c r="IA143" s="24"/>
      <c r="IB143" s="24"/>
      <c r="IC143" s="24"/>
      <c r="ID143" s="24"/>
      <c r="IE143" s="24"/>
      <c r="IF143" s="24"/>
      <c r="IG143" s="24"/>
      <c r="IH143" s="24"/>
      <c r="II143" s="24"/>
      <c r="IJ143" s="24"/>
      <c r="IK143" s="24"/>
      <c r="IL143" s="24"/>
      <c r="IM143" s="24"/>
      <c r="IN143" s="24"/>
      <c r="IO143" s="24"/>
      <c r="IP143" s="24"/>
      <c r="IQ143" s="24"/>
      <c r="IR143" s="24"/>
      <c r="IS143" s="24"/>
      <c r="IT143" s="24"/>
      <c r="IU143" s="24"/>
      <c r="IV143" s="24"/>
      <c r="IW143" s="24"/>
      <c r="IX143" s="24"/>
      <c r="IY143" s="24"/>
      <c r="IZ143" s="24"/>
      <c r="JA143" s="24"/>
      <c r="JB143" s="24"/>
      <c r="JC143" s="24"/>
      <c r="JD143" s="24"/>
      <c r="JE143" s="24"/>
      <c r="JF143" s="24"/>
      <c r="JG143" s="24"/>
      <c r="JH143" s="24"/>
      <c r="JI143" s="24"/>
      <c r="JJ143" s="24"/>
      <c r="JK143" s="24"/>
      <c r="JL143" s="24"/>
      <c r="JM143" s="24"/>
      <c r="JN143" s="24"/>
      <c r="JO143" s="24"/>
      <c r="JP143" s="24"/>
      <c r="JQ143" s="24"/>
      <c r="JR143" s="24"/>
      <c r="JS143" s="24"/>
      <c r="JT143" s="24"/>
      <c r="JU143" s="24"/>
      <c r="JV143" s="24"/>
      <c r="JW143" s="24"/>
      <c r="JX143" s="24"/>
      <c r="JY143" s="24"/>
      <c r="JZ143" s="24"/>
      <c r="KA143" s="24"/>
      <c r="KB143" s="24"/>
      <c r="KC143" s="24"/>
      <c r="KD143" s="24"/>
      <c r="KE143" s="24"/>
      <c r="KF143" s="24"/>
      <c r="KG143" s="24"/>
      <c r="KH143" s="24"/>
      <c r="KI143" s="24"/>
      <c r="KJ143" s="24"/>
      <c r="KK143" s="24"/>
      <c r="KL143" s="24"/>
    </row>
    <row r="144" spans="1:298" s="26" customFormat="1" ht="15" hidden="1" customHeight="1" x14ac:dyDescent="0.3">
      <c r="A144" s="172"/>
      <c r="B144" s="172"/>
      <c r="C144" s="172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2"/>
      <c r="AT144" s="172"/>
      <c r="AU144" s="172"/>
      <c r="AV144" s="172"/>
      <c r="AW144" s="172"/>
      <c r="AX144" s="172"/>
      <c r="AY144" s="172"/>
      <c r="AZ144" s="172"/>
      <c r="BA144" s="172"/>
      <c r="BB144" s="172"/>
      <c r="BC144" s="172"/>
      <c r="BD144" s="172"/>
      <c r="BE144" s="172"/>
      <c r="BF144" s="172"/>
      <c r="BG144" s="172"/>
      <c r="BH144" s="172"/>
      <c r="BI144" s="172"/>
      <c r="BJ144" s="172"/>
      <c r="BK144" s="172"/>
      <c r="BL144" s="172"/>
      <c r="BM144" s="172"/>
      <c r="BN144" s="172"/>
      <c r="BO144" s="172"/>
      <c r="BP144" s="172"/>
      <c r="BQ144" s="172"/>
      <c r="BR144" s="172"/>
      <c r="BS144" s="172"/>
      <c r="BT144" s="172"/>
      <c r="BU144" s="172"/>
      <c r="BV144" s="172"/>
      <c r="BW144" s="172"/>
      <c r="BX144" s="172"/>
      <c r="BY144" s="174"/>
      <c r="BZ144" s="172"/>
      <c r="CA144" s="172"/>
      <c r="CB144" s="24"/>
      <c r="CC144" s="25"/>
      <c r="CH144" s="27"/>
      <c r="CL144" s="28"/>
      <c r="CM144" s="28"/>
      <c r="CO144" s="29"/>
      <c r="CP144" s="28"/>
      <c r="CQ144" s="28"/>
      <c r="CR144" s="28"/>
      <c r="CS144" s="28"/>
      <c r="CT144" s="28"/>
      <c r="CU144" s="28"/>
      <c r="CW144" s="85"/>
      <c r="CX144" s="69" t="str">
        <f>견적관리자용!$S$16</f>
        <v>화물(2.5~4.6톤 미만)</v>
      </c>
      <c r="CY144" s="70">
        <v>0</v>
      </c>
      <c r="CZ144" s="125">
        <v>1.4999999999999999E-2</v>
      </c>
      <c r="DA144" s="125">
        <v>1.4999999999999999E-2</v>
      </c>
      <c r="DB144" s="125">
        <v>1.4999999999999999E-2</v>
      </c>
      <c r="DC144" s="125">
        <v>1.4999999999999999E-2</v>
      </c>
      <c r="DD144" s="192">
        <f t="shared" si="6"/>
        <v>0</v>
      </c>
      <c r="DE144" s="73">
        <v>141</v>
      </c>
      <c r="DF144" s="72">
        <f t="shared" si="5"/>
        <v>0</v>
      </c>
      <c r="DG144" s="166"/>
      <c r="DJ144" s="25"/>
      <c r="DK144" s="25"/>
      <c r="DL144" s="25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  <c r="EG144" s="24"/>
      <c r="EH144" s="24"/>
      <c r="EI144" s="24"/>
      <c r="EJ144" s="24"/>
      <c r="EK144" s="24"/>
      <c r="EL144" s="24"/>
      <c r="EM144" s="24"/>
      <c r="EN144" s="24"/>
      <c r="EO144" s="24"/>
      <c r="EP144" s="24"/>
      <c r="EQ144" s="24"/>
      <c r="ER144" s="24"/>
      <c r="ES144" s="24"/>
      <c r="ET144" s="24"/>
      <c r="EU144" s="24"/>
      <c r="EV144" s="24"/>
      <c r="EW144" s="24"/>
      <c r="EX144" s="24"/>
      <c r="EY144" s="24"/>
      <c r="EZ144" s="24"/>
      <c r="FA144" s="24"/>
      <c r="FB144" s="24"/>
      <c r="FC144" s="24"/>
      <c r="FD144" s="24"/>
      <c r="FE144" s="24"/>
      <c r="FF144" s="24"/>
      <c r="FG144" s="24"/>
      <c r="FH144" s="24"/>
      <c r="FI144" s="24"/>
      <c r="FJ144" s="24"/>
      <c r="FK144" s="24"/>
      <c r="FL144" s="24"/>
      <c r="FM144" s="24"/>
      <c r="FN144" s="24"/>
      <c r="FO144" s="24"/>
      <c r="FP144" s="24"/>
      <c r="FQ144" s="24"/>
      <c r="FR144" s="24"/>
      <c r="FS144" s="24"/>
      <c r="FT144" s="24"/>
      <c r="FU144" s="24"/>
      <c r="FV144" s="24"/>
      <c r="FW144" s="24"/>
      <c r="FX144" s="24"/>
      <c r="FY144" s="24"/>
      <c r="FZ144" s="24"/>
      <c r="GA144" s="24"/>
      <c r="GB144" s="24"/>
      <c r="GC144" s="24"/>
      <c r="GD144" s="24"/>
      <c r="GE144" s="24"/>
      <c r="GF144" s="24"/>
      <c r="GG144" s="24"/>
      <c r="GH144" s="24"/>
      <c r="GI144" s="24"/>
      <c r="GJ144" s="24"/>
      <c r="GK144" s="24"/>
      <c r="GL144" s="24"/>
      <c r="GM144" s="24"/>
      <c r="GN144" s="24"/>
      <c r="GO144" s="24"/>
      <c r="GP144" s="24"/>
      <c r="GQ144" s="24"/>
      <c r="GR144" s="24"/>
      <c r="GS144" s="24"/>
      <c r="GT144" s="24"/>
      <c r="GU144" s="24"/>
      <c r="GV144" s="24"/>
      <c r="GW144" s="24"/>
      <c r="GX144" s="24"/>
      <c r="GY144" s="24"/>
      <c r="GZ144" s="24"/>
      <c r="HA144" s="24"/>
      <c r="HB144" s="24"/>
      <c r="HC144" s="24"/>
      <c r="HD144" s="24"/>
      <c r="HE144" s="24"/>
      <c r="HF144" s="24"/>
      <c r="HG144" s="24"/>
      <c r="HH144" s="24"/>
      <c r="HI144" s="24"/>
      <c r="HJ144" s="24"/>
      <c r="HK144" s="24"/>
      <c r="HL144" s="24"/>
      <c r="HM144" s="24"/>
      <c r="HN144" s="24"/>
      <c r="HO144" s="24"/>
      <c r="HP144" s="24"/>
      <c r="HQ144" s="24"/>
      <c r="HR144" s="24"/>
      <c r="HS144" s="24"/>
      <c r="HT144" s="24"/>
      <c r="HU144" s="24"/>
      <c r="HV144" s="24"/>
      <c r="HW144" s="24"/>
      <c r="HX144" s="24"/>
      <c r="HY144" s="24"/>
      <c r="HZ144" s="24"/>
      <c r="IA144" s="24"/>
      <c r="IB144" s="24"/>
      <c r="IC144" s="24"/>
      <c r="ID144" s="24"/>
      <c r="IE144" s="24"/>
      <c r="IF144" s="24"/>
      <c r="IG144" s="24"/>
      <c r="IH144" s="24"/>
      <c r="II144" s="24"/>
      <c r="IJ144" s="24"/>
      <c r="IK144" s="24"/>
      <c r="IL144" s="24"/>
      <c r="IM144" s="24"/>
      <c r="IN144" s="24"/>
      <c r="IO144" s="24"/>
      <c r="IP144" s="24"/>
      <c r="IQ144" s="24"/>
      <c r="IR144" s="24"/>
      <c r="IS144" s="24"/>
      <c r="IT144" s="24"/>
      <c r="IU144" s="24"/>
      <c r="IV144" s="24"/>
      <c r="IW144" s="24"/>
      <c r="IX144" s="24"/>
      <c r="IY144" s="24"/>
      <c r="IZ144" s="24"/>
      <c r="JA144" s="24"/>
      <c r="JB144" s="24"/>
      <c r="JC144" s="24"/>
      <c r="JD144" s="24"/>
      <c r="JE144" s="24"/>
      <c r="JF144" s="24"/>
      <c r="JG144" s="24"/>
      <c r="JH144" s="24"/>
      <c r="JI144" s="24"/>
      <c r="JJ144" s="24"/>
      <c r="JK144" s="24"/>
      <c r="JL144" s="24"/>
      <c r="JM144" s="24"/>
      <c r="JN144" s="24"/>
      <c r="JO144" s="24"/>
      <c r="JP144" s="24"/>
      <c r="JQ144" s="24"/>
      <c r="JR144" s="24"/>
      <c r="JS144" s="24"/>
      <c r="JT144" s="24"/>
      <c r="JU144" s="24"/>
      <c r="JV144" s="24"/>
      <c r="JW144" s="24"/>
      <c r="JX144" s="24"/>
      <c r="JY144" s="24"/>
      <c r="JZ144" s="24"/>
      <c r="KA144" s="24"/>
      <c r="KB144" s="24"/>
      <c r="KC144" s="24"/>
      <c r="KD144" s="24"/>
      <c r="KE144" s="24"/>
      <c r="KF144" s="24"/>
      <c r="KG144" s="24"/>
      <c r="KH144" s="24"/>
      <c r="KI144" s="24"/>
      <c r="KJ144" s="24"/>
      <c r="KK144" s="24"/>
      <c r="KL144" s="24"/>
    </row>
    <row r="145" spans="1:113" ht="15" hidden="1" customHeight="1" x14ac:dyDescent="0.3">
      <c r="A145" s="172"/>
      <c r="B145" s="172"/>
      <c r="C145" s="172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2"/>
      <c r="AT145" s="172"/>
      <c r="AU145" s="172"/>
      <c r="AV145" s="172"/>
      <c r="AW145" s="172"/>
      <c r="AX145" s="172"/>
      <c r="AY145" s="172"/>
      <c r="AZ145" s="172"/>
      <c r="BA145" s="172"/>
      <c r="BB145" s="172"/>
      <c r="BC145" s="172"/>
      <c r="BD145" s="172"/>
      <c r="BE145" s="172"/>
      <c r="BF145" s="172"/>
      <c r="BG145" s="172"/>
      <c r="BH145" s="172"/>
      <c r="BI145" s="172"/>
      <c r="BJ145" s="172"/>
      <c r="BK145" s="172"/>
      <c r="BL145" s="172"/>
      <c r="BM145" s="172"/>
      <c r="BN145" s="172"/>
      <c r="BO145" s="172"/>
      <c r="BP145" s="172"/>
      <c r="BQ145" s="172"/>
      <c r="BR145" s="172"/>
      <c r="BS145" s="172"/>
      <c r="BT145" s="172"/>
      <c r="BU145" s="172"/>
      <c r="BV145" s="172"/>
      <c r="BW145" s="172"/>
      <c r="BX145" s="172"/>
      <c r="BY145" s="174"/>
      <c r="BZ145" s="172"/>
      <c r="CA145" s="172"/>
      <c r="CW145" s="90"/>
      <c r="CX145" s="91" t="str">
        <f>견적관리자용!$S$17</f>
        <v>화물(4.6톤 이상)</v>
      </c>
      <c r="CY145" s="92">
        <v>0</v>
      </c>
      <c r="CZ145" s="180">
        <v>1.4999999999999999E-2</v>
      </c>
      <c r="DA145" s="180">
        <v>1.4999999999999999E-2</v>
      </c>
      <c r="DB145" s="180">
        <v>1.4999999999999999E-2</v>
      </c>
      <c r="DC145" s="180">
        <v>1.4999999999999999E-2</v>
      </c>
      <c r="DD145" s="193">
        <f t="shared" si="6"/>
        <v>0</v>
      </c>
      <c r="DE145" s="94">
        <v>142</v>
      </c>
      <c r="DF145" s="93">
        <f t="shared" si="5"/>
        <v>0</v>
      </c>
      <c r="DG145" s="181"/>
    </row>
    <row r="146" spans="1:113" ht="15" hidden="1" customHeight="1" x14ac:dyDescent="0.3">
      <c r="A146" s="172"/>
      <c r="B146" s="172"/>
      <c r="C146" s="172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2"/>
      <c r="AT146" s="172"/>
      <c r="AU146" s="172"/>
      <c r="AV146" s="172"/>
      <c r="AW146" s="172"/>
      <c r="AX146" s="172"/>
      <c r="AY146" s="172"/>
      <c r="AZ146" s="172"/>
      <c r="BA146" s="172"/>
      <c r="BB146" s="172"/>
      <c r="BC146" s="172"/>
      <c r="BD146" s="172"/>
      <c r="BE146" s="172"/>
      <c r="BF146" s="172"/>
      <c r="BG146" s="172"/>
      <c r="BH146" s="172"/>
      <c r="BI146" s="172"/>
      <c r="BJ146" s="172"/>
      <c r="BK146" s="172"/>
      <c r="BL146" s="172"/>
      <c r="BM146" s="172"/>
      <c r="BN146" s="172"/>
      <c r="BO146" s="172"/>
      <c r="BP146" s="172"/>
      <c r="BQ146" s="172"/>
      <c r="BR146" s="172"/>
      <c r="BS146" s="172"/>
      <c r="BT146" s="172"/>
      <c r="BU146" s="172"/>
      <c r="BV146" s="172"/>
      <c r="BW146" s="172"/>
      <c r="BX146" s="172"/>
      <c r="BY146" s="174"/>
      <c r="BZ146" s="172"/>
      <c r="CA146" s="172"/>
    </row>
    <row r="147" spans="1:113" ht="15" hidden="1" customHeight="1" x14ac:dyDescent="0.3">
      <c r="A147" s="172"/>
      <c r="B147" s="172"/>
      <c r="C147" s="172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2"/>
      <c r="AT147" s="172"/>
      <c r="AU147" s="172"/>
      <c r="AV147" s="172"/>
      <c r="AW147" s="172"/>
      <c r="AX147" s="172"/>
      <c r="AY147" s="172"/>
      <c r="AZ147" s="172"/>
      <c r="BA147" s="172"/>
      <c r="BB147" s="172"/>
      <c r="BC147" s="172"/>
      <c r="BD147" s="172"/>
      <c r="BE147" s="172"/>
      <c r="BF147" s="172"/>
      <c r="BG147" s="172"/>
      <c r="BH147" s="172"/>
      <c r="BI147" s="172"/>
      <c r="BJ147" s="172"/>
      <c r="BK147" s="172"/>
      <c r="BL147" s="172"/>
      <c r="BM147" s="172"/>
      <c r="BN147" s="172"/>
      <c r="BO147" s="172"/>
      <c r="BP147" s="172"/>
      <c r="BQ147" s="172"/>
      <c r="BR147" s="172"/>
      <c r="BS147" s="172"/>
      <c r="BT147" s="172"/>
      <c r="BU147" s="172"/>
      <c r="BV147" s="172"/>
      <c r="BW147" s="172"/>
      <c r="BX147" s="172"/>
      <c r="BY147" s="174"/>
      <c r="BZ147" s="172"/>
      <c r="CA147" s="172"/>
    </row>
    <row r="148" spans="1:113" s="24" customFormat="1" hidden="1" x14ac:dyDescent="0.3">
      <c r="A148" s="172"/>
      <c r="B148" s="172"/>
      <c r="C148" s="172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2"/>
      <c r="AT148" s="172"/>
      <c r="AU148" s="172"/>
      <c r="AV148" s="172"/>
      <c r="AW148" s="172"/>
      <c r="AX148" s="172"/>
      <c r="AY148" s="172"/>
      <c r="AZ148" s="172"/>
      <c r="BA148" s="172"/>
      <c r="BB148" s="172"/>
      <c r="BC148" s="172"/>
      <c r="BD148" s="172"/>
      <c r="BE148" s="172"/>
      <c r="BF148" s="172"/>
      <c r="BG148" s="172"/>
      <c r="BH148" s="172"/>
      <c r="BI148" s="172"/>
      <c r="BJ148" s="172"/>
      <c r="BK148" s="172"/>
      <c r="BL148" s="172"/>
      <c r="BM148" s="172"/>
      <c r="BN148" s="172"/>
      <c r="BO148" s="172"/>
      <c r="BP148" s="172"/>
      <c r="BQ148" s="172"/>
      <c r="BR148" s="172"/>
      <c r="BS148" s="172"/>
      <c r="BT148" s="172"/>
      <c r="BU148" s="172"/>
      <c r="BV148" s="172"/>
      <c r="BW148" s="172"/>
      <c r="BX148" s="172"/>
      <c r="BY148" s="174"/>
      <c r="BZ148" s="172"/>
      <c r="CA148" s="172"/>
      <c r="CD148" s="194"/>
      <c r="CE148" s="194"/>
      <c r="CF148" s="194"/>
      <c r="CG148" s="194"/>
      <c r="CH148" s="27"/>
      <c r="CI148" s="26"/>
      <c r="CJ148" s="194"/>
      <c r="CK148" s="194"/>
      <c r="CL148" s="196"/>
      <c r="CM148" s="196"/>
      <c r="CN148" s="194"/>
      <c r="CO148" s="197"/>
      <c r="CP148" s="196"/>
      <c r="CQ148" s="196"/>
      <c r="CR148" s="196"/>
      <c r="CS148" s="196"/>
      <c r="CT148" s="196"/>
      <c r="CU148" s="196"/>
      <c r="CV148" s="194"/>
      <c r="CW148" s="194"/>
      <c r="CX148" s="194"/>
      <c r="CY148" s="194"/>
      <c r="CZ148" s="194"/>
      <c r="DA148" s="194"/>
      <c r="DB148" s="194"/>
      <c r="DC148" s="194"/>
      <c r="DD148" s="194"/>
      <c r="DE148" s="194"/>
      <c r="DF148" s="196"/>
      <c r="DG148" s="198"/>
      <c r="DH148" s="194"/>
      <c r="DI148" s="194"/>
    </row>
    <row r="149" spans="1:113" s="24" customFormat="1" hidden="1" x14ac:dyDescent="0.3">
      <c r="A149" s="172"/>
      <c r="B149" s="172"/>
      <c r="C149" s="172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2"/>
      <c r="AT149" s="172"/>
      <c r="AU149" s="172"/>
      <c r="AV149" s="172"/>
      <c r="AW149" s="172"/>
      <c r="AX149" s="172"/>
      <c r="AY149" s="172"/>
      <c r="AZ149" s="172"/>
      <c r="BA149" s="172"/>
      <c r="BB149" s="172"/>
      <c r="BC149" s="172"/>
      <c r="BD149" s="172"/>
      <c r="BE149" s="172"/>
      <c r="BF149" s="172"/>
      <c r="BG149" s="172"/>
      <c r="BH149" s="172"/>
      <c r="BI149" s="172"/>
      <c r="BJ149" s="172"/>
      <c r="BK149" s="172"/>
      <c r="BL149" s="172"/>
      <c r="BM149" s="172"/>
      <c r="BN149" s="172"/>
      <c r="BO149" s="172"/>
      <c r="BP149" s="172"/>
      <c r="BQ149" s="172"/>
      <c r="BR149" s="172"/>
      <c r="BS149" s="172"/>
      <c r="BT149" s="172"/>
      <c r="BU149" s="172"/>
      <c r="BV149" s="172"/>
      <c r="BW149" s="172"/>
      <c r="BX149" s="172"/>
      <c r="BY149" s="174"/>
      <c r="BZ149" s="172"/>
      <c r="CA149" s="172"/>
      <c r="CD149" s="194"/>
      <c r="CE149" s="194"/>
      <c r="CF149" s="194"/>
      <c r="CG149" s="194"/>
      <c r="CH149" s="195"/>
      <c r="CI149" s="194"/>
      <c r="CJ149" s="194"/>
      <c r="CK149" s="194"/>
      <c r="CL149" s="196"/>
      <c r="CM149" s="196"/>
      <c r="CN149" s="194"/>
      <c r="CO149" s="197"/>
      <c r="CP149" s="196"/>
      <c r="CQ149" s="196"/>
      <c r="CR149" s="196"/>
      <c r="CS149" s="196"/>
      <c r="CT149" s="196"/>
      <c r="CU149" s="196"/>
      <c r="CV149" s="194"/>
      <c r="CW149" s="194"/>
      <c r="CX149" s="194"/>
      <c r="CY149" s="194"/>
      <c r="CZ149" s="194"/>
      <c r="DA149" s="194"/>
      <c r="DB149" s="194"/>
      <c r="DC149" s="194"/>
      <c r="DD149" s="194"/>
      <c r="DE149" s="194"/>
      <c r="DF149" s="196"/>
      <c r="DG149" s="198"/>
      <c r="DH149" s="194"/>
      <c r="DI149" s="194"/>
    </row>
    <row r="150" spans="1:113" s="24" customFormat="1" hidden="1" x14ac:dyDescent="0.3">
      <c r="A150" s="172"/>
      <c r="B150" s="172"/>
      <c r="C150" s="172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2"/>
      <c r="AT150" s="172"/>
      <c r="AU150" s="172"/>
      <c r="AV150" s="172"/>
      <c r="AW150" s="172"/>
      <c r="AX150" s="172"/>
      <c r="AY150" s="172"/>
      <c r="AZ150" s="172"/>
      <c r="BA150" s="172"/>
      <c r="BB150" s="172"/>
      <c r="BC150" s="172"/>
      <c r="BD150" s="172"/>
      <c r="BE150" s="172"/>
      <c r="BF150" s="172"/>
      <c r="BG150" s="172"/>
      <c r="BH150" s="172"/>
      <c r="BI150" s="172"/>
      <c r="BJ150" s="172"/>
      <c r="BK150" s="172"/>
      <c r="BL150" s="172"/>
      <c r="BM150" s="172"/>
      <c r="BN150" s="172"/>
      <c r="BO150" s="172"/>
      <c r="BP150" s="172"/>
      <c r="BQ150" s="172"/>
      <c r="BR150" s="172"/>
      <c r="BS150" s="172"/>
      <c r="BT150" s="172"/>
      <c r="BU150" s="172"/>
      <c r="BV150" s="172"/>
      <c r="BW150" s="172"/>
      <c r="BX150" s="172"/>
      <c r="BY150" s="174"/>
      <c r="BZ150" s="172"/>
      <c r="CA150" s="172"/>
      <c r="CD150" s="194"/>
      <c r="CE150" s="194"/>
      <c r="CF150" s="194"/>
      <c r="CG150" s="194"/>
      <c r="CH150" s="195"/>
      <c r="CI150" s="194"/>
      <c r="CJ150" s="194"/>
      <c r="CK150" s="194"/>
      <c r="CL150" s="196"/>
      <c r="CM150" s="196"/>
      <c r="CN150" s="194"/>
      <c r="CO150" s="197"/>
      <c r="CP150" s="196"/>
      <c r="CQ150" s="196"/>
      <c r="CR150" s="196"/>
      <c r="CS150" s="196"/>
      <c r="CT150" s="196"/>
      <c r="CU150" s="196"/>
      <c r="CV150" s="194"/>
      <c r="CW150" s="194"/>
      <c r="CX150" s="194"/>
      <c r="CY150" s="194"/>
      <c r="CZ150" s="194"/>
      <c r="DA150" s="194"/>
      <c r="DB150" s="194"/>
      <c r="DC150" s="194"/>
      <c r="DD150" s="194"/>
      <c r="DE150" s="194"/>
      <c r="DF150" s="196"/>
      <c r="DG150" s="198"/>
      <c r="DH150" s="194"/>
      <c r="DI150" s="194"/>
    </row>
    <row r="151" spans="1:113" s="24" customFormat="1" hidden="1" x14ac:dyDescent="0.3">
      <c r="A151" s="172"/>
      <c r="B151" s="172"/>
      <c r="C151" s="172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2"/>
      <c r="AT151" s="172"/>
      <c r="AU151" s="172"/>
      <c r="AV151" s="172"/>
      <c r="AW151" s="172"/>
      <c r="AX151" s="172"/>
      <c r="AY151" s="172"/>
      <c r="AZ151" s="172"/>
      <c r="BA151" s="172"/>
      <c r="BB151" s="172"/>
      <c r="BC151" s="172"/>
      <c r="BD151" s="172"/>
      <c r="BE151" s="172"/>
      <c r="BF151" s="172"/>
      <c r="BG151" s="172"/>
      <c r="BH151" s="172"/>
      <c r="BI151" s="172"/>
      <c r="BJ151" s="172"/>
      <c r="BK151" s="172"/>
      <c r="BL151" s="172"/>
      <c r="BM151" s="172"/>
      <c r="BN151" s="172"/>
      <c r="BO151" s="172"/>
      <c r="BP151" s="172"/>
      <c r="BQ151" s="172"/>
      <c r="BR151" s="172"/>
      <c r="BS151" s="172"/>
      <c r="BT151" s="172"/>
      <c r="BU151" s="172"/>
      <c r="BV151" s="172"/>
      <c r="BW151" s="172"/>
      <c r="BX151" s="172"/>
      <c r="BY151" s="174"/>
      <c r="BZ151" s="172"/>
      <c r="CA151" s="172"/>
      <c r="CD151" s="194"/>
      <c r="CE151" s="194"/>
      <c r="CF151" s="194"/>
      <c r="CG151" s="194"/>
      <c r="CH151" s="195"/>
      <c r="CI151" s="194"/>
      <c r="CJ151" s="194"/>
      <c r="CK151" s="194"/>
      <c r="CL151" s="196"/>
      <c r="CM151" s="196"/>
      <c r="CN151" s="194"/>
      <c r="CO151" s="197"/>
      <c r="CP151" s="196"/>
      <c r="CQ151" s="196"/>
      <c r="CR151" s="196"/>
      <c r="CS151" s="196"/>
      <c r="CT151" s="196"/>
      <c r="CU151" s="196"/>
      <c r="CV151" s="194"/>
      <c r="CW151" s="194"/>
      <c r="CX151" s="194"/>
      <c r="CY151" s="194"/>
      <c r="CZ151" s="194"/>
      <c r="DA151" s="194"/>
      <c r="DB151" s="194"/>
      <c r="DC151" s="194"/>
      <c r="DD151" s="194"/>
      <c r="DE151" s="194"/>
      <c r="DF151" s="196"/>
      <c r="DG151" s="198"/>
      <c r="DH151" s="194"/>
      <c r="DI151" s="194"/>
    </row>
    <row r="152" spans="1:113" s="24" customFormat="1" hidden="1" x14ac:dyDescent="0.3">
      <c r="A152" s="172"/>
      <c r="B152" s="172"/>
      <c r="C152" s="172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2"/>
      <c r="AT152" s="172"/>
      <c r="AU152" s="172"/>
      <c r="AV152" s="172"/>
      <c r="AW152" s="172"/>
      <c r="AX152" s="172"/>
      <c r="AY152" s="172"/>
      <c r="AZ152" s="172"/>
      <c r="BA152" s="172"/>
      <c r="BB152" s="172"/>
      <c r="BC152" s="172"/>
      <c r="BD152" s="172"/>
      <c r="BE152" s="172"/>
      <c r="BF152" s="172"/>
      <c r="BG152" s="172"/>
      <c r="BH152" s="172"/>
      <c r="BI152" s="172"/>
      <c r="BJ152" s="172"/>
      <c r="BK152" s="172"/>
      <c r="BL152" s="172"/>
      <c r="BM152" s="172"/>
      <c r="BN152" s="172"/>
      <c r="BO152" s="172"/>
      <c r="BP152" s="172"/>
      <c r="BQ152" s="172"/>
      <c r="BR152" s="172"/>
      <c r="BS152" s="172"/>
      <c r="BT152" s="172"/>
      <c r="BU152" s="172"/>
      <c r="BV152" s="172"/>
      <c r="BW152" s="172"/>
      <c r="BX152" s="172"/>
      <c r="BY152" s="174"/>
      <c r="BZ152" s="172"/>
      <c r="CA152" s="172"/>
      <c r="CD152" s="194"/>
      <c r="CE152" s="194"/>
      <c r="CF152" s="194"/>
      <c r="CG152" s="194"/>
      <c r="CH152" s="195"/>
      <c r="CI152" s="194"/>
      <c r="CJ152" s="194"/>
      <c r="CK152" s="194"/>
      <c r="CL152" s="196"/>
      <c r="CM152" s="196"/>
      <c r="CN152" s="194"/>
      <c r="CO152" s="197"/>
      <c r="CP152" s="196"/>
      <c r="CQ152" s="196"/>
      <c r="CR152" s="196"/>
      <c r="CS152" s="196"/>
      <c r="CT152" s="196"/>
      <c r="CU152" s="196"/>
      <c r="CV152" s="194"/>
      <c r="CW152" s="194"/>
      <c r="CX152" s="194"/>
      <c r="CY152" s="194"/>
      <c r="CZ152" s="194"/>
      <c r="DA152" s="194"/>
      <c r="DB152" s="194"/>
      <c r="DC152" s="194"/>
      <c r="DD152" s="194"/>
      <c r="DE152" s="194"/>
      <c r="DF152" s="196"/>
      <c r="DG152" s="198"/>
      <c r="DH152" s="194"/>
      <c r="DI152" s="194"/>
    </row>
    <row r="153" spans="1:113" s="24" customFormat="1" hidden="1" x14ac:dyDescent="0.3">
      <c r="A153" s="172"/>
      <c r="B153" s="172"/>
      <c r="C153" s="172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2"/>
      <c r="AT153" s="172"/>
      <c r="AU153" s="172"/>
      <c r="AV153" s="172"/>
      <c r="AW153" s="172"/>
      <c r="AX153" s="172"/>
      <c r="AY153" s="172"/>
      <c r="AZ153" s="172"/>
      <c r="BA153" s="172"/>
      <c r="BB153" s="172"/>
      <c r="BC153" s="172"/>
      <c r="BD153" s="172"/>
      <c r="BE153" s="172"/>
      <c r="BF153" s="172"/>
      <c r="BG153" s="172"/>
      <c r="BH153" s="172"/>
      <c r="BI153" s="172"/>
      <c r="BJ153" s="172"/>
      <c r="BK153" s="172"/>
      <c r="BL153" s="172"/>
      <c r="BM153" s="172"/>
      <c r="BN153" s="172"/>
      <c r="BO153" s="172"/>
      <c r="BP153" s="172"/>
      <c r="BQ153" s="172"/>
      <c r="BR153" s="172"/>
      <c r="BS153" s="172"/>
      <c r="BT153" s="172"/>
      <c r="BU153" s="172"/>
      <c r="BV153" s="172"/>
      <c r="BW153" s="172"/>
      <c r="BX153" s="172"/>
      <c r="BY153" s="174"/>
      <c r="BZ153" s="172"/>
      <c r="CA153" s="172"/>
      <c r="CD153" s="194"/>
      <c r="CE153" s="194"/>
      <c r="CF153" s="194"/>
      <c r="CG153" s="194"/>
      <c r="CH153" s="195"/>
      <c r="CI153" s="194"/>
      <c r="CJ153" s="194"/>
      <c r="CK153" s="194"/>
      <c r="CL153" s="196"/>
      <c r="CM153" s="196"/>
      <c r="CN153" s="194"/>
      <c r="CO153" s="197"/>
      <c r="CP153" s="196"/>
      <c r="CQ153" s="196"/>
      <c r="CR153" s="196"/>
      <c r="CS153" s="196"/>
      <c r="CT153" s="196"/>
      <c r="CU153" s="196"/>
      <c r="CV153" s="194"/>
      <c r="CW153" s="194"/>
      <c r="CX153" s="194"/>
      <c r="CY153" s="194"/>
      <c r="CZ153" s="194"/>
      <c r="DA153" s="194"/>
      <c r="DB153" s="194"/>
      <c r="DC153" s="194"/>
      <c r="DD153" s="194"/>
      <c r="DE153" s="194"/>
      <c r="DF153" s="196"/>
      <c r="DG153" s="198"/>
      <c r="DH153" s="194"/>
      <c r="DI153" s="194"/>
    </row>
    <row r="154" spans="1:113" s="24" customFormat="1" hidden="1" x14ac:dyDescent="0.3">
      <c r="A154" s="172"/>
      <c r="B154" s="172"/>
      <c r="C154" s="172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2"/>
      <c r="AT154" s="172"/>
      <c r="AU154" s="172"/>
      <c r="AV154" s="172"/>
      <c r="AW154" s="172"/>
      <c r="AX154" s="172"/>
      <c r="AY154" s="172"/>
      <c r="AZ154" s="172"/>
      <c r="BA154" s="172"/>
      <c r="BB154" s="172"/>
      <c r="BC154" s="172"/>
      <c r="BD154" s="172"/>
      <c r="BE154" s="172"/>
      <c r="BF154" s="172"/>
      <c r="BG154" s="172"/>
      <c r="BH154" s="172"/>
      <c r="BI154" s="172"/>
      <c r="BJ154" s="172"/>
      <c r="BK154" s="172"/>
      <c r="BL154" s="172"/>
      <c r="BM154" s="172"/>
      <c r="BN154" s="172"/>
      <c r="BO154" s="172"/>
      <c r="BP154" s="172"/>
      <c r="BQ154" s="172"/>
      <c r="BR154" s="172"/>
      <c r="BS154" s="172"/>
      <c r="BT154" s="172"/>
      <c r="BU154" s="172"/>
      <c r="BV154" s="172"/>
      <c r="BW154" s="172"/>
      <c r="BX154" s="172"/>
      <c r="BY154" s="174"/>
      <c r="BZ154" s="172"/>
      <c r="CA154" s="172"/>
      <c r="CD154" s="194"/>
      <c r="CE154" s="194"/>
      <c r="CF154" s="194"/>
      <c r="CG154" s="194"/>
      <c r="CH154" s="195"/>
      <c r="CI154" s="194"/>
      <c r="CJ154" s="194"/>
      <c r="CK154" s="194"/>
      <c r="CL154" s="196"/>
      <c r="CM154" s="196"/>
      <c r="CN154" s="194"/>
      <c r="CO154" s="197"/>
      <c r="CP154" s="196"/>
      <c r="CQ154" s="196"/>
      <c r="CR154" s="196"/>
      <c r="CS154" s="196"/>
      <c r="CT154" s="196"/>
      <c r="CU154" s="196"/>
      <c r="CV154" s="194"/>
      <c r="CW154" s="194"/>
      <c r="CX154" s="194"/>
      <c r="CY154" s="194"/>
      <c r="CZ154" s="194"/>
      <c r="DA154" s="194"/>
      <c r="DB154" s="194"/>
      <c r="DC154" s="194"/>
      <c r="DD154" s="194"/>
      <c r="DE154" s="194"/>
      <c r="DF154" s="196"/>
      <c r="DG154" s="198"/>
      <c r="DH154" s="194"/>
      <c r="DI154" s="194"/>
    </row>
    <row r="155" spans="1:113" s="24" customFormat="1" hidden="1" x14ac:dyDescent="0.3">
      <c r="A155" s="172"/>
      <c r="B155" s="172"/>
      <c r="C155" s="172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2"/>
      <c r="AT155" s="172"/>
      <c r="AU155" s="172"/>
      <c r="AV155" s="172"/>
      <c r="AW155" s="172"/>
      <c r="AX155" s="172"/>
      <c r="AY155" s="172"/>
      <c r="AZ155" s="172"/>
      <c r="BA155" s="172"/>
      <c r="BB155" s="172"/>
      <c r="BC155" s="172"/>
      <c r="BD155" s="172"/>
      <c r="BE155" s="172"/>
      <c r="BF155" s="172"/>
      <c r="BG155" s="172"/>
      <c r="BH155" s="172"/>
      <c r="BI155" s="172"/>
      <c r="BJ155" s="172"/>
      <c r="BK155" s="172"/>
      <c r="BL155" s="172"/>
      <c r="BM155" s="172"/>
      <c r="BN155" s="172"/>
      <c r="BO155" s="172"/>
      <c r="BP155" s="172"/>
      <c r="BQ155" s="172"/>
      <c r="BR155" s="172"/>
      <c r="BS155" s="172"/>
      <c r="BT155" s="172"/>
      <c r="BU155" s="172"/>
      <c r="BV155" s="172"/>
      <c r="BW155" s="172"/>
      <c r="BX155" s="172"/>
      <c r="BY155" s="174"/>
      <c r="BZ155" s="172"/>
      <c r="CA155" s="172"/>
      <c r="CD155" s="194"/>
      <c r="CE155" s="194"/>
      <c r="CF155" s="194"/>
      <c r="CG155" s="194"/>
      <c r="CH155" s="195"/>
      <c r="CI155" s="194"/>
      <c r="CJ155" s="194"/>
      <c r="CK155" s="194"/>
      <c r="CL155" s="196"/>
      <c r="CM155" s="196"/>
      <c r="CN155" s="194"/>
      <c r="CO155" s="197"/>
      <c r="CP155" s="196"/>
      <c r="CQ155" s="196"/>
      <c r="CR155" s="196"/>
      <c r="CS155" s="196"/>
      <c r="CT155" s="196"/>
      <c r="CU155" s="196"/>
      <c r="CV155" s="194"/>
      <c r="CW155" s="194"/>
      <c r="CX155" s="194"/>
      <c r="CY155" s="194"/>
      <c r="CZ155" s="194"/>
      <c r="DA155" s="194"/>
      <c r="DB155" s="194"/>
      <c r="DC155" s="194"/>
      <c r="DD155" s="194"/>
      <c r="DE155" s="194"/>
      <c r="DF155" s="196"/>
      <c r="DG155" s="198"/>
      <c r="DH155" s="194"/>
      <c r="DI155" s="194"/>
    </row>
    <row r="156" spans="1:113" s="24" customFormat="1" hidden="1" x14ac:dyDescent="0.3">
      <c r="A156" s="172"/>
      <c r="B156" s="172"/>
      <c r="C156" s="172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2"/>
      <c r="AT156" s="172"/>
      <c r="AU156" s="172"/>
      <c r="AV156" s="172"/>
      <c r="AW156" s="172"/>
      <c r="AX156" s="172"/>
      <c r="AY156" s="172"/>
      <c r="AZ156" s="172"/>
      <c r="BA156" s="172"/>
      <c r="BB156" s="172"/>
      <c r="BC156" s="172"/>
      <c r="BD156" s="172"/>
      <c r="BE156" s="172"/>
      <c r="BF156" s="172"/>
      <c r="BG156" s="172"/>
      <c r="BH156" s="172"/>
      <c r="BI156" s="172"/>
      <c r="BJ156" s="172"/>
      <c r="BK156" s="172"/>
      <c r="BL156" s="172"/>
      <c r="BM156" s="172"/>
      <c r="BN156" s="172"/>
      <c r="BO156" s="172"/>
      <c r="BP156" s="172"/>
      <c r="BQ156" s="172"/>
      <c r="BR156" s="172"/>
      <c r="BS156" s="172"/>
      <c r="BT156" s="172"/>
      <c r="BU156" s="172"/>
      <c r="BV156" s="172"/>
      <c r="BW156" s="172"/>
      <c r="BX156" s="172"/>
      <c r="BY156" s="174"/>
      <c r="BZ156" s="172"/>
      <c r="CA156" s="172"/>
      <c r="CD156" s="194"/>
      <c r="CE156" s="194"/>
      <c r="CF156" s="194"/>
      <c r="CG156" s="194"/>
      <c r="CH156" s="195"/>
      <c r="CI156" s="194"/>
      <c r="CJ156" s="194"/>
      <c r="CK156" s="194"/>
      <c r="CL156" s="196"/>
      <c r="CM156" s="196"/>
      <c r="CN156" s="194"/>
      <c r="CO156" s="197"/>
      <c r="CP156" s="196"/>
      <c r="CQ156" s="196"/>
      <c r="CR156" s="196"/>
      <c r="CS156" s="196"/>
      <c r="CT156" s="196"/>
      <c r="CU156" s="196"/>
      <c r="CV156" s="194"/>
      <c r="CW156" s="194"/>
      <c r="CX156" s="194"/>
      <c r="CY156" s="194"/>
      <c r="CZ156" s="194"/>
      <c r="DA156" s="194"/>
      <c r="DB156" s="194"/>
      <c r="DC156" s="194"/>
      <c r="DD156" s="194"/>
      <c r="DE156" s="194"/>
      <c r="DF156" s="196"/>
      <c r="DG156" s="198"/>
      <c r="DH156" s="194"/>
      <c r="DI156" s="194"/>
    </row>
    <row r="157" spans="1:113" s="24" customFormat="1" hidden="1" x14ac:dyDescent="0.3">
      <c r="A157" s="172"/>
      <c r="B157" s="172"/>
      <c r="C157" s="172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2"/>
      <c r="AT157" s="172"/>
      <c r="AU157" s="172"/>
      <c r="AV157" s="172"/>
      <c r="AW157" s="172"/>
      <c r="AX157" s="172"/>
      <c r="AY157" s="172"/>
      <c r="AZ157" s="172"/>
      <c r="BA157" s="172"/>
      <c r="BB157" s="172"/>
      <c r="BC157" s="172"/>
      <c r="BD157" s="172"/>
      <c r="BE157" s="172"/>
      <c r="BF157" s="172"/>
      <c r="BG157" s="172"/>
      <c r="BH157" s="172"/>
      <c r="BI157" s="172"/>
      <c r="BJ157" s="172"/>
      <c r="BK157" s="172"/>
      <c r="BL157" s="172"/>
      <c r="BM157" s="172"/>
      <c r="BN157" s="172"/>
      <c r="BO157" s="172"/>
      <c r="BP157" s="172"/>
      <c r="BQ157" s="172"/>
      <c r="BR157" s="172"/>
      <c r="BS157" s="172"/>
      <c r="BT157" s="172"/>
      <c r="BU157" s="172"/>
      <c r="BV157" s="172"/>
      <c r="BW157" s="172"/>
      <c r="BX157" s="172"/>
      <c r="BY157" s="174"/>
      <c r="BZ157" s="172"/>
      <c r="CA157" s="172"/>
      <c r="CD157" s="194"/>
      <c r="CE157" s="194"/>
      <c r="CF157" s="194"/>
      <c r="CG157" s="194"/>
      <c r="CH157" s="195"/>
      <c r="CI157" s="194"/>
      <c r="CJ157" s="194"/>
      <c r="CK157" s="194"/>
      <c r="CL157" s="196"/>
      <c r="CM157" s="196"/>
      <c r="CN157" s="194"/>
      <c r="CO157" s="197"/>
      <c r="CP157" s="196"/>
      <c r="CQ157" s="196"/>
      <c r="CR157" s="196"/>
      <c r="CS157" s="196"/>
      <c r="CT157" s="196"/>
      <c r="CU157" s="196"/>
      <c r="CV157" s="194"/>
      <c r="CW157" s="194"/>
      <c r="CX157" s="194"/>
      <c r="CY157" s="194"/>
      <c r="CZ157" s="194"/>
      <c r="DA157" s="194"/>
      <c r="DB157" s="194"/>
      <c r="DC157" s="194"/>
      <c r="DD157" s="194"/>
      <c r="DE157" s="194"/>
      <c r="DF157" s="196"/>
      <c r="DG157" s="198"/>
      <c r="DH157" s="194"/>
      <c r="DI157" s="194"/>
    </row>
    <row r="158" spans="1:113" s="24" customFormat="1" hidden="1" x14ac:dyDescent="0.3">
      <c r="A158" s="172"/>
      <c r="B158" s="172"/>
      <c r="C158" s="172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2"/>
      <c r="AT158" s="172"/>
      <c r="AU158" s="172"/>
      <c r="AV158" s="172"/>
      <c r="AW158" s="172"/>
      <c r="AX158" s="172"/>
      <c r="AY158" s="172"/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172"/>
      <c r="BM158" s="172"/>
      <c r="BN158" s="172"/>
      <c r="BO158" s="172"/>
      <c r="BP158" s="172"/>
      <c r="BQ158" s="172"/>
      <c r="BR158" s="172"/>
      <c r="BS158" s="172"/>
      <c r="BT158" s="172"/>
      <c r="BU158" s="172"/>
      <c r="BV158" s="172"/>
      <c r="BW158" s="172"/>
      <c r="BX158" s="172"/>
      <c r="BY158" s="174"/>
      <c r="BZ158" s="172"/>
      <c r="CA158" s="172"/>
      <c r="CD158" s="194"/>
      <c r="CE158" s="194"/>
      <c r="CF158" s="194"/>
      <c r="CG158" s="194"/>
      <c r="CH158" s="195"/>
      <c r="CI158" s="194"/>
      <c r="CJ158" s="194"/>
      <c r="CK158" s="194"/>
      <c r="CL158" s="196"/>
      <c r="CM158" s="196"/>
      <c r="CN158" s="194"/>
      <c r="CO158" s="197"/>
      <c r="CP158" s="196"/>
      <c r="CQ158" s="196"/>
      <c r="CR158" s="196"/>
      <c r="CS158" s="196"/>
      <c r="CT158" s="196"/>
      <c r="CU158" s="196"/>
      <c r="CV158" s="194"/>
      <c r="CW158" s="194"/>
      <c r="CX158" s="194"/>
      <c r="CY158" s="194"/>
      <c r="CZ158" s="194"/>
      <c r="DA158" s="194"/>
      <c r="DB158" s="194"/>
      <c r="DC158" s="194"/>
      <c r="DD158" s="194"/>
      <c r="DE158" s="194"/>
      <c r="DF158" s="196"/>
      <c r="DG158" s="198"/>
      <c r="DH158" s="194"/>
      <c r="DI158" s="194"/>
    </row>
    <row r="159" spans="1:113" s="24" customFormat="1" hidden="1" x14ac:dyDescent="0.3">
      <c r="A159" s="172"/>
      <c r="B159" s="172"/>
      <c r="C159" s="172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2"/>
      <c r="AT159" s="172"/>
      <c r="AU159" s="172"/>
      <c r="AV159" s="172"/>
      <c r="AW159" s="172"/>
      <c r="AX159" s="172"/>
      <c r="AY159" s="172"/>
      <c r="AZ159" s="172"/>
      <c r="BA159" s="172"/>
      <c r="BB159" s="172"/>
      <c r="BC159" s="172"/>
      <c r="BD159" s="172"/>
      <c r="BE159" s="172"/>
      <c r="BF159" s="172"/>
      <c r="BG159" s="172"/>
      <c r="BH159" s="172"/>
      <c r="BI159" s="172"/>
      <c r="BJ159" s="172"/>
      <c r="BK159" s="172"/>
      <c r="BL159" s="172"/>
      <c r="BM159" s="172"/>
      <c r="BN159" s="172"/>
      <c r="BO159" s="172"/>
      <c r="BP159" s="172"/>
      <c r="BQ159" s="172"/>
      <c r="BR159" s="172"/>
      <c r="BS159" s="172"/>
      <c r="BT159" s="172"/>
      <c r="BU159" s="172"/>
      <c r="BV159" s="172"/>
      <c r="BW159" s="172"/>
      <c r="BX159" s="172"/>
      <c r="BY159" s="174"/>
      <c r="BZ159" s="172"/>
      <c r="CA159" s="172"/>
      <c r="CD159" s="194"/>
      <c r="CE159" s="194"/>
      <c r="CF159" s="194"/>
      <c r="CG159" s="194"/>
      <c r="CH159" s="195"/>
      <c r="CI159" s="194"/>
      <c r="CJ159" s="194"/>
      <c r="CK159" s="194"/>
      <c r="CL159" s="196"/>
      <c r="CM159" s="196"/>
      <c r="CN159" s="194"/>
      <c r="CO159" s="197"/>
      <c r="CP159" s="196"/>
      <c r="CQ159" s="196"/>
      <c r="CR159" s="196"/>
      <c r="CS159" s="196"/>
      <c r="CT159" s="196"/>
      <c r="CU159" s="196"/>
      <c r="CV159" s="194"/>
      <c r="CW159" s="194"/>
      <c r="CX159" s="194"/>
      <c r="CY159" s="194"/>
      <c r="CZ159" s="194"/>
      <c r="DA159" s="194"/>
      <c r="DB159" s="194"/>
      <c r="DC159" s="194"/>
      <c r="DD159" s="194"/>
      <c r="DE159" s="194"/>
      <c r="DF159" s="196"/>
      <c r="DG159" s="198"/>
      <c r="DH159" s="194"/>
      <c r="DI159" s="194"/>
    </row>
    <row r="160" spans="1:113" s="24" customFormat="1" hidden="1" x14ac:dyDescent="0.3">
      <c r="A160" s="172"/>
      <c r="B160" s="172"/>
      <c r="C160" s="172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2"/>
      <c r="AT160" s="172"/>
      <c r="AU160" s="172"/>
      <c r="AV160" s="172"/>
      <c r="AW160" s="172"/>
      <c r="AX160" s="172"/>
      <c r="AY160" s="172"/>
      <c r="AZ160" s="172"/>
      <c r="BA160" s="172"/>
      <c r="BB160" s="172"/>
      <c r="BC160" s="172"/>
      <c r="BD160" s="172"/>
      <c r="BE160" s="172"/>
      <c r="BF160" s="172"/>
      <c r="BG160" s="172"/>
      <c r="BH160" s="172"/>
      <c r="BI160" s="172"/>
      <c r="BJ160" s="172"/>
      <c r="BK160" s="172"/>
      <c r="BL160" s="172"/>
      <c r="BM160" s="172"/>
      <c r="BN160" s="172"/>
      <c r="BO160" s="172"/>
      <c r="BP160" s="172"/>
      <c r="BQ160" s="172"/>
      <c r="BR160" s="172"/>
      <c r="BS160" s="172"/>
      <c r="BT160" s="172"/>
      <c r="BU160" s="172"/>
      <c r="BV160" s="172"/>
      <c r="BW160" s="172"/>
      <c r="BX160" s="172"/>
      <c r="BY160" s="174"/>
      <c r="BZ160" s="172"/>
      <c r="CA160" s="172"/>
      <c r="CD160" s="194"/>
      <c r="CE160" s="194"/>
      <c r="CF160" s="194"/>
      <c r="CG160" s="194"/>
      <c r="CH160" s="195"/>
      <c r="CI160" s="194"/>
      <c r="CJ160" s="194"/>
      <c r="CK160" s="194"/>
      <c r="CL160" s="196"/>
      <c r="CM160" s="196"/>
      <c r="CN160" s="194"/>
      <c r="CO160" s="197"/>
      <c r="CP160" s="196"/>
      <c r="CQ160" s="196"/>
      <c r="CR160" s="196"/>
      <c r="CS160" s="196"/>
      <c r="CT160" s="196"/>
      <c r="CU160" s="196"/>
      <c r="CV160" s="194"/>
      <c r="CW160" s="194"/>
      <c r="CX160" s="194"/>
      <c r="CY160" s="194"/>
      <c r="CZ160" s="194"/>
      <c r="DA160" s="194"/>
      <c r="DB160" s="194"/>
      <c r="DC160" s="194"/>
      <c r="DD160" s="194"/>
      <c r="DE160" s="194"/>
      <c r="DF160" s="196"/>
      <c r="DG160" s="198"/>
      <c r="DH160" s="194"/>
      <c r="DI160" s="194"/>
    </row>
    <row r="161" spans="1:113" s="24" customFormat="1" hidden="1" x14ac:dyDescent="0.3">
      <c r="A161" s="172"/>
      <c r="B161" s="172"/>
      <c r="C161" s="172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2"/>
      <c r="AT161" s="172"/>
      <c r="AU161" s="172"/>
      <c r="AV161" s="172"/>
      <c r="AW161" s="172"/>
      <c r="AX161" s="172"/>
      <c r="AY161" s="172"/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172"/>
      <c r="BM161" s="172"/>
      <c r="BN161" s="172"/>
      <c r="BO161" s="172"/>
      <c r="BP161" s="172"/>
      <c r="BQ161" s="172"/>
      <c r="BR161" s="172"/>
      <c r="BS161" s="172"/>
      <c r="BT161" s="172"/>
      <c r="BU161" s="172"/>
      <c r="BV161" s="172"/>
      <c r="BW161" s="172"/>
      <c r="BX161" s="172"/>
      <c r="BY161" s="174"/>
      <c r="BZ161" s="172"/>
      <c r="CA161" s="172"/>
      <c r="CD161" s="194"/>
      <c r="CE161" s="194"/>
      <c r="CF161" s="194"/>
      <c r="CG161" s="194"/>
      <c r="CH161" s="195"/>
      <c r="CI161" s="194"/>
      <c r="CJ161" s="194"/>
      <c r="CK161" s="194"/>
      <c r="CL161" s="196"/>
      <c r="CM161" s="196"/>
      <c r="CN161" s="194"/>
      <c r="CO161" s="197"/>
      <c r="CP161" s="196"/>
      <c r="CQ161" s="196"/>
      <c r="CR161" s="196"/>
      <c r="CS161" s="196"/>
      <c r="CT161" s="196"/>
      <c r="CU161" s="196"/>
      <c r="CV161" s="194"/>
      <c r="CW161" s="194"/>
      <c r="CX161" s="194"/>
      <c r="CY161" s="194"/>
      <c r="CZ161" s="194"/>
      <c r="DA161" s="194"/>
      <c r="DB161" s="194"/>
      <c r="DC161" s="194"/>
      <c r="DD161" s="194"/>
      <c r="DE161" s="194"/>
      <c r="DF161" s="196"/>
      <c r="DG161" s="198"/>
      <c r="DH161" s="194"/>
      <c r="DI161" s="194"/>
    </row>
    <row r="162" spans="1:113" s="24" customFormat="1" hidden="1" x14ac:dyDescent="0.3">
      <c r="A162" s="172"/>
      <c r="B162" s="172"/>
      <c r="C162" s="172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2"/>
      <c r="AT162" s="172"/>
      <c r="AU162" s="172"/>
      <c r="AV162" s="172"/>
      <c r="AW162" s="172"/>
      <c r="AX162" s="172"/>
      <c r="AY162" s="172"/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172"/>
      <c r="BM162" s="172"/>
      <c r="BN162" s="172"/>
      <c r="BO162" s="172"/>
      <c r="BP162" s="172"/>
      <c r="BQ162" s="172"/>
      <c r="BR162" s="172"/>
      <c r="BS162" s="172"/>
      <c r="BT162" s="172"/>
      <c r="BU162" s="172"/>
      <c r="BV162" s="172"/>
      <c r="BW162" s="172"/>
      <c r="BX162" s="172"/>
      <c r="BY162" s="174"/>
      <c r="BZ162" s="172"/>
      <c r="CA162" s="172"/>
      <c r="CD162" s="194"/>
      <c r="CE162" s="194"/>
      <c r="CF162" s="194"/>
      <c r="CG162" s="194"/>
      <c r="CH162" s="195"/>
      <c r="CI162" s="194"/>
      <c r="CJ162" s="194"/>
      <c r="CK162" s="194"/>
      <c r="CL162" s="196"/>
      <c r="CM162" s="196"/>
      <c r="CN162" s="194"/>
      <c r="CO162" s="197"/>
      <c r="CP162" s="196"/>
      <c r="CQ162" s="196"/>
      <c r="CR162" s="196"/>
      <c r="CS162" s="196"/>
      <c r="CT162" s="196"/>
      <c r="CU162" s="196"/>
      <c r="CV162" s="194"/>
      <c r="CW162" s="194"/>
      <c r="CX162" s="194"/>
      <c r="CY162" s="194"/>
      <c r="CZ162" s="194"/>
      <c r="DA162" s="194"/>
      <c r="DB162" s="194"/>
      <c r="DC162" s="194"/>
      <c r="DD162" s="194"/>
      <c r="DE162" s="194"/>
      <c r="DF162" s="196"/>
      <c r="DG162" s="198"/>
      <c r="DH162" s="194"/>
      <c r="DI162" s="194"/>
    </row>
    <row r="163" spans="1:113" s="24" customFormat="1" hidden="1" x14ac:dyDescent="0.3">
      <c r="A163" s="172"/>
      <c r="B163" s="172"/>
      <c r="C163" s="172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2"/>
      <c r="AT163" s="172"/>
      <c r="AU163" s="172"/>
      <c r="AV163" s="172"/>
      <c r="AW163" s="172"/>
      <c r="AX163" s="172"/>
      <c r="AY163" s="172"/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172"/>
      <c r="BM163" s="172"/>
      <c r="BN163" s="172"/>
      <c r="BO163" s="172"/>
      <c r="BP163" s="172"/>
      <c r="BQ163" s="172"/>
      <c r="BR163" s="172"/>
      <c r="BS163" s="172"/>
      <c r="BT163" s="172"/>
      <c r="BU163" s="172"/>
      <c r="BV163" s="172"/>
      <c r="BW163" s="172"/>
      <c r="BX163" s="172"/>
      <c r="BY163" s="174"/>
      <c r="BZ163" s="172"/>
      <c r="CA163" s="172"/>
      <c r="CD163" s="194"/>
      <c r="CE163" s="194"/>
      <c r="CF163" s="194"/>
      <c r="CG163" s="194"/>
      <c r="CH163" s="195"/>
      <c r="CI163" s="194"/>
      <c r="CJ163" s="194"/>
      <c r="CK163" s="194"/>
      <c r="CL163" s="196"/>
      <c r="CM163" s="196"/>
      <c r="CN163" s="194"/>
      <c r="CO163" s="197"/>
      <c r="CP163" s="196"/>
      <c r="CQ163" s="196"/>
      <c r="CR163" s="196"/>
      <c r="CS163" s="196"/>
      <c r="CT163" s="196"/>
      <c r="CU163" s="196"/>
      <c r="CV163" s="194"/>
      <c r="CW163" s="194"/>
      <c r="CX163" s="194"/>
      <c r="CY163" s="194"/>
      <c r="CZ163" s="194"/>
      <c r="DA163" s="194"/>
      <c r="DB163" s="194"/>
      <c r="DC163" s="194"/>
      <c r="DD163" s="194"/>
      <c r="DE163" s="194"/>
      <c r="DF163" s="196"/>
      <c r="DG163" s="198"/>
      <c r="DH163" s="194"/>
      <c r="DI163" s="194"/>
    </row>
    <row r="164" spans="1:113" s="24" customFormat="1" hidden="1" x14ac:dyDescent="0.3">
      <c r="A164" s="172"/>
      <c r="B164" s="172"/>
      <c r="C164" s="172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2"/>
      <c r="AT164" s="172"/>
      <c r="AU164" s="172"/>
      <c r="AV164" s="172"/>
      <c r="AW164" s="172"/>
      <c r="AX164" s="172"/>
      <c r="AY164" s="172"/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172"/>
      <c r="BM164" s="172"/>
      <c r="BN164" s="172"/>
      <c r="BO164" s="172"/>
      <c r="BP164" s="172"/>
      <c r="BQ164" s="172"/>
      <c r="BR164" s="172"/>
      <c r="BS164" s="172"/>
      <c r="BT164" s="172"/>
      <c r="BU164" s="172"/>
      <c r="BV164" s="172"/>
      <c r="BW164" s="172"/>
      <c r="BX164" s="172"/>
      <c r="BY164" s="174"/>
      <c r="BZ164" s="172"/>
      <c r="CA164" s="172"/>
      <c r="CD164" s="194"/>
      <c r="CE164" s="194"/>
      <c r="CF164" s="194"/>
      <c r="CG164" s="194"/>
      <c r="CH164" s="195"/>
      <c r="CI164" s="194"/>
      <c r="CJ164" s="194"/>
      <c r="CK164" s="194"/>
      <c r="CL164" s="196"/>
      <c r="CM164" s="196"/>
      <c r="CN164" s="194"/>
      <c r="CO164" s="197"/>
      <c r="CP164" s="196"/>
      <c r="CQ164" s="196"/>
      <c r="CR164" s="196"/>
      <c r="CS164" s="196"/>
      <c r="CT164" s="196"/>
      <c r="CU164" s="196"/>
      <c r="CV164" s="194"/>
      <c r="CW164" s="194"/>
      <c r="CX164" s="194"/>
      <c r="CY164" s="194"/>
      <c r="CZ164" s="194"/>
      <c r="DA164" s="194"/>
      <c r="DB164" s="194"/>
      <c r="DC164" s="194"/>
      <c r="DD164" s="194"/>
      <c r="DE164" s="194"/>
      <c r="DF164" s="196"/>
      <c r="DG164" s="198"/>
      <c r="DH164" s="194"/>
      <c r="DI164" s="194"/>
    </row>
    <row r="165" spans="1:113" s="24" customFormat="1" hidden="1" x14ac:dyDescent="0.3">
      <c r="A165" s="172"/>
      <c r="B165" s="172"/>
      <c r="C165" s="172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2"/>
      <c r="AT165" s="172"/>
      <c r="AU165" s="172"/>
      <c r="AV165" s="172"/>
      <c r="AW165" s="172"/>
      <c r="AX165" s="172"/>
      <c r="AY165" s="172"/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172"/>
      <c r="BM165" s="172"/>
      <c r="BN165" s="172"/>
      <c r="BO165" s="172"/>
      <c r="BP165" s="172"/>
      <c r="BQ165" s="172"/>
      <c r="BR165" s="172"/>
      <c r="BS165" s="172"/>
      <c r="BT165" s="172"/>
      <c r="BU165" s="172"/>
      <c r="BV165" s="172"/>
      <c r="BW165" s="172"/>
      <c r="BX165" s="172"/>
      <c r="BY165" s="174"/>
      <c r="BZ165" s="172"/>
      <c r="CA165" s="172"/>
      <c r="CD165" s="194"/>
      <c r="CE165" s="194"/>
      <c r="CF165" s="194"/>
      <c r="CG165" s="194"/>
      <c r="CH165" s="195"/>
      <c r="CI165" s="194"/>
      <c r="CJ165" s="194"/>
      <c r="CK165" s="194"/>
      <c r="CL165" s="196"/>
      <c r="CM165" s="196"/>
      <c r="CN165" s="194"/>
      <c r="CO165" s="197"/>
      <c r="CP165" s="196"/>
      <c r="CQ165" s="196"/>
      <c r="CR165" s="196"/>
      <c r="CS165" s="196"/>
      <c r="CT165" s="196"/>
      <c r="CU165" s="196"/>
      <c r="CV165" s="194"/>
      <c r="CW165" s="194"/>
      <c r="CX165" s="194"/>
      <c r="CY165" s="194"/>
      <c r="CZ165" s="194"/>
      <c r="DA165" s="194"/>
      <c r="DB165" s="194"/>
      <c r="DC165" s="194"/>
      <c r="DD165" s="194"/>
      <c r="DE165" s="194"/>
      <c r="DF165" s="196"/>
      <c r="DG165" s="198"/>
      <c r="DH165" s="194"/>
      <c r="DI165" s="194"/>
    </row>
    <row r="166" spans="1:113" s="24" customFormat="1" hidden="1" x14ac:dyDescent="0.3">
      <c r="A166" s="172"/>
      <c r="B166" s="172"/>
      <c r="C166" s="172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2"/>
      <c r="AT166" s="172"/>
      <c r="AU166" s="172"/>
      <c r="AV166" s="172"/>
      <c r="AW166" s="172"/>
      <c r="AX166" s="172"/>
      <c r="AY166" s="172"/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172"/>
      <c r="BM166" s="172"/>
      <c r="BN166" s="172"/>
      <c r="BO166" s="172"/>
      <c r="BP166" s="172"/>
      <c r="BQ166" s="172"/>
      <c r="BR166" s="172"/>
      <c r="BS166" s="172"/>
      <c r="BT166" s="172"/>
      <c r="BU166" s="172"/>
      <c r="BV166" s="172"/>
      <c r="BW166" s="172"/>
      <c r="BX166" s="172"/>
      <c r="BY166" s="174"/>
      <c r="BZ166" s="172"/>
      <c r="CA166" s="172"/>
      <c r="CD166" s="194"/>
      <c r="CE166" s="194"/>
      <c r="CF166" s="194"/>
      <c r="CG166" s="194"/>
      <c r="CH166" s="195"/>
      <c r="CI166" s="194"/>
      <c r="CJ166" s="194"/>
      <c r="CK166" s="194"/>
      <c r="CL166" s="196"/>
      <c r="CM166" s="196"/>
      <c r="CN166" s="194"/>
      <c r="CO166" s="197"/>
      <c r="CP166" s="196"/>
      <c r="CQ166" s="196"/>
      <c r="CR166" s="196"/>
      <c r="CS166" s="196"/>
      <c r="CT166" s="196"/>
      <c r="CU166" s="196"/>
      <c r="CV166" s="194"/>
      <c r="CW166" s="194"/>
      <c r="CX166" s="194"/>
      <c r="CY166" s="194"/>
      <c r="CZ166" s="194"/>
      <c r="DA166" s="194"/>
      <c r="DB166" s="194"/>
      <c r="DC166" s="194"/>
      <c r="DD166" s="194"/>
      <c r="DE166" s="194"/>
      <c r="DF166" s="196"/>
      <c r="DG166" s="198"/>
      <c r="DH166" s="194"/>
      <c r="DI166" s="194"/>
    </row>
    <row r="167" spans="1:113" s="24" customFormat="1" hidden="1" x14ac:dyDescent="0.3">
      <c r="A167" s="172"/>
      <c r="B167" s="172"/>
      <c r="C167" s="172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2"/>
      <c r="AT167" s="172"/>
      <c r="AU167" s="172"/>
      <c r="AV167" s="172"/>
      <c r="AW167" s="172"/>
      <c r="AX167" s="172"/>
      <c r="AY167" s="172"/>
      <c r="AZ167" s="172"/>
      <c r="BA167" s="172"/>
      <c r="BB167" s="172"/>
      <c r="BC167" s="172"/>
      <c r="BD167" s="172"/>
      <c r="BE167" s="172"/>
      <c r="BF167" s="172"/>
      <c r="BG167" s="172"/>
      <c r="BH167" s="172"/>
      <c r="BI167" s="172"/>
      <c r="BJ167" s="172"/>
      <c r="BK167" s="172"/>
      <c r="BL167" s="172"/>
      <c r="BM167" s="172"/>
      <c r="BN167" s="172"/>
      <c r="BO167" s="172"/>
      <c r="BP167" s="172"/>
      <c r="BQ167" s="172"/>
      <c r="BR167" s="172"/>
      <c r="BS167" s="172"/>
      <c r="BT167" s="172"/>
      <c r="BU167" s="172"/>
      <c r="BV167" s="172"/>
      <c r="BW167" s="172"/>
      <c r="BX167" s="172"/>
      <c r="BY167" s="174"/>
      <c r="BZ167" s="172"/>
      <c r="CA167" s="172"/>
      <c r="CD167" s="194"/>
      <c r="CE167" s="194"/>
      <c r="CF167" s="194"/>
      <c r="CG167" s="194"/>
      <c r="CH167" s="195"/>
      <c r="CI167" s="194"/>
      <c r="CJ167" s="194"/>
      <c r="CK167" s="194"/>
      <c r="CL167" s="196"/>
      <c r="CM167" s="196"/>
      <c r="CN167" s="194"/>
      <c r="CO167" s="197"/>
      <c r="CP167" s="196"/>
      <c r="CQ167" s="196"/>
      <c r="CR167" s="196"/>
      <c r="CS167" s="196"/>
      <c r="CT167" s="196"/>
      <c r="CU167" s="196"/>
      <c r="CV167" s="194"/>
      <c r="CW167" s="194"/>
      <c r="CX167" s="194"/>
      <c r="CY167" s="194"/>
      <c r="CZ167" s="194"/>
      <c r="DA167" s="194"/>
      <c r="DB167" s="194"/>
      <c r="DC167" s="194"/>
      <c r="DD167" s="194"/>
      <c r="DE167" s="194"/>
      <c r="DF167" s="196"/>
      <c r="DG167" s="198"/>
      <c r="DH167" s="194"/>
      <c r="DI167" s="194"/>
    </row>
    <row r="168" spans="1:113" s="24" customFormat="1" hidden="1" x14ac:dyDescent="0.3">
      <c r="A168" s="172"/>
      <c r="B168" s="172"/>
      <c r="C168" s="172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2"/>
      <c r="AT168" s="172"/>
      <c r="AU168" s="172"/>
      <c r="AV168" s="172"/>
      <c r="AW168" s="172"/>
      <c r="AX168" s="172"/>
      <c r="AY168" s="172"/>
      <c r="AZ168" s="172"/>
      <c r="BA168" s="172"/>
      <c r="BB168" s="172"/>
      <c r="BC168" s="172"/>
      <c r="BD168" s="172"/>
      <c r="BE168" s="172"/>
      <c r="BF168" s="172"/>
      <c r="BG168" s="172"/>
      <c r="BH168" s="172"/>
      <c r="BI168" s="172"/>
      <c r="BJ168" s="172"/>
      <c r="BK168" s="172"/>
      <c r="BL168" s="172"/>
      <c r="BM168" s="172"/>
      <c r="BN168" s="172"/>
      <c r="BO168" s="172"/>
      <c r="BP168" s="172"/>
      <c r="BQ168" s="172"/>
      <c r="BR168" s="172"/>
      <c r="BS168" s="172"/>
      <c r="BT168" s="172"/>
      <c r="BU168" s="172"/>
      <c r="BV168" s="172"/>
      <c r="BW168" s="172"/>
      <c r="BX168" s="172"/>
      <c r="BY168" s="174"/>
      <c r="BZ168" s="172"/>
      <c r="CA168" s="172"/>
      <c r="CD168" s="194"/>
      <c r="CE168" s="194"/>
      <c r="CF168" s="194"/>
      <c r="CG168" s="194"/>
      <c r="CH168" s="195"/>
      <c r="CI168" s="194"/>
      <c r="CJ168" s="194"/>
      <c r="CK168" s="194"/>
      <c r="CL168" s="196"/>
      <c r="CM168" s="196"/>
      <c r="CN168" s="194"/>
      <c r="CO168" s="197"/>
      <c r="CP168" s="196"/>
      <c r="CQ168" s="196"/>
      <c r="CR168" s="196"/>
      <c r="CS168" s="196"/>
      <c r="CT168" s="196"/>
      <c r="CU168" s="196"/>
      <c r="CV168" s="194"/>
      <c r="CW168" s="194"/>
      <c r="CX168" s="194"/>
      <c r="CY168" s="194"/>
      <c r="CZ168" s="194"/>
      <c r="DA168" s="194"/>
      <c r="DB168" s="194"/>
      <c r="DC168" s="194"/>
      <c r="DD168" s="194"/>
      <c r="DE168" s="194"/>
      <c r="DF168" s="196"/>
      <c r="DG168" s="198"/>
      <c r="DH168" s="194"/>
      <c r="DI168" s="194"/>
    </row>
    <row r="169" spans="1:113" s="24" customFormat="1" hidden="1" x14ac:dyDescent="0.3">
      <c r="A169" s="172"/>
      <c r="B169" s="172"/>
      <c r="C169" s="172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2"/>
      <c r="AT169" s="172"/>
      <c r="AU169" s="172"/>
      <c r="AV169" s="172"/>
      <c r="AW169" s="172"/>
      <c r="AX169" s="172"/>
      <c r="AY169" s="172"/>
      <c r="AZ169" s="172"/>
      <c r="BA169" s="172"/>
      <c r="BB169" s="172"/>
      <c r="BC169" s="172"/>
      <c r="BD169" s="172"/>
      <c r="BE169" s="172"/>
      <c r="BF169" s="172"/>
      <c r="BG169" s="172"/>
      <c r="BH169" s="172"/>
      <c r="BI169" s="172"/>
      <c r="BJ169" s="172"/>
      <c r="BK169" s="172"/>
      <c r="BL169" s="172"/>
      <c r="BM169" s="172"/>
      <c r="BN169" s="172"/>
      <c r="BO169" s="172"/>
      <c r="BP169" s="172"/>
      <c r="BQ169" s="172"/>
      <c r="BR169" s="172"/>
      <c r="BS169" s="172"/>
      <c r="BT169" s="172"/>
      <c r="BU169" s="172"/>
      <c r="BV169" s="172"/>
      <c r="BW169" s="172"/>
      <c r="BX169" s="172"/>
      <c r="BY169" s="174"/>
      <c r="BZ169" s="172"/>
      <c r="CA169" s="172"/>
      <c r="CD169" s="194"/>
      <c r="CE169" s="194"/>
      <c r="CF169" s="194"/>
      <c r="CG169" s="194"/>
      <c r="CH169" s="195"/>
      <c r="CI169" s="194"/>
      <c r="CJ169" s="194"/>
      <c r="CK169" s="194"/>
      <c r="CL169" s="196"/>
      <c r="CM169" s="196"/>
      <c r="CN169" s="194"/>
      <c r="CO169" s="197"/>
      <c r="CP169" s="196"/>
      <c r="CQ169" s="196"/>
      <c r="CR169" s="196"/>
      <c r="CS169" s="196"/>
      <c r="CT169" s="196"/>
      <c r="CU169" s="196"/>
      <c r="CV169" s="194"/>
      <c r="CW169" s="194"/>
      <c r="CX169" s="194"/>
      <c r="CY169" s="194"/>
      <c r="CZ169" s="194"/>
      <c r="DA169" s="194"/>
      <c r="DB169" s="194"/>
      <c r="DC169" s="194"/>
      <c r="DD169" s="194"/>
      <c r="DE169" s="194"/>
      <c r="DF169" s="196"/>
      <c r="DG169" s="198"/>
      <c r="DH169" s="194"/>
      <c r="DI169" s="194"/>
    </row>
    <row r="170" spans="1:113" s="24" customFormat="1" hidden="1" x14ac:dyDescent="0.3">
      <c r="A170" s="172"/>
      <c r="B170" s="172"/>
      <c r="C170" s="172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2"/>
      <c r="AT170" s="172"/>
      <c r="AU170" s="172"/>
      <c r="AV170" s="172"/>
      <c r="AW170" s="172"/>
      <c r="AX170" s="172"/>
      <c r="AY170" s="172"/>
      <c r="AZ170" s="172"/>
      <c r="BA170" s="172"/>
      <c r="BB170" s="172"/>
      <c r="BC170" s="172"/>
      <c r="BD170" s="172"/>
      <c r="BE170" s="172"/>
      <c r="BF170" s="172"/>
      <c r="BG170" s="172"/>
      <c r="BH170" s="172"/>
      <c r="BI170" s="172"/>
      <c r="BJ170" s="172"/>
      <c r="BK170" s="172"/>
      <c r="BL170" s="172"/>
      <c r="BM170" s="172"/>
      <c r="BN170" s="172"/>
      <c r="BO170" s="172"/>
      <c r="BP170" s="172"/>
      <c r="BQ170" s="172"/>
      <c r="BR170" s="172"/>
      <c r="BS170" s="172"/>
      <c r="BT170" s="172"/>
      <c r="BU170" s="172"/>
      <c r="BV170" s="172"/>
      <c r="BW170" s="172"/>
      <c r="BX170" s="172"/>
      <c r="BY170" s="174"/>
      <c r="BZ170" s="172"/>
      <c r="CA170" s="172"/>
      <c r="CD170" s="194"/>
      <c r="CE170" s="194"/>
      <c r="CF170" s="194"/>
      <c r="CG170" s="194"/>
      <c r="CH170" s="195"/>
      <c r="CI170" s="194"/>
      <c r="CJ170" s="194"/>
      <c r="CK170" s="194"/>
      <c r="CL170" s="196"/>
      <c r="CM170" s="196"/>
      <c r="CN170" s="194"/>
      <c r="CO170" s="197"/>
      <c r="CP170" s="196"/>
      <c r="CQ170" s="196"/>
      <c r="CR170" s="196"/>
      <c r="CS170" s="196"/>
      <c r="CT170" s="196"/>
      <c r="CU170" s="196"/>
      <c r="CV170" s="194"/>
      <c r="CW170" s="194"/>
      <c r="CX170" s="194"/>
      <c r="CY170" s="194"/>
      <c r="CZ170" s="194"/>
      <c r="DA170" s="194"/>
      <c r="DB170" s="194"/>
      <c r="DC170" s="194"/>
      <c r="DD170" s="194"/>
      <c r="DE170" s="194"/>
      <c r="DF170" s="196"/>
      <c r="DG170" s="198"/>
      <c r="DH170" s="194"/>
      <c r="DI170" s="194"/>
    </row>
    <row r="171" spans="1:113" s="24" customFormat="1" hidden="1" x14ac:dyDescent="0.3">
      <c r="A171" s="172"/>
      <c r="B171" s="172"/>
      <c r="C171" s="172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2"/>
      <c r="AT171" s="172"/>
      <c r="AU171" s="172"/>
      <c r="AV171" s="172"/>
      <c r="AW171" s="172"/>
      <c r="AX171" s="172"/>
      <c r="AY171" s="172"/>
      <c r="AZ171" s="172"/>
      <c r="BA171" s="172"/>
      <c r="BB171" s="172"/>
      <c r="BC171" s="172"/>
      <c r="BD171" s="172"/>
      <c r="BE171" s="172"/>
      <c r="BF171" s="172"/>
      <c r="BG171" s="172"/>
      <c r="BH171" s="172"/>
      <c r="BI171" s="172"/>
      <c r="BJ171" s="172"/>
      <c r="BK171" s="172"/>
      <c r="BL171" s="172"/>
      <c r="BM171" s="172"/>
      <c r="BN171" s="172"/>
      <c r="BO171" s="172"/>
      <c r="BP171" s="172"/>
      <c r="BQ171" s="172"/>
      <c r="BR171" s="172"/>
      <c r="BS171" s="172"/>
      <c r="BT171" s="172"/>
      <c r="BU171" s="172"/>
      <c r="BV171" s="172"/>
      <c r="BW171" s="172"/>
      <c r="BX171" s="172"/>
      <c r="BY171" s="174"/>
      <c r="BZ171" s="172"/>
      <c r="CA171" s="172"/>
      <c r="CD171" s="194"/>
      <c r="CE171" s="194"/>
      <c r="CF171" s="194"/>
      <c r="CG171" s="194"/>
      <c r="CH171" s="195"/>
      <c r="CI171" s="194"/>
      <c r="CJ171" s="194"/>
      <c r="CK171" s="194"/>
      <c r="CL171" s="196"/>
      <c r="CM171" s="196"/>
      <c r="CN171" s="194"/>
      <c r="CO171" s="197"/>
      <c r="CP171" s="196"/>
      <c r="CQ171" s="196"/>
      <c r="CR171" s="196"/>
      <c r="CS171" s="196"/>
      <c r="CT171" s="196"/>
      <c r="CU171" s="196"/>
      <c r="CV171" s="194"/>
      <c r="CW171" s="194"/>
      <c r="CX171" s="194"/>
      <c r="CY171" s="194"/>
      <c r="CZ171" s="194"/>
      <c r="DA171" s="194"/>
      <c r="DB171" s="194"/>
      <c r="DC171" s="194"/>
      <c r="DD171" s="194"/>
      <c r="DE171" s="194"/>
      <c r="DF171" s="196"/>
      <c r="DG171" s="198"/>
      <c r="DH171" s="194"/>
      <c r="DI171" s="194"/>
    </row>
    <row r="172" spans="1:113" s="24" customFormat="1" hidden="1" x14ac:dyDescent="0.3">
      <c r="A172" s="172"/>
      <c r="B172" s="172"/>
      <c r="C172" s="172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2"/>
      <c r="AT172" s="172"/>
      <c r="AU172" s="172"/>
      <c r="AV172" s="172"/>
      <c r="AW172" s="172"/>
      <c r="AX172" s="172"/>
      <c r="AY172" s="172"/>
      <c r="AZ172" s="172"/>
      <c r="BA172" s="172"/>
      <c r="BB172" s="172"/>
      <c r="BC172" s="172"/>
      <c r="BD172" s="172"/>
      <c r="BE172" s="172"/>
      <c r="BF172" s="172"/>
      <c r="BG172" s="172"/>
      <c r="BH172" s="172"/>
      <c r="BI172" s="172"/>
      <c r="BJ172" s="172"/>
      <c r="BK172" s="172"/>
      <c r="BL172" s="172"/>
      <c r="BM172" s="172"/>
      <c r="BN172" s="172"/>
      <c r="BO172" s="172"/>
      <c r="BP172" s="172"/>
      <c r="BQ172" s="172"/>
      <c r="BR172" s="172"/>
      <c r="BS172" s="172"/>
      <c r="BT172" s="172"/>
      <c r="BU172" s="172"/>
      <c r="BV172" s="172"/>
      <c r="BW172" s="172"/>
      <c r="BX172" s="172"/>
      <c r="BY172" s="174"/>
      <c r="BZ172" s="172"/>
      <c r="CA172" s="172"/>
      <c r="CD172" s="194"/>
      <c r="CE172" s="194"/>
      <c r="CF172" s="194"/>
      <c r="CG172" s="194"/>
      <c r="CH172" s="195"/>
      <c r="CI172" s="194"/>
      <c r="CJ172" s="194"/>
      <c r="CK172" s="194"/>
      <c r="CL172" s="196"/>
      <c r="CM172" s="196"/>
      <c r="CN172" s="194"/>
      <c r="CO172" s="197"/>
      <c r="CP172" s="196"/>
      <c r="CQ172" s="196"/>
      <c r="CR172" s="196"/>
      <c r="CS172" s="196"/>
      <c r="CT172" s="196"/>
      <c r="CU172" s="196"/>
      <c r="CV172" s="194"/>
      <c r="CW172" s="194"/>
      <c r="CX172" s="194"/>
      <c r="CY172" s="194"/>
      <c r="CZ172" s="194"/>
      <c r="DA172" s="194"/>
      <c r="DB172" s="194"/>
      <c r="DC172" s="194"/>
      <c r="DD172" s="194"/>
      <c r="DE172" s="194"/>
      <c r="DF172" s="196"/>
      <c r="DG172" s="198"/>
      <c r="DH172" s="194"/>
      <c r="DI172" s="194"/>
    </row>
    <row r="173" spans="1:113" s="24" customFormat="1" hidden="1" x14ac:dyDescent="0.3">
      <c r="A173" s="172"/>
      <c r="B173" s="172"/>
      <c r="C173" s="172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2"/>
      <c r="AT173" s="172"/>
      <c r="AU173" s="172"/>
      <c r="AV173" s="172"/>
      <c r="AW173" s="172"/>
      <c r="AX173" s="172"/>
      <c r="AY173" s="172"/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172"/>
      <c r="BM173" s="172"/>
      <c r="BN173" s="172"/>
      <c r="BO173" s="172"/>
      <c r="BP173" s="172"/>
      <c r="BQ173" s="172"/>
      <c r="BR173" s="172"/>
      <c r="BS173" s="172"/>
      <c r="BT173" s="172"/>
      <c r="BU173" s="172"/>
      <c r="BV173" s="172"/>
      <c r="BW173" s="172"/>
      <c r="BX173" s="172"/>
      <c r="BY173" s="174"/>
      <c r="BZ173" s="172"/>
      <c r="CA173" s="172"/>
      <c r="CD173" s="194"/>
      <c r="CE173" s="194"/>
      <c r="CF173" s="194"/>
      <c r="CG173" s="194"/>
      <c r="CH173" s="195"/>
      <c r="CI173" s="194"/>
      <c r="CJ173" s="194"/>
      <c r="CK173" s="194"/>
      <c r="CL173" s="196"/>
      <c r="CM173" s="196"/>
      <c r="CN173" s="194"/>
      <c r="CO173" s="197"/>
      <c r="CP173" s="196"/>
      <c r="CQ173" s="196"/>
      <c r="CR173" s="196"/>
      <c r="CS173" s="196"/>
      <c r="CT173" s="196"/>
      <c r="CU173" s="196"/>
      <c r="CV173" s="194"/>
      <c r="CW173" s="194"/>
      <c r="CX173" s="194"/>
      <c r="CY173" s="194"/>
      <c r="CZ173" s="194"/>
      <c r="DA173" s="194"/>
      <c r="DB173" s="194"/>
      <c r="DC173" s="194"/>
      <c r="DD173" s="194"/>
      <c r="DE173" s="194"/>
      <c r="DF173" s="196"/>
      <c r="DG173" s="198"/>
      <c r="DH173" s="194"/>
      <c r="DI173" s="194"/>
    </row>
    <row r="174" spans="1:113" s="24" customFormat="1" hidden="1" x14ac:dyDescent="0.3">
      <c r="A174" s="172"/>
      <c r="B174" s="172"/>
      <c r="C174" s="172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2"/>
      <c r="AT174" s="172"/>
      <c r="AU174" s="172"/>
      <c r="AV174" s="172"/>
      <c r="AW174" s="172"/>
      <c r="AX174" s="172"/>
      <c r="AY174" s="172"/>
      <c r="AZ174" s="172"/>
      <c r="BA174" s="172"/>
      <c r="BB174" s="172"/>
      <c r="BC174" s="172"/>
      <c r="BD174" s="172"/>
      <c r="BE174" s="172"/>
      <c r="BF174" s="172"/>
      <c r="BG174" s="172"/>
      <c r="BH174" s="172"/>
      <c r="BI174" s="172"/>
      <c r="BJ174" s="172"/>
      <c r="BK174" s="172"/>
      <c r="BL174" s="172"/>
      <c r="BM174" s="172"/>
      <c r="BN174" s="172"/>
      <c r="BO174" s="172"/>
      <c r="BP174" s="172"/>
      <c r="BQ174" s="172"/>
      <c r="BR174" s="172"/>
      <c r="BS174" s="172"/>
      <c r="BT174" s="172"/>
      <c r="BU174" s="172"/>
      <c r="BV174" s="172"/>
      <c r="BW174" s="172"/>
      <c r="BX174" s="172"/>
      <c r="BY174" s="174"/>
      <c r="BZ174" s="172"/>
      <c r="CA174" s="172"/>
      <c r="CD174" s="194"/>
      <c r="CE174" s="194"/>
      <c r="CF174" s="194"/>
      <c r="CG174" s="194"/>
      <c r="CH174" s="195"/>
      <c r="CI174" s="194"/>
      <c r="CJ174" s="194"/>
      <c r="CK174" s="194"/>
      <c r="CL174" s="196"/>
      <c r="CM174" s="196"/>
      <c r="CN174" s="194"/>
      <c r="CO174" s="197"/>
      <c r="CP174" s="196"/>
      <c r="CQ174" s="196"/>
      <c r="CR174" s="196"/>
      <c r="CS174" s="196"/>
      <c r="CT174" s="196"/>
      <c r="CU174" s="196"/>
      <c r="CV174" s="194"/>
      <c r="CW174" s="194"/>
      <c r="CX174" s="194"/>
      <c r="CY174" s="194"/>
      <c r="CZ174" s="194"/>
      <c r="DA174" s="194"/>
      <c r="DB174" s="194"/>
      <c r="DC174" s="194"/>
      <c r="DD174" s="194"/>
      <c r="DE174" s="194"/>
      <c r="DF174" s="196"/>
      <c r="DG174" s="198"/>
      <c r="DH174" s="194"/>
      <c r="DI174" s="194"/>
    </row>
    <row r="175" spans="1:113" s="24" customFormat="1" hidden="1" x14ac:dyDescent="0.3">
      <c r="A175" s="172"/>
      <c r="B175" s="172"/>
      <c r="C175" s="172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2"/>
      <c r="AT175" s="172"/>
      <c r="AU175" s="172"/>
      <c r="AV175" s="172"/>
      <c r="AW175" s="172"/>
      <c r="AX175" s="172"/>
      <c r="AY175" s="172"/>
      <c r="AZ175" s="172"/>
      <c r="BA175" s="172"/>
      <c r="BB175" s="172"/>
      <c r="BC175" s="172"/>
      <c r="BD175" s="172"/>
      <c r="BE175" s="172"/>
      <c r="BF175" s="172"/>
      <c r="BG175" s="172"/>
      <c r="BH175" s="172"/>
      <c r="BI175" s="172"/>
      <c r="BJ175" s="172"/>
      <c r="BK175" s="172"/>
      <c r="BL175" s="172"/>
      <c r="BM175" s="172"/>
      <c r="BN175" s="172"/>
      <c r="BO175" s="172"/>
      <c r="BP175" s="172"/>
      <c r="BQ175" s="172"/>
      <c r="BR175" s="172"/>
      <c r="BS175" s="172"/>
      <c r="BT175" s="172"/>
      <c r="BU175" s="172"/>
      <c r="BV175" s="172"/>
      <c r="BW175" s="172"/>
      <c r="BX175" s="172"/>
      <c r="BY175" s="174"/>
      <c r="BZ175" s="172"/>
      <c r="CA175" s="172"/>
      <c r="CD175" s="194"/>
      <c r="CE175" s="194"/>
      <c r="CF175" s="194"/>
      <c r="CG175" s="194"/>
      <c r="CH175" s="195"/>
      <c r="CI175" s="194"/>
      <c r="CJ175" s="194"/>
      <c r="CK175" s="194"/>
      <c r="CL175" s="196"/>
      <c r="CM175" s="196"/>
      <c r="CN175" s="194"/>
      <c r="CO175" s="197"/>
      <c r="CP175" s="196"/>
      <c r="CQ175" s="196"/>
      <c r="CR175" s="196"/>
      <c r="CS175" s="196"/>
      <c r="CT175" s="196"/>
      <c r="CU175" s="196"/>
      <c r="CV175" s="194"/>
      <c r="CW175" s="194"/>
      <c r="CX175" s="194"/>
      <c r="CY175" s="194"/>
      <c r="CZ175" s="194"/>
      <c r="DA175" s="194"/>
      <c r="DB175" s="194"/>
      <c r="DC175" s="194"/>
      <c r="DD175" s="194"/>
      <c r="DE175" s="194"/>
      <c r="DF175" s="196"/>
      <c r="DG175" s="198"/>
      <c r="DH175" s="194"/>
      <c r="DI175" s="194"/>
    </row>
    <row r="176" spans="1:113" s="24" customFormat="1" hidden="1" x14ac:dyDescent="0.3">
      <c r="A176" s="172"/>
      <c r="B176" s="172"/>
      <c r="C176" s="172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2"/>
      <c r="AT176" s="172"/>
      <c r="AU176" s="172"/>
      <c r="AV176" s="172"/>
      <c r="AW176" s="172"/>
      <c r="AX176" s="172"/>
      <c r="AY176" s="172"/>
      <c r="AZ176" s="172"/>
      <c r="BA176" s="172"/>
      <c r="BB176" s="172"/>
      <c r="BC176" s="172"/>
      <c r="BD176" s="172"/>
      <c r="BE176" s="172"/>
      <c r="BF176" s="172"/>
      <c r="BG176" s="172"/>
      <c r="BH176" s="172"/>
      <c r="BI176" s="172"/>
      <c r="BJ176" s="172"/>
      <c r="BK176" s="172"/>
      <c r="BL176" s="172"/>
      <c r="BM176" s="172"/>
      <c r="BN176" s="172"/>
      <c r="BO176" s="172"/>
      <c r="BP176" s="172"/>
      <c r="BQ176" s="172"/>
      <c r="BR176" s="172"/>
      <c r="BS176" s="172"/>
      <c r="BT176" s="172"/>
      <c r="BU176" s="172"/>
      <c r="BV176" s="172"/>
      <c r="BW176" s="172"/>
      <c r="BX176" s="172"/>
      <c r="BY176" s="174"/>
      <c r="BZ176" s="172"/>
      <c r="CA176" s="172"/>
      <c r="CD176" s="194"/>
      <c r="CE176" s="194"/>
      <c r="CF176" s="194"/>
      <c r="CG176" s="194"/>
      <c r="CH176" s="195"/>
      <c r="CI176" s="194"/>
      <c r="CJ176" s="194"/>
      <c r="CK176" s="194"/>
      <c r="CL176" s="196"/>
      <c r="CM176" s="196"/>
      <c r="CN176" s="194"/>
      <c r="CO176" s="197"/>
      <c r="CP176" s="196"/>
      <c r="CQ176" s="196"/>
      <c r="CR176" s="196"/>
      <c r="CS176" s="196"/>
      <c r="CT176" s="196"/>
      <c r="CU176" s="196"/>
      <c r="CV176" s="194"/>
      <c r="CW176" s="194"/>
      <c r="CX176" s="194"/>
      <c r="CY176" s="194"/>
      <c r="CZ176" s="194"/>
      <c r="DA176" s="194"/>
      <c r="DB176" s="194"/>
      <c r="DC176" s="194"/>
      <c r="DD176" s="194"/>
      <c r="DE176" s="194"/>
      <c r="DF176" s="196"/>
      <c r="DG176" s="198"/>
      <c r="DH176" s="194"/>
      <c r="DI176" s="194"/>
    </row>
    <row r="177" spans="1:113" s="24" customFormat="1" hidden="1" x14ac:dyDescent="0.3">
      <c r="A177" s="172"/>
      <c r="B177" s="172"/>
      <c r="C177" s="172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2"/>
      <c r="AT177" s="172"/>
      <c r="AU177" s="172"/>
      <c r="AV177" s="172"/>
      <c r="AW177" s="172"/>
      <c r="AX177" s="172"/>
      <c r="AY177" s="172"/>
      <c r="AZ177" s="172"/>
      <c r="BA177" s="172"/>
      <c r="BB177" s="172"/>
      <c r="BC177" s="172"/>
      <c r="BD177" s="172"/>
      <c r="BE177" s="172"/>
      <c r="BF177" s="172"/>
      <c r="BG177" s="172"/>
      <c r="BH177" s="172"/>
      <c r="BI177" s="172"/>
      <c r="BJ177" s="172"/>
      <c r="BK177" s="172"/>
      <c r="BL177" s="172"/>
      <c r="BM177" s="172"/>
      <c r="BN177" s="172"/>
      <c r="BO177" s="172"/>
      <c r="BP177" s="172"/>
      <c r="BQ177" s="172"/>
      <c r="BR177" s="172"/>
      <c r="BS177" s="172"/>
      <c r="BT177" s="172"/>
      <c r="BU177" s="172"/>
      <c r="BV177" s="172"/>
      <c r="BW177" s="172"/>
      <c r="BX177" s="172"/>
      <c r="BY177" s="174"/>
      <c r="BZ177" s="172"/>
      <c r="CA177" s="172"/>
      <c r="CD177" s="194"/>
      <c r="CE177" s="194"/>
      <c r="CF177" s="194"/>
      <c r="CG177" s="194"/>
      <c r="CH177" s="195"/>
      <c r="CI177" s="194"/>
      <c r="CJ177" s="194"/>
      <c r="CK177" s="194"/>
      <c r="CL177" s="196"/>
      <c r="CM177" s="196"/>
      <c r="CN177" s="194"/>
      <c r="CO177" s="197"/>
      <c r="CP177" s="196"/>
      <c r="CQ177" s="196"/>
      <c r="CR177" s="196"/>
      <c r="CS177" s="196"/>
      <c r="CT177" s="196"/>
      <c r="CU177" s="196"/>
      <c r="CV177" s="194"/>
      <c r="CW177" s="194"/>
      <c r="CX177" s="194"/>
      <c r="CY177" s="194"/>
      <c r="CZ177" s="194"/>
      <c r="DA177" s="194"/>
      <c r="DB177" s="194"/>
      <c r="DC177" s="194"/>
      <c r="DD177" s="194"/>
      <c r="DE177" s="194"/>
      <c r="DF177" s="196"/>
      <c r="DG177" s="198"/>
      <c r="DH177" s="194"/>
      <c r="DI177" s="194"/>
    </row>
    <row r="178" spans="1:113" s="24" customFormat="1" hidden="1" x14ac:dyDescent="0.3">
      <c r="A178" s="172"/>
      <c r="B178" s="172"/>
      <c r="C178" s="172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2"/>
      <c r="AT178" s="172"/>
      <c r="AU178" s="172"/>
      <c r="AV178" s="172"/>
      <c r="AW178" s="172"/>
      <c r="AX178" s="172"/>
      <c r="AY178" s="172"/>
      <c r="AZ178" s="172"/>
      <c r="BA178" s="172"/>
      <c r="BB178" s="172"/>
      <c r="BC178" s="172"/>
      <c r="BD178" s="172"/>
      <c r="BE178" s="172"/>
      <c r="BF178" s="172"/>
      <c r="BG178" s="172"/>
      <c r="BH178" s="172"/>
      <c r="BI178" s="172"/>
      <c r="BJ178" s="172"/>
      <c r="BK178" s="172"/>
      <c r="BL178" s="172"/>
      <c r="BM178" s="172"/>
      <c r="BN178" s="172"/>
      <c r="BO178" s="172"/>
      <c r="BP178" s="172"/>
      <c r="BQ178" s="172"/>
      <c r="BR178" s="172"/>
      <c r="BS178" s="172"/>
      <c r="BT178" s="172"/>
      <c r="BU178" s="172"/>
      <c r="BV178" s="172"/>
      <c r="BW178" s="172"/>
      <c r="BX178" s="172"/>
      <c r="BY178" s="174"/>
      <c r="BZ178" s="172"/>
      <c r="CA178" s="172"/>
      <c r="CD178" s="194"/>
      <c r="CE178" s="194"/>
      <c r="CF178" s="194"/>
      <c r="CG178" s="194"/>
      <c r="CH178" s="195"/>
      <c r="CI178" s="194"/>
      <c r="CJ178" s="194"/>
      <c r="CK178" s="194"/>
      <c r="CL178" s="196"/>
      <c r="CM178" s="196"/>
      <c r="CN178" s="194"/>
      <c r="CO178" s="197"/>
      <c r="CP178" s="196"/>
      <c r="CQ178" s="196"/>
      <c r="CR178" s="196"/>
      <c r="CS178" s="196"/>
      <c r="CT178" s="196"/>
      <c r="CU178" s="196"/>
      <c r="CV178" s="194"/>
      <c r="CW178" s="194"/>
      <c r="CX178" s="194"/>
      <c r="CY178" s="194"/>
      <c r="CZ178" s="194"/>
      <c r="DA178" s="194"/>
      <c r="DB178" s="194"/>
      <c r="DC178" s="194"/>
      <c r="DD178" s="194"/>
      <c r="DE178" s="194"/>
      <c r="DF178" s="196"/>
      <c r="DG178" s="198"/>
      <c r="DH178" s="194"/>
      <c r="DI178" s="194"/>
    </row>
    <row r="179" spans="1:113" s="24" customFormat="1" hidden="1" x14ac:dyDescent="0.3">
      <c r="A179" s="172"/>
      <c r="B179" s="172"/>
      <c r="C179" s="172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2"/>
      <c r="AT179" s="172"/>
      <c r="AU179" s="172"/>
      <c r="AV179" s="172"/>
      <c r="AW179" s="172"/>
      <c r="AX179" s="172"/>
      <c r="AY179" s="172"/>
      <c r="AZ179" s="172"/>
      <c r="BA179" s="172"/>
      <c r="BB179" s="172"/>
      <c r="BC179" s="172"/>
      <c r="BD179" s="172"/>
      <c r="BE179" s="172"/>
      <c r="BF179" s="172"/>
      <c r="BG179" s="172"/>
      <c r="BH179" s="172"/>
      <c r="BI179" s="172"/>
      <c r="BJ179" s="172"/>
      <c r="BK179" s="172"/>
      <c r="BL179" s="172"/>
      <c r="BM179" s="172"/>
      <c r="BN179" s="172"/>
      <c r="BO179" s="172"/>
      <c r="BP179" s="172"/>
      <c r="BQ179" s="172"/>
      <c r="BR179" s="172"/>
      <c r="BS179" s="172"/>
      <c r="BT179" s="172"/>
      <c r="BU179" s="172"/>
      <c r="BV179" s="172"/>
      <c r="BW179" s="172"/>
      <c r="BX179" s="172"/>
      <c r="BY179" s="174"/>
      <c r="BZ179" s="172"/>
      <c r="CA179" s="172"/>
      <c r="CD179" s="194"/>
      <c r="CE179" s="194"/>
      <c r="CF179" s="194"/>
      <c r="CG179" s="194"/>
      <c r="CH179" s="195"/>
      <c r="CI179" s="194"/>
      <c r="CJ179" s="194"/>
      <c r="CK179" s="194"/>
      <c r="CL179" s="196"/>
      <c r="CM179" s="196"/>
      <c r="CN179" s="194"/>
      <c r="CO179" s="197"/>
      <c r="CP179" s="196"/>
      <c r="CQ179" s="196"/>
      <c r="CR179" s="196"/>
      <c r="CS179" s="196"/>
      <c r="CT179" s="196"/>
      <c r="CU179" s="196"/>
      <c r="CV179" s="194"/>
      <c r="CW179" s="194"/>
      <c r="CX179" s="194"/>
      <c r="CY179" s="194"/>
      <c r="CZ179" s="194"/>
      <c r="DA179" s="194"/>
      <c r="DB179" s="194"/>
      <c r="DC179" s="194"/>
      <c r="DD179" s="194"/>
      <c r="DE179" s="194"/>
      <c r="DF179" s="196"/>
      <c r="DG179" s="198"/>
      <c r="DH179" s="194"/>
      <c r="DI179" s="194"/>
    </row>
    <row r="180" spans="1:113" s="24" customFormat="1" hidden="1" x14ac:dyDescent="0.3">
      <c r="A180" s="172"/>
      <c r="B180" s="172"/>
      <c r="C180" s="172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2"/>
      <c r="AT180" s="172"/>
      <c r="AU180" s="172"/>
      <c r="AV180" s="172"/>
      <c r="AW180" s="172"/>
      <c r="AX180" s="172"/>
      <c r="AY180" s="172"/>
      <c r="AZ180" s="172"/>
      <c r="BA180" s="172"/>
      <c r="BB180" s="172"/>
      <c r="BC180" s="172"/>
      <c r="BD180" s="172"/>
      <c r="BE180" s="172"/>
      <c r="BF180" s="172"/>
      <c r="BG180" s="172"/>
      <c r="BH180" s="172"/>
      <c r="BI180" s="172"/>
      <c r="BJ180" s="172"/>
      <c r="BK180" s="172"/>
      <c r="BL180" s="172"/>
      <c r="BM180" s="172"/>
      <c r="BN180" s="172"/>
      <c r="BO180" s="172"/>
      <c r="BP180" s="172"/>
      <c r="BQ180" s="172"/>
      <c r="BR180" s="172"/>
      <c r="BS180" s="172"/>
      <c r="BT180" s="172"/>
      <c r="BU180" s="172"/>
      <c r="BV180" s="172"/>
      <c r="BW180" s="172"/>
      <c r="BX180" s="172"/>
      <c r="BY180" s="174"/>
      <c r="BZ180" s="172"/>
      <c r="CA180" s="172"/>
      <c r="CD180" s="194"/>
      <c r="CE180" s="194"/>
      <c r="CF180" s="194"/>
      <c r="CG180" s="194"/>
      <c r="CH180" s="195"/>
      <c r="CI180" s="194"/>
      <c r="CJ180" s="194"/>
      <c r="CK180" s="194"/>
      <c r="CL180" s="196"/>
      <c r="CM180" s="196"/>
      <c r="CN180" s="194"/>
      <c r="CO180" s="197"/>
      <c r="CP180" s="196"/>
      <c r="CQ180" s="196"/>
      <c r="CR180" s="196"/>
      <c r="CS180" s="196"/>
      <c r="CT180" s="196"/>
      <c r="CU180" s="196"/>
      <c r="CV180" s="194"/>
      <c r="CW180" s="194"/>
      <c r="CX180" s="194"/>
      <c r="CY180" s="194"/>
      <c r="CZ180" s="194"/>
      <c r="DA180" s="194"/>
      <c r="DB180" s="194"/>
      <c r="DC180" s="194"/>
      <c r="DD180" s="194"/>
      <c r="DE180" s="194"/>
      <c r="DF180" s="196"/>
      <c r="DG180" s="198"/>
      <c r="DH180" s="194"/>
      <c r="DI180" s="194"/>
    </row>
    <row r="181" spans="1:113" s="24" customFormat="1" hidden="1" x14ac:dyDescent="0.3">
      <c r="A181" s="172"/>
      <c r="B181" s="172"/>
      <c r="C181" s="172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2"/>
      <c r="AT181" s="172"/>
      <c r="AU181" s="172"/>
      <c r="AV181" s="172"/>
      <c r="AW181" s="172"/>
      <c r="AX181" s="172"/>
      <c r="AY181" s="172"/>
      <c r="AZ181" s="172"/>
      <c r="BA181" s="172"/>
      <c r="BB181" s="172"/>
      <c r="BC181" s="172"/>
      <c r="BD181" s="172"/>
      <c r="BE181" s="172"/>
      <c r="BF181" s="172"/>
      <c r="BG181" s="172"/>
      <c r="BH181" s="172"/>
      <c r="BI181" s="172"/>
      <c r="BJ181" s="172"/>
      <c r="BK181" s="172"/>
      <c r="BL181" s="172"/>
      <c r="BM181" s="172"/>
      <c r="BN181" s="172"/>
      <c r="BO181" s="172"/>
      <c r="BP181" s="172"/>
      <c r="BQ181" s="172"/>
      <c r="BR181" s="172"/>
      <c r="BS181" s="172"/>
      <c r="BT181" s="172"/>
      <c r="BU181" s="172"/>
      <c r="BV181" s="172"/>
      <c r="BW181" s="172"/>
      <c r="BX181" s="172"/>
      <c r="BY181" s="174"/>
      <c r="BZ181" s="172"/>
      <c r="CA181" s="172"/>
      <c r="CD181" s="194"/>
      <c r="CE181" s="194"/>
      <c r="CF181" s="194"/>
      <c r="CG181" s="194"/>
      <c r="CH181" s="195"/>
      <c r="CI181" s="194"/>
      <c r="CJ181" s="194"/>
      <c r="CK181" s="194"/>
      <c r="CL181" s="196"/>
      <c r="CM181" s="196"/>
      <c r="CN181" s="194"/>
      <c r="CO181" s="197"/>
      <c r="CP181" s="196"/>
      <c r="CQ181" s="196"/>
      <c r="CR181" s="196"/>
      <c r="CS181" s="196"/>
      <c r="CT181" s="196"/>
      <c r="CU181" s="196"/>
      <c r="CV181" s="194"/>
      <c r="CW181" s="194"/>
      <c r="CX181" s="194"/>
      <c r="CY181" s="194"/>
      <c r="CZ181" s="194"/>
      <c r="DA181" s="194"/>
      <c r="DB181" s="194"/>
      <c r="DC181" s="194"/>
      <c r="DD181" s="194"/>
      <c r="DE181" s="194"/>
      <c r="DF181" s="196"/>
      <c r="DG181" s="198"/>
      <c r="DH181" s="194"/>
      <c r="DI181" s="194"/>
    </row>
    <row r="182" spans="1:113" s="24" customFormat="1" hidden="1" x14ac:dyDescent="0.3">
      <c r="A182" s="172"/>
      <c r="B182" s="172"/>
      <c r="C182" s="172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2"/>
      <c r="AT182" s="172"/>
      <c r="AU182" s="172"/>
      <c r="AV182" s="172"/>
      <c r="AW182" s="172"/>
      <c r="AX182" s="172"/>
      <c r="AY182" s="172"/>
      <c r="AZ182" s="172"/>
      <c r="BA182" s="172"/>
      <c r="BB182" s="172"/>
      <c r="BC182" s="172"/>
      <c r="BD182" s="172"/>
      <c r="BE182" s="172"/>
      <c r="BF182" s="172"/>
      <c r="BG182" s="172"/>
      <c r="BH182" s="172"/>
      <c r="BI182" s="172"/>
      <c r="BJ182" s="172"/>
      <c r="BK182" s="172"/>
      <c r="BL182" s="172"/>
      <c r="BM182" s="172"/>
      <c r="BN182" s="172"/>
      <c r="BO182" s="172"/>
      <c r="BP182" s="172"/>
      <c r="BQ182" s="172"/>
      <c r="BR182" s="172"/>
      <c r="BS182" s="172"/>
      <c r="BT182" s="172"/>
      <c r="BU182" s="172"/>
      <c r="BV182" s="172"/>
      <c r="BW182" s="172"/>
      <c r="BX182" s="172"/>
      <c r="BY182" s="174"/>
      <c r="BZ182" s="172"/>
      <c r="CA182" s="172"/>
      <c r="CD182" s="194"/>
      <c r="CE182" s="194"/>
      <c r="CF182" s="194"/>
      <c r="CG182" s="194"/>
      <c r="CH182" s="195"/>
      <c r="CI182" s="194"/>
      <c r="CJ182" s="194"/>
      <c r="CK182" s="194"/>
      <c r="CL182" s="196"/>
      <c r="CM182" s="196"/>
      <c r="CN182" s="194"/>
      <c r="CO182" s="197"/>
      <c r="CP182" s="196"/>
      <c r="CQ182" s="196"/>
      <c r="CR182" s="196"/>
      <c r="CS182" s="196"/>
      <c r="CT182" s="196"/>
      <c r="CU182" s="196"/>
      <c r="CV182" s="194"/>
      <c r="CW182" s="194"/>
      <c r="CX182" s="194"/>
      <c r="CY182" s="194"/>
      <c r="CZ182" s="194"/>
      <c r="DA182" s="194"/>
      <c r="DB182" s="194"/>
      <c r="DC182" s="194"/>
      <c r="DD182" s="194"/>
      <c r="DE182" s="194"/>
      <c r="DF182" s="196"/>
      <c r="DG182" s="198"/>
      <c r="DH182" s="194"/>
      <c r="DI182" s="194"/>
    </row>
    <row r="183" spans="1:113" s="24" customFormat="1" hidden="1" x14ac:dyDescent="0.3">
      <c r="A183" s="172"/>
      <c r="B183" s="172"/>
      <c r="C183" s="172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2"/>
      <c r="AT183" s="172"/>
      <c r="AU183" s="172"/>
      <c r="AV183" s="172"/>
      <c r="AW183" s="172"/>
      <c r="AX183" s="172"/>
      <c r="AY183" s="172"/>
      <c r="AZ183" s="172"/>
      <c r="BA183" s="172"/>
      <c r="BB183" s="172"/>
      <c r="BC183" s="172"/>
      <c r="BD183" s="172"/>
      <c r="BE183" s="172"/>
      <c r="BF183" s="172"/>
      <c r="BG183" s="172"/>
      <c r="BH183" s="172"/>
      <c r="BI183" s="172"/>
      <c r="BJ183" s="172"/>
      <c r="BK183" s="172"/>
      <c r="BL183" s="172"/>
      <c r="BM183" s="172"/>
      <c r="BN183" s="172"/>
      <c r="BO183" s="172"/>
      <c r="BP183" s="172"/>
      <c r="BQ183" s="172"/>
      <c r="BR183" s="172"/>
      <c r="BS183" s="172"/>
      <c r="BT183" s="172"/>
      <c r="BU183" s="172"/>
      <c r="BV183" s="172"/>
      <c r="BW183" s="172"/>
      <c r="BX183" s="172"/>
      <c r="BY183" s="174"/>
      <c r="BZ183" s="172"/>
      <c r="CA183" s="172"/>
      <c r="CD183" s="194"/>
      <c r="CE183" s="194"/>
      <c r="CF183" s="194"/>
      <c r="CG183" s="194"/>
      <c r="CH183" s="195"/>
      <c r="CI183" s="194"/>
      <c r="CJ183" s="194"/>
      <c r="CK183" s="194"/>
      <c r="CL183" s="196"/>
      <c r="CM183" s="196"/>
      <c r="CN183" s="194"/>
      <c r="CO183" s="197"/>
      <c r="CP183" s="196"/>
      <c r="CQ183" s="196"/>
      <c r="CR183" s="196"/>
      <c r="CS183" s="196"/>
      <c r="CT183" s="196"/>
      <c r="CU183" s="196"/>
      <c r="CV183" s="194"/>
      <c r="CW183" s="194"/>
      <c r="CX183" s="194"/>
      <c r="CY183" s="194"/>
      <c r="CZ183" s="194"/>
      <c r="DA183" s="194"/>
      <c r="DB183" s="194"/>
      <c r="DC183" s="194"/>
      <c r="DD183" s="194"/>
      <c r="DE183" s="194"/>
      <c r="DF183" s="196"/>
      <c r="DG183" s="198"/>
      <c r="DH183" s="194"/>
      <c r="DI183" s="194"/>
    </row>
    <row r="184" spans="1:113" s="24" customFormat="1" hidden="1" x14ac:dyDescent="0.3">
      <c r="A184" s="172"/>
      <c r="B184" s="172"/>
      <c r="C184" s="172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2"/>
      <c r="AT184" s="172"/>
      <c r="AU184" s="172"/>
      <c r="AV184" s="172"/>
      <c r="AW184" s="172"/>
      <c r="AX184" s="172"/>
      <c r="AY184" s="172"/>
      <c r="AZ184" s="172"/>
      <c r="BA184" s="172"/>
      <c r="BB184" s="172"/>
      <c r="BC184" s="172"/>
      <c r="BD184" s="172"/>
      <c r="BE184" s="172"/>
      <c r="BF184" s="172"/>
      <c r="BG184" s="172"/>
      <c r="BH184" s="172"/>
      <c r="BI184" s="172"/>
      <c r="BJ184" s="172"/>
      <c r="BK184" s="172"/>
      <c r="BL184" s="172"/>
      <c r="BM184" s="172"/>
      <c r="BN184" s="172"/>
      <c r="BO184" s="172"/>
      <c r="BP184" s="172"/>
      <c r="BQ184" s="172"/>
      <c r="BR184" s="172"/>
      <c r="BS184" s="172"/>
      <c r="BT184" s="172"/>
      <c r="BU184" s="172"/>
      <c r="BV184" s="172"/>
      <c r="BW184" s="172"/>
      <c r="BX184" s="172"/>
      <c r="BY184" s="174"/>
      <c r="BZ184" s="172"/>
      <c r="CA184" s="172"/>
      <c r="CD184" s="194"/>
      <c r="CE184" s="194"/>
      <c r="CF184" s="194"/>
      <c r="CG184" s="194"/>
      <c r="CH184" s="195"/>
      <c r="CI184" s="194"/>
      <c r="CJ184" s="194"/>
      <c r="CK184" s="194"/>
      <c r="CL184" s="196"/>
      <c r="CM184" s="196"/>
      <c r="CN184" s="194"/>
      <c r="CO184" s="197"/>
      <c r="CP184" s="196"/>
      <c r="CQ184" s="196"/>
      <c r="CR184" s="196"/>
      <c r="CS184" s="196"/>
      <c r="CT184" s="196"/>
      <c r="CU184" s="196"/>
      <c r="CV184" s="194"/>
      <c r="CW184" s="194"/>
      <c r="CX184" s="194"/>
      <c r="CY184" s="194"/>
      <c r="CZ184" s="194"/>
      <c r="DA184" s="194"/>
      <c r="DB184" s="194"/>
      <c r="DC184" s="194"/>
      <c r="DD184" s="194"/>
      <c r="DE184" s="194"/>
      <c r="DF184" s="196"/>
      <c r="DG184" s="198"/>
      <c r="DH184" s="194"/>
      <c r="DI184" s="194"/>
    </row>
    <row r="185" spans="1:113" s="24" customFormat="1" hidden="1" x14ac:dyDescent="0.3">
      <c r="A185" s="172"/>
      <c r="B185" s="172"/>
      <c r="C185" s="172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2"/>
      <c r="AT185" s="172"/>
      <c r="AU185" s="172"/>
      <c r="AV185" s="172"/>
      <c r="AW185" s="172"/>
      <c r="AX185" s="172"/>
      <c r="AY185" s="172"/>
      <c r="AZ185" s="172"/>
      <c r="BA185" s="172"/>
      <c r="BB185" s="172"/>
      <c r="BC185" s="172"/>
      <c r="BD185" s="172"/>
      <c r="BE185" s="172"/>
      <c r="BF185" s="172"/>
      <c r="BG185" s="172"/>
      <c r="BH185" s="172"/>
      <c r="BI185" s="172"/>
      <c r="BJ185" s="172"/>
      <c r="BK185" s="172"/>
      <c r="BL185" s="172"/>
      <c r="BM185" s="172"/>
      <c r="BN185" s="172"/>
      <c r="BO185" s="172"/>
      <c r="BP185" s="172"/>
      <c r="BQ185" s="172"/>
      <c r="BR185" s="172"/>
      <c r="BS185" s="172"/>
      <c r="BT185" s="172"/>
      <c r="BU185" s="172"/>
      <c r="BV185" s="172"/>
      <c r="BW185" s="172"/>
      <c r="BX185" s="172"/>
      <c r="BY185" s="174"/>
      <c r="BZ185" s="172"/>
      <c r="CA185" s="172"/>
      <c r="CD185" s="194"/>
      <c r="CE185" s="194"/>
      <c r="CF185" s="194"/>
      <c r="CG185" s="194"/>
      <c r="CH185" s="195"/>
      <c r="CI185" s="194"/>
      <c r="CJ185" s="194"/>
      <c r="CK185" s="194"/>
      <c r="CL185" s="196"/>
      <c r="CM185" s="196"/>
      <c r="CN185" s="194"/>
      <c r="CO185" s="197"/>
      <c r="CP185" s="196"/>
      <c r="CQ185" s="196"/>
      <c r="CR185" s="196"/>
      <c r="CS185" s="196"/>
      <c r="CT185" s="196"/>
      <c r="CU185" s="196"/>
      <c r="CV185" s="194"/>
      <c r="CW185" s="194"/>
      <c r="CX185" s="194"/>
      <c r="CY185" s="194"/>
      <c r="CZ185" s="194"/>
      <c r="DA185" s="194"/>
      <c r="DB185" s="194"/>
      <c r="DC185" s="194"/>
      <c r="DD185" s="194"/>
      <c r="DE185" s="194"/>
      <c r="DF185" s="196"/>
      <c r="DG185" s="198"/>
      <c r="DH185" s="194"/>
      <c r="DI185" s="194"/>
    </row>
    <row r="186" spans="1:113" s="24" customFormat="1" hidden="1" x14ac:dyDescent="0.3">
      <c r="A186" s="172"/>
      <c r="B186" s="172"/>
      <c r="C186" s="172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2"/>
      <c r="AT186" s="172"/>
      <c r="AU186" s="172"/>
      <c r="AV186" s="172"/>
      <c r="AW186" s="172"/>
      <c r="AX186" s="172"/>
      <c r="AY186" s="172"/>
      <c r="AZ186" s="172"/>
      <c r="BA186" s="172"/>
      <c r="BB186" s="172"/>
      <c r="BC186" s="172"/>
      <c r="BD186" s="172"/>
      <c r="BE186" s="172"/>
      <c r="BF186" s="172"/>
      <c r="BG186" s="172"/>
      <c r="BH186" s="172"/>
      <c r="BI186" s="172"/>
      <c r="BJ186" s="172"/>
      <c r="BK186" s="172"/>
      <c r="BL186" s="172"/>
      <c r="BM186" s="172"/>
      <c r="BN186" s="172"/>
      <c r="BO186" s="172"/>
      <c r="BP186" s="172"/>
      <c r="BQ186" s="172"/>
      <c r="BR186" s="172"/>
      <c r="BS186" s="172"/>
      <c r="BT186" s="172"/>
      <c r="BU186" s="172"/>
      <c r="BV186" s="172"/>
      <c r="BW186" s="172"/>
      <c r="BX186" s="172"/>
      <c r="BY186" s="174"/>
      <c r="BZ186" s="172"/>
      <c r="CA186" s="172"/>
      <c r="CD186" s="194"/>
      <c r="CE186" s="194"/>
      <c r="CF186" s="194"/>
      <c r="CG186" s="194"/>
      <c r="CH186" s="195"/>
      <c r="CI186" s="194"/>
      <c r="CJ186" s="194"/>
      <c r="CK186" s="194"/>
      <c r="CL186" s="196"/>
      <c r="CM186" s="196"/>
      <c r="CN186" s="194"/>
      <c r="CO186" s="197"/>
      <c r="CP186" s="196"/>
      <c r="CQ186" s="196"/>
      <c r="CR186" s="196"/>
      <c r="CS186" s="196"/>
      <c r="CT186" s="196"/>
      <c r="CU186" s="196"/>
      <c r="CV186" s="194"/>
      <c r="CW186" s="194"/>
      <c r="CX186" s="194"/>
      <c r="CY186" s="194"/>
      <c r="CZ186" s="194"/>
      <c r="DA186" s="194"/>
      <c r="DB186" s="194"/>
      <c r="DC186" s="194"/>
      <c r="DD186" s="194"/>
      <c r="DE186" s="194"/>
      <c r="DF186" s="196"/>
      <c r="DG186" s="198"/>
      <c r="DH186" s="194"/>
      <c r="DI186" s="194"/>
    </row>
    <row r="187" spans="1:113" s="24" customFormat="1" hidden="1" x14ac:dyDescent="0.3">
      <c r="A187" s="172"/>
      <c r="B187" s="172"/>
      <c r="C187" s="172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2"/>
      <c r="AT187" s="172"/>
      <c r="AU187" s="172"/>
      <c r="AV187" s="172"/>
      <c r="AW187" s="172"/>
      <c r="AX187" s="172"/>
      <c r="AY187" s="172"/>
      <c r="AZ187" s="172"/>
      <c r="BA187" s="172"/>
      <c r="BB187" s="172"/>
      <c r="BC187" s="172"/>
      <c r="BD187" s="172"/>
      <c r="BE187" s="172"/>
      <c r="BF187" s="172"/>
      <c r="BG187" s="172"/>
      <c r="BH187" s="172"/>
      <c r="BI187" s="172"/>
      <c r="BJ187" s="172"/>
      <c r="BK187" s="172"/>
      <c r="BL187" s="172"/>
      <c r="BM187" s="172"/>
      <c r="BN187" s="172"/>
      <c r="BO187" s="172"/>
      <c r="BP187" s="172"/>
      <c r="BQ187" s="172"/>
      <c r="BR187" s="172"/>
      <c r="BS187" s="172"/>
      <c r="BT187" s="172"/>
      <c r="BU187" s="172"/>
      <c r="BV187" s="172"/>
      <c r="BW187" s="172"/>
      <c r="BX187" s="172"/>
      <c r="BY187" s="174"/>
      <c r="BZ187" s="172"/>
      <c r="CA187" s="172"/>
      <c r="CD187" s="194"/>
      <c r="CE187" s="194"/>
      <c r="CF187" s="194"/>
      <c r="CG187" s="194"/>
      <c r="CH187" s="195"/>
      <c r="CI187" s="194"/>
      <c r="CJ187" s="194"/>
      <c r="CK187" s="194"/>
      <c r="CL187" s="196"/>
      <c r="CM187" s="196"/>
      <c r="CN187" s="194"/>
      <c r="CO187" s="197"/>
      <c r="CP187" s="196"/>
      <c r="CQ187" s="196"/>
      <c r="CR187" s="196"/>
      <c r="CS187" s="196"/>
      <c r="CT187" s="196"/>
      <c r="CU187" s="196"/>
      <c r="CV187" s="194"/>
      <c r="CW187" s="194"/>
      <c r="CX187" s="194"/>
      <c r="CY187" s="194"/>
      <c r="CZ187" s="194"/>
      <c r="DA187" s="194"/>
      <c r="DB187" s="194"/>
      <c r="DC187" s="194"/>
      <c r="DD187" s="194"/>
      <c r="DE187" s="194"/>
      <c r="DF187" s="196"/>
      <c r="DG187" s="198"/>
      <c r="DH187" s="194"/>
      <c r="DI187" s="194"/>
    </row>
    <row r="188" spans="1:113" s="24" customFormat="1" hidden="1" x14ac:dyDescent="0.3">
      <c r="A188" s="172"/>
      <c r="B188" s="172"/>
      <c r="C188" s="172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2"/>
      <c r="AT188" s="172"/>
      <c r="AU188" s="172"/>
      <c r="AV188" s="172"/>
      <c r="AW188" s="172"/>
      <c r="AX188" s="172"/>
      <c r="AY188" s="172"/>
      <c r="AZ188" s="172"/>
      <c r="BA188" s="172"/>
      <c r="BB188" s="172"/>
      <c r="BC188" s="172"/>
      <c r="BD188" s="172"/>
      <c r="BE188" s="172"/>
      <c r="BF188" s="172"/>
      <c r="BG188" s="172"/>
      <c r="BH188" s="172"/>
      <c r="BI188" s="172"/>
      <c r="BJ188" s="172"/>
      <c r="BK188" s="172"/>
      <c r="BL188" s="172"/>
      <c r="BM188" s="172"/>
      <c r="BN188" s="172"/>
      <c r="BO188" s="172"/>
      <c r="BP188" s="172"/>
      <c r="BQ188" s="172"/>
      <c r="BR188" s="172"/>
      <c r="BS188" s="172"/>
      <c r="BT188" s="172"/>
      <c r="BU188" s="172"/>
      <c r="BV188" s="172"/>
      <c r="BW188" s="172"/>
      <c r="BX188" s="172"/>
      <c r="BY188" s="174"/>
      <c r="BZ188" s="172"/>
      <c r="CA188" s="172"/>
      <c r="CD188" s="194"/>
      <c r="CE188" s="194"/>
      <c r="CF188" s="194"/>
      <c r="CG188" s="194"/>
      <c r="CH188" s="195"/>
      <c r="CI188" s="194"/>
      <c r="CJ188" s="194"/>
      <c r="CK188" s="194"/>
      <c r="CL188" s="196"/>
      <c r="CM188" s="196"/>
      <c r="CN188" s="194"/>
      <c r="CO188" s="197"/>
      <c r="CP188" s="196"/>
      <c r="CQ188" s="196"/>
      <c r="CR188" s="196"/>
      <c r="CS188" s="196"/>
      <c r="CT188" s="196"/>
      <c r="CU188" s="196"/>
      <c r="CV188" s="194"/>
      <c r="CW188" s="194"/>
      <c r="CX188" s="194"/>
      <c r="CY188" s="194"/>
      <c r="CZ188" s="194"/>
      <c r="DA188" s="194"/>
      <c r="DB188" s="194"/>
      <c r="DC188" s="194"/>
      <c r="DD188" s="194"/>
      <c r="DE188" s="194"/>
      <c r="DF188" s="196"/>
      <c r="DG188" s="198"/>
      <c r="DH188" s="194"/>
      <c r="DI188" s="194"/>
    </row>
    <row r="189" spans="1:113" s="24" customFormat="1" hidden="1" x14ac:dyDescent="0.3">
      <c r="A189" s="172"/>
      <c r="B189" s="172"/>
      <c r="C189" s="172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2"/>
      <c r="AT189" s="172"/>
      <c r="AU189" s="172"/>
      <c r="AV189" s="172"/>
      <c r="AW189" s="172"/>
      <c r="AX189" s="172"/>
      <c r="AY189" s="172"/>
      <c r="AZ189" s="172"/>
      <c r="BA189" s="172"/>
      <c r="BB189" s="172"/>
      <c r="BC189" s="172"/>
      <c r="BD189" s="172"/>
      <c r="BE189" s="172"/>
      <c r="BF189" s="172"/>
      <c r="BG189" s="172"/>
      <c r="BH189" s="172"/>
      <c r="BI189" s="172"/>
      <c r="BJ189" s="172"/>
      <c r="BK189" s="172"/>
      <c r="BL189" s="172"/>
      <c r="BM189" s="172"/>
      <c r="BN189" s="172"/>
      <c r="BO189" s="172"/>
      <c r="BP189" s="172"/>
      <c r="BQ189" s="172"/>
      <c r="BR189" s="172"/>
      <c r="BS189" s="172"/>
      <c r="BT189" s="172"/>
      <c r="BU189" s="172"/>
      <c r="BV189" s="172"/>
      <c r="BW189" s="172"/>
      <c r="BX189" s="172"/>
      <c r="BY189" s="174"/>
      <c r="BZ189" s="172"/>
      <c r="CA189" s="172"/>
      <c r="CD189" s="194"/>
      <c r="CE189" s="194"/>
      <c r="CF189" s="194"/>
      <c r="CG189" s="194"/>
      <c r="CH189" s="195"/>
      <c r="CI189" s="194"/>
      <c r="CJ189" s="194"/>
      <c r="CK189" s="194"/>
      <c r="CL189" s="196"/>
      <c r="CM189" s="196"/>
      <c r="CN189" s="194"/>
      <c r="CO189" s="197"/>
      <c r="CP189" s="196"/>
      <c r="CQ189" s="196"/>
      <c r="CR189" s="196"/>
      <c r="CS189" s="196"/>
      <c r="CT189" s="196"/>
      <c r="CU189" s="196"/>
      <c r="CV189" s="194"/>
      <c r="CW189" s="194"/>
      <c r="CX189" s="194"/>
      <c r="CY189" s="194"/>
      <c r="CZ189" s="194"/>
      <c r="DA189" s="194"/>
      <c r="DB189" s="194"/>
      <c r="DC189" s="194"/>
      <c r="DD189" s="194"/>
      <c r="DE189" s="194"/>
      <c r="DF189" s="196"/>
      <c r="DG189" s="198"/>
      <c r="DH189" s="194"/>
      <c r="DI189" s="194"/>
    </row>
    <row r="190" spans="1:113" s="24" customFormat="1" hidden="1" x14ac:dyDescent="0.3">
      <c r="A190" s="172"/>
      <c r="B190" s="172"/>
      <c r="C190" s="172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2"/>
      <c r="AT190" s="172"/>
      <c r="AU190" s="172"/>
      <c r="AV190" s="172"/>
      <c r="AW190" s="172"/>
      <c r="AX190" s="172"/>
      <c r="AY190" s="172"/>
      <c r="AZ190" s="172"/>
      <c r="BA190" s="172"/>
      <c r="BB190" s="172"/>
      <c r="BC190" s="172"/>
      <c r="BD190" s="172"/>
      <c r="BE190" s="172"/>
      <c r="BF190" s="172"/>
      <c r="BG190" s="172"/>
      <c r="BH190" s="172"/>
      <c r="BI190" s="172"/>
      <c r="BJ190" s="172"/>
      <c r="BK190" s="172"/>
      <c r="BL190" s="172"/>
      <c r="BM190" s="172"/>
      <c r="BN190" s="172"/>
      <c r="BO190" s="172"/>
      <c r="BP190" s="172"/>
      <c r="BQ190" s="172"/>
      <c r="BR190" s="172"/>
      <c r="BS190" s="172"/>
      <c r="BT190" s="172"/>
      <c r="BU190" s="172"/>
      <c r="BV190" s="172"/>
      <c r="BW190" s="172"/>
      <c r="BX190" s="172"/>
      <c r="BY190" s="174"/>
      <c r="BZ190" s="172"/>
      <c r="CA190" s="172"/>
      <c r="CD190" s="194"/>
      <c r="CE190" s="194"/>
      <c r="CF190" s="194"/>
      <c r="CG190" s="194"/>
      <c r="CH190" s="195"/>
      <c r="CI190" s="194"/>
      <c r="CJ190" s="194"/>
      <c r="CK190" s="194"/>
      <c r="CL190" s="196"/>
      <c r="CM190" s="196"/>
      <c r="CN190" s="194"/>
      <c r="CO190" s="197"/>
      <c r="CP190" s="196"/>
      <c r="CQ190" s="196"/>
      <c r="CR190" s="196"/>
      <c r="CS190" s="196"/>
      <c r="CT190" s="196"/>
      <c r="CU190" s="196"/>
      <c r="CV190" s="194"/>
      <c r="CW190" s="194"/>
      <c r="CX190" s="194"/>
      <c r="CY190" s="194"/>
      <c r="CZ190" s="194"/>
      <c r="DA190" s="194"/>
      <c r="DB190" s="194"/>
      <c r="DC190" s="194"/>
      <c r="DD190" s="194"/>
      <c r="DE190" s="194"/>
      <c r="DF190" s="196"/>
      <c r="DG190" s="198"/>
      <c r="DH190" s="194"/>
      <c r="DI190" s="194"/>
    </row>
    <row r="191" spans="1:113" s="24" customFormat="1" hidden="1" x14ac:dyDescent="0.3">
      <c r="A191" s="172"/>
      <c r="B191" s="172"/>
      <c r="C191" s="172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2"/>
      <c r="AT191" s="172"/>
      <c r="AU191" s="172"/>
      <c r="AV191" s="172"/>
      <c r="AW191" s="172"/>
      <c r="AX191" s="172"/>
      <c r="AY191" s="172"/>
      <c r="AZ191" s="172"/>
      <c r="BA191" s="172"/>
      <c r="BB191" s="172"/>
      <c r="BC191" s="172"/>
      <c r="BD191" s="172"/>
      <c r="BE191" s="172"/>
      <c r="BF191" s="172"/>
      <c r="BG191" s="172"/>
      <c r="BH191" s="172"/>
      <c r="BI191" s="172"/>
      <c r="BJ191" s="172"/>
      <c r="BK191" s="172"/>
      <c r="BL191" s="172"/>
      <c r="BM191" s="172"/>
      <c r="BN191" s="172"/>
      <c r="BO191" s="172"/>
      <c r="BP191" s="172"/>
      <c r="BQ191" s="172"/>
      <c r="BR191" s="172"/>
      <c r="BS191" s="172"/>
      <c r="BT191" s="172"/>
      <c r="BU191" s="172"/>
      <c r="BV191" s="172"/>
      <c r="BW191" s="172"/>
      <c r="BX191" s="172"/>
      <c r="BY191" s="174"/>
      <c r="BZ191" s="172"/>
      <c r="CA191" s="172"/>
      <c r="CD191" s="194"/>
      <c r="CE191" s="194"/>
      <c r="CF191" s="194"/>
      <c r="CG191" s="194"/>
      <c r="CH191" s="195"/>
      <c r="CI191" s="194"/>
      <c r="CJ191" s="194"/>
      <c r="CK191" s="194"/>
      <c r="CL191" s="196"/>
      <c r="CM191" s="196"/>
      <c r="CN191" s="194"/>
      <c r="CO191" s="197"/>
      <c r="CP191" s="196"/>
      <c r="CQ191" s="196"/>
      <c r="CR191" s="196"/>
      <c r="CS191" s="196"/>
      <c r="CT191" s="196"/>
      <c r="CU191" s="196"/>
      <c r="CV191" s="194"/>
      <c r="CW191" s="194"/>
      <c r="CX191" s="194"/>
      <c r="CY191" s="194"/>
      <c r="CZ191" s="194"/>
      <c r="DA191" s="194"/>
      <c r="DB191" s="194"/>
      <c r="DC191" s="194"/>
      <c r="DD191" s="194"/>
      <c r="DE191" s="194"/>
      <c r="DF191" s="196"/>
      <c r="DG191" s="198"/>
      <c r="DH191" s="194"/>
      <c r="DI191" s="194"/>
    </row>
    <row r="192" spans="1:113" s="24" customFormat="1" hidden="1" x14ac:dyDescent="0.3">
      <c r="A192" s="172"/>
      <c r="B192" s="172"/>
      <c r="C192" s="172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2"/>
      <c r="AT192" s="172"/>
      <c r="AU192" s="172"/>
      <c r="AV192" s="172"/>
      <c r="AW192" s="172"/>
      <c r="AX192" s="172"/>
      <c r="AY192" s="172"/>
      <c r="AZ192" s="172"/>
      <c r="BA192" s="172"/>
      <c r="BB192" s="172"/>
      <c r="BC192" s="172"/>
      <c r="BD192" s="172"/>
      <c r="BE192" s="172"/>
      <c r="BF192" s="172"/>
      <c r="BG192" s="172"/>
      <c r="BH192" s="172"/>
      <c r="BI192" s="172"/>
      <c r="BJ192" s="172"/>
      <c r="BK192" s="172"/>
      <c r="BL192" s="172"/>
      <c r="BM192" s="172"/>
      <c r="BN192" s="172"/>
      <c r="BO192" s="172"/>
      <c r="BP192" s="172"/>
      <c r="BQ192" s="172"/>
      <c r="BR192" s="172"/>
      <c r="BS192" s="172"/>
      <c r="BT192" s="172"/>
      <c r="BU192" s="172"/>
      <c r="BV192" s="172"/>
      <c r="BW192" s="172"/>
      <c r="BX192" s="172"/>
      <c r="BY192" s="174"/>
      <c r="BZ192" s="172"/>
      <c r="CA192" s="172"/>
      <c r="CD192" s="194"/>
      <c r="CE192" s="194"/>
      <c r="CF192" s="194"/>
      <c r="CG192" s="194"/>
      <c r="CH192" s="195"/>
      <c r="CI192" s="194"/>
      <c r="CJ192" s="194"/>
      <c r="CK192" s="194"/>
      <c r="CL192" s="196"/>
      <c r="CM192" s="196"/>
      <c r="CN192" s="194"/>
      <c r="CO192" s="197"/>
      <c r="CP192" s="196"/>
      <c r="CQ192" s="196"/>
      <c r="CR192" s="196"/>
      <c r="CS192" s="196"/>
      <c r="CT192" s="196"/>
      <c r="CU192" s="196"/>
      <c r="CV192" s="194"/>
      <c r="CW192" s="194"/>
      <c r="CX192" s="194"/>
      <c r="CY192" s="194"/>
      <c r="CZ192" s="194"/>
      <c r="DA192" s="194"/>
      <c r="DB192" s="194"/>
      <c r="DC192" s="194"/>
      <c r="DD192" s="194"/>
      <c r="DE192" s="194"/>
      <c r="DF192" s="196"/>
      <c r="DG192" s="198"/>
      <c r="DH192" s="194"/>
      <c r="DI192" s="194"/>
    </row>
    <row r="193" spans="1:113" s="24" customFormat="1" hidden="1" x14ac:dyDescent="0.3">
      <c r="A193" s="172"/>
      <c r="B193" s="172"/>
      <c r="C193" s="172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2"/>
      <c r="AT193" s="172"/>
      <c r="AU193" s="172"/>
      <c r="AV193" s="172"/>
      <c r="AW193" s="172"/>
      <c r="AX193" s="172"/>
      <c r="AY193" s="172"/>
      <c r="AZ193" s="172"/>
      <c r="BA193" s="172"/>
      <c r="BB193" s="172"/>
      <c r="BC193" s="172"/>
      <c r="BD193" s="172"/>
      <c r="BE193" s="172"/>
      <c r="BF193" s="172"/>
      <c r="BG193" s="172"/>
      <c r="BH193" s="172"/>
      <c r="BI193" s="172"/>
      <c r="BJ193" s="172"/>
      <c r="BK193" s="172"/>
      <c r="BL193" s="172"/>
      <c r="BM193" s="172"/>
      <c r="BN193" s="172"/>
      <c r="BO193" s="172"/>
      <c r="BP193" s="172"/>
      <c r="BQ193" s="172"/>
      <c r="BR193" s="172"/>
      <c r="BS193" s="172"/>
      <c r="BT193" s="172"/>
      <c r="BU193" s="172"/>
      <c r="BV193" s="172"/>
      <c r="BW193" s="172"/>
      <c r="BX193" s="172"/>
      <c r="BY193" s="174"/>
      <c r="BZ193" s="172"/>
      <c r="CA193" s="172"/>
      <c r="CD193" s="194"/>
      <c r="CE193" s="194"/>
      <c r="CF193" s="194"/>
      <c r="CG193" s="194"/>
      <c r="CH193" s="195"/>
      <c r="CI193" s="194"/>
      <c r="CJ193" s="194"/>
      <c r="CK193" s="194"/>
      <c r="CL193" s="196"/>
      <c r="CM193" s="196"/>
      <c r="CN193" s="194"/>
      <c r="CO193" s="197"/>
      <c r="CP193" s="196"/>
      <c r="CQ193" s="196"/>
      <c r="CR193" s="196"/>
      <c r="CS193" s="196"/>
      <c r="CT193" s="196"/>
      <c r="CU193" s="196"/>
      <c r="CV193" s="194"/>
      <c r="CW193" s="194"/>
      <c r="CX193" s="194"/>
      <c r="CY193" s="194"/>
      <c r="CZ193" s="194"/>
      <c r="DA193" s="194"/>
      <c r="DB193" s="194"/>
      <c r="DC193" s="194"/>
      <c r="DD193" s="194"/>
      <c r="DE193" s="194"/>
      <c r="DF193" s="196"/>
      <c r="DG193" s="198"/>
      <c r="DH193" s="194"/>
      <c r="DI193" s="194"/>
    </row>
    <row r="194" spans="1:113" s="24" customFormat="1" hidden="1" x14ac:dyDescent="0.3">
      <c r="A194" s="172"/>
      <c r="B194" s="172"/>
      <c r="C194" s="172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2"/>
      <c r="AT194" s="172"/>
      <c r="AU194" s="172"/>
      <c r="AV194" s="172"/>
      <c r="AW194" s="172"/>
      <c r="AX194" s="172"/>
      <c r="AY194" s="172"/>
      <c r="AZ194" s="172"/>
      <c r="BA194" s="172"/>
      <c r="BB194" s="172"/>
      <c r="BC194" s="172"/>
      <c r="BD194" s="172"/>
      <c r="BE194" s="172"/>
      <c r="BF194" s="172"/>
      <c r="BG194" s="172"/>
      <c r="BH194" s="172"/>
      <c r="BI194" s="172"/>
      <c r="BJ194" s="172"/>
      <c r="BK194" s="172"/>
      <c r="BL194" s="172"/>
      <c r="BM194" s="172"/>
      <c r="BN194" s="172"/>
      <c r="BO194" s="172"/>
      <c r="BP194" s="172"/>
      <c r="BQ194" s="172"/>
      <c r="BR194" s="172"/>
      <c r="BS194" s="172"/>
      <c r="BT194" s="172"/>
      <c r="BU194" s="172"/>
      <c r="BV194" s="172"/>
      <c r="BW194" s="172"/>
      <c r="BX194" s="172"/>
      <c r="BY194" s="174"/>
      <c r="BZ194" s="172"/>
      <c r="CA194" s="172"/>
      <c r="CD194" s="194"/>
      <c r="CE194" s="194"/>
      <c r="CF194" s="194"/>
      <c r="CG194" s="194"/>
      <c r="CH194" s="195"/>
      <c r="CI194" s="194"/>
      <c r="CJ194" s="194"/>
      <c r="CK194" s="194"/>
      <c r="CL194" s="196"/>
      <c r="CM194" s="196"/>
      <c r="CN194" s="194"/>
      <c r="CO194" s="197"/>
      <c r="CP194" s="196"/>
      <c r="CQ194" s="196"/>
      <c r="CR194" s="196"/>
      <c r="CS194" s="196"/>
      <c r="CT194" s="196"/>
      <c r="CU194" s="196"/>
      <c r="CV194" s="194"/>
      <c r="CW194" s="194"/>
      <c r="CX194" s="194"/>
      <c r="CY194" s="194"/>
      <c r="CZ194" s="194"/>
      <c r="DA194" s="194"/>
      <c r="DB194" s="194"/>
      <c r="DC194" s="194"/>
      <c r="DD194" s="194"/>
      <c r="DE194" s="194"/>
      <c r="DF194" s="196"/>
      <c r="DG194" s="198"/>
      <c r="DH194" s="194"/>
      <c r="DI194" s="194"/>
    </row>
    <row r="195" spans="1:113" s="24" customFormat="1" hidden="1" x14ac:dyDescent="0.3">
      <c r="A195" s="172"/>
      <c r="B195" s="172"/>
      <c r="C195" s="172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2"/>
      <c r="AT195" s="172"/>
      <c r="AU195" s="172"/>
      <c r="AV195" s="172"/>
      <c r="AW195" s="172"/>
      <c r="AX195" s="172"/>
      <c r="AY195" s="172"/>
      <c r="AZ195" s="172"/>
      <c r="BA195" s="172"/>
      <c r="BB195" s="172"/>
      <c r="BC195" s="172"/>
      <c r="BD195" s="172"/>
      <c r="BE195" s="172"/>
      <c r="BF195" s="172"/>
      <c r="BG195" s="172"/>
      <c r="BH195" s="172"/>
      <c r="BI195" s="172"/>
      <c r="BJ195" s="172"/>
      <c r="BK195" s="172"/>
      <c r="BL195" s="172"/>
      <c r="BM195" s="172"/>
      <c r="BN195" s="172"/>
      <c r="BO195" s="172"/>
      <c r="BP195" s="172"/>
      <c r="BQ195" s="172"/>
      <c r="BR195" s="172"/>
      <c r="BS195" s="172"/>
      <c r="BT195" s="172"/>
      <c r="BU195" s="172"/>
      <c r="BV195" s="172"/>
      <c r="BW195" s="172"/>
      <c r="BX195" s="172"/>
      <c r="BY195" s="174"/>
      <c r="BZ195" s="172"/>
      <c r="CA195" s="172"/>
      <c r="CD195" s="194"/>
      <c r="CE195" s="194"/>
      <c r="CF195" s="194"/>
      <c r="CG195" s="194"/>
      <c r="CH195" s="195"/>
      <c r="CI195" s="194"/>
      <c r="CJ195" s="194"/>
      <c r="CK195" s="194"/>
      <c r="CL195" s="196"/>
      <c r="CM195" s="196"/>
      <c r="CN195" s="194"/>
      <c r="CO195" s="197"/>
      <c r="CP195" s="196"/>
      <c r="CQ195" s="196"/>
      <c r="CR195" s="196"/>
      <c r="CS195" s="196"/>
      <c r="CT195" s="196"/>
      <c r="CU195" s="196"/>
      <c r="CV195" s="194"/>
      <c r="CW195" s="194"/>
      <c r="CX195" s="194"/>
      <c r="CY195" s="194"/>
      <c r="CZ195" s="194"/>
      <c r="DA195" s="194"/>
      <c r="DB195" s="194"/>
      <c r="DC195" s="194"/>
      <c r="DD195" s="194"/>
      <c r="DE195" s="194"/>
      <c r="DF195" s="196"/>
      <c r="DG195" s="198"/>
      <c r="DH195" s="194"/>
      <c r="DI195" s="194"/>
    </row>
    <row r="196" spans="1:113" s="24" customFormat="1" hidden="1" x14ac:dyDescent="0.3">
      <c r="A196" s="172"/>
      <c r="B196" s="172"/>
      <c r="C196" s="172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2"/>
      <c r="AT196" s="172"/>
      <c r="AU196" s="172"/>
      <c r="AV196" s="172"/>
      <c r="AW196" s="172"/>
      <c r="AX196" s="172"/>
      <c r="AY196" s="172"/>
      <c r="AZ196" s="172"/>
      <c r="BA196" s="172"/>
      <c r="BB196" s="172"/>
      <c r="BC196" s="172"/>
      <c r="BD196" s="172"/>
      <c r="BE196" s="172"/>
      <c r="BF196" s="172"/>
      <c r="BG196" s="172"/>
      <c r="BH196" s="172"/>
      <c r="BI196" s="172"/>
      <c r="BJ196" s="172"/>
      <c r="BK196" s="172"/>
      <c r="BL196" s="172"/>
      <c r="BM196" s="172"/>
      <c r="BN196" s="172"/>
      <c r="BO196" s="172"/>
      <c r="BP196" s="172"/>
      <c r="BQ196" s="172"/>
      <c r="BR196" s="172"/>
      <c r="BS196" s="172"/>
      <c r="BT196" s="172"/>
      <c r="BU196" s="172"/>
      <c r="BV196" s="172"/>
      <c r="BW196" s="172"/>
      <c r="BX196" s="172"/>
      <c r="BY196" s="174"/>
      <c r="BZ196" s="172"/>
      <c r="CA196" s="172"/>
      <c r="CD196" s="194"/>
      <c r="CE196" s="194"/>
      <c r="CF196" s="194"/>
      <c r="CG196" s="194"/>
      <c r="CH196" s="195"/>
      <c r="CI196" s="194"/>
      <c r="CJ196" s="194"/>
      <c r="CK196" s="194"/>
      <c r="CL196" s="196"/>
      <c r="CM196" s="196"/>
      <c r="CN196" s="194"/>
      <c r="CO196" s="197"/>
      <c r="CP196" s="196"/>
      <c r="CQ196" s="196"/>
      <c r="CR196" s="196"/>
      <c r="CS196" s="196"/>
      <c r="CT196" s="196"/>
      <c r="CU196" s="196"/>
      <c r="CV196" s="194"/>
      <c r="CW196" s="194"/>
      <c r="CX196" s="194"/>
      <c r="CY196" s="194"/>
      <c r="CZ196" s="194"/>
      <c r="DA196" s="194"/>
      <c r="DB196" s="194"/>
      <c r="DC196" s="194"/>
      <c r="DD196" s="194"/>
      <c r="DE196" s="194"/>
      <c r="DF196" s="196"/>
      <c r="DG196" s="198"/>
      <c r="DH196" s="194"/>
      <c r="DI196" s="194"/>
    </row>
    <row r="197" spans="1:113" s="24" customFormat="1" hidden="1" x14ac:dyDescent="0.3">
      <c r="A197" s="172"/>
      <c r="B197" s="172"/>
      <c r="C197" s="172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2"/>
      <c r="AT197" s="172"/>
      <c r="AU197" s="172"/>
      <c r="AV197" s="172"/>
      <c r="AW197" s="172"/>
      <c r="AX197" s="172"/>
      <c r="AY197" s="172"/>
      <c r="AZ197" s="172"/>
      <c r="BA197" s="172"/>
      <c r="BB197" s="172"/>
      <c r="BC197" s="172"/>
      <c r="BD197" s="172"/>
      <c r="BE197" s="172"/>
      <c r="BF197" s="172"/>
      <c r="BG197" s="172"/>
      <c r="BH197" s="172"/>
      <c r="BI197" s="172"/>
      <c r="BJ197" s="172"/>
      <c r="BK197" s="172"/>
      <c r="BL197" s="172"/>
      <c r="BM197" s="172"/>
      <c r="BN197" s="172"/>
      <c r="BO197" s="172"/>
      <c r="BP197" s="172"/>
      <c r="BQ197" s="172"/>
      <c r="BR197" s="172"/>
      <c r="BS197" s="172"/>
      <c r="BT197" s="172"/>
      <c r="BU197" s="172"/>
      <c r="BV197" s="172"/>
      <c r="BW197" s="172"/>
      <c r="BX197" s="172"/>
      <c r="BY197" s="174"/>
      <c r="BZ197" s="172"/>
      <c r="CA197" s="172"/>
      <c r="CD197" s="194"/>
      <c r="CE197" s="194"/>
      <c r="CF197" s="194"/>
      <c r="CG197" s="194"/>
      <c r="CH197" s="195"/>
      <c r="CI197" s="194"/>
      <c r="CJ197" s="194"/>
      <c r="CK197" s="194"/>
      <c r="CL197" s="196"/>
      <c r="CM197" s="196"/>
      <c r="CN197" s="194"/>
      <c r="CO197" s="197"/>
      <c r="CP197" s="196"/>
      <c r="CQ197" s="196"/>
      <c r="CR197" s="196"/>
      <c r="CS197" s="196"/>
      <c r="CT197" s="196"/>
      <c r="CU197" s="196"/>
      <c r="CV197" s="194"/>
      <c r="CW197" s="194"/>
      <c r="CX197" s="194"/>
      <c r="CY197" s="194"/>
      <c r="CZ197" s="194"/>
      <c r="DA197" s="194"/>
      <c r="DB197" s="194"/>
      <c r="DC197" s="194"/>
      <c r="DD197" s="194"/>
      <c r="DE197" s="194"/>
      <c r="DF197" s="196"/>
      <c r="DG197" s="198"/>
      <c r="DH197" s="194"/>
      <c r="DI197" s="194"/>
    </row>
    <row r="198" spans="1:113" s="24" customFormat="1" hidden="1" x14ac:dyDescent="0.3">
      <c r="A198" s="172"/>
      <c r="B198" s="172"/>
      <c r="C198" s="172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2"/>
      <c r="AT198" s="172"/>
      <c r="AU198" s="172"/>
      <c r="AV198" s="172"/>
      <c r="AW198" s="172"/>
      <c r="AX198" s="172"/>
      <c r="AY198" s="172"/>
      <c r="AZ198" s="172"/>
      <c r="BA198" s="172"/>
      <c r="BB198" s="172"/>
      <c r="BC198" s="172"/>
      <c r="BD198" s="172"/>
      <c r="BE198" s="172"/>
      <c r="BF198" s="172"/>
      <c r="BG198" s="172"/>
      <c r="BH198" s="172"/>
      <c r="BI198" s="172"/>
      <c r="BJ198" s="172"/>
      <c r="BK198" s="172"/>
      <c r="BL198" s="172"/>
      <c r="BM198" s="172"/>
      <c r="BN198" s="172"/>
      <c r="BO198" s="172"/>
      <c r="BP198" s="172"/>
      <c r="BQ198" s="172"/>
      <c r="BR198" s="172"/>
      <c r="BS198" s="172"/>
      <c r="BT198" s="172"/>
      <c r="BU198" s="172"/>
      <c r="BV198" s="172"/>
      <c r="BW198" s="172"/>
      <c r="BX198" s="172"/>
      <c r="BY198" s="174"/>
      <c r="BZ198" s="172"/>
      <c r="CA198" s="172"/>
      <c r="CD198" s="194"/>
      <c r="CE198" s="194"/>
      <c r="CF198" s="194"/>
      <c r="CG198" s="194"/>
      <c r="CH198" s="195"/>
      <c r="CI198" s="194"/>
      <c r="CJ198" s="194"/>
      <c r="CK198" s="194"/>
      <c r="CL198" s="196"/>
      <c r="CM198" s="196"/>
      <c r="CN198" s="194"/>
      <c r="CO198" s="197"/>
      <c r="CP198" s="196"/>
      <c r="CQ198" s="196"/>
      <c r="CR198" s="196"/>
      <c r="CS198" s="196"/>
      <c r="CT198" s="196"/>
      <c r="CU198" s="196"/>
      <c r="CV198" s="194"/>
      <c r="CW198" s="194"/>
      <c r="CX198" s="194"/>
      <c r="CY198" s="194"/>
      <c r="CZ198" s="194"/>
      <c r="DA198" s="194"/>
      <c r="DB198" s="194"/>
      <c r="DC198" s="194"/>
      <c r="DD198" s="194"/>
      <c r="DE198" s="194"/>
      <c r="DF198" s="196"/>
      <c r="DG198" s="198"/>
      <c r="DH198" s="194"/>
      <c r="DI198" s="194"/>
    </row>
    <row r="199" spans="1:113" s="24" customFormat="1" hidden="1" x14ac:dyDescent="0.3">
      <c r="A199" s="172"/>
      <c r="B199" s="172"/>
      <c r="C199" s="172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2"/>
      <c r="AT199" s="172"/>
      <c r="AU199" s="172"/>
      <c r="AV199" s="172"/>
      <c r="AW199" s="172"/>
      <c r="AX199" s="172"/>
      <c r="AY199" s="172"/>
      <c r="AZ199" s="172"/>
      <c r="BA199" s="172"/>
      <c r="BB199" s="172"/>
      <c r="BC199" s="172"/>
      <c r="BD199" s="172"/>
      <c r="BE199" s="172"/>
      <c r="BF199" s="172"/>
      <c r="BG199" s="172"/>
      <c r="BH199" s="172"/>
      <c r="BI199" s="172"/>
      <c r="BJ199" s="172"/>
      <c r="BK199" s="172"/>
      <c r="BL199" s="172"/>
      <c r="BM199" s="172"/>
      <c r="BN199" s="172"/>
      <c r="BO199" s="172"/>
      <c r="BP199" s="172"/>
      <c r="BQ199" s="172"/>
      <c r="BR199" s="172"/>
      <c r="BS199" s="172"/>
      <c r="BT199" s="172"/>
      <c r="BU199" s="172"/>
      <c r="BV199" s="172"/>
      <c r="BW199" s="172"/>
      <c r="BX199" s="172"/>
      <c r="BY199" s="174"/>
      <c r="BZ199" s="172"/>
      <c r="CA199" s="172"/>
      <c r="CD199" s="194"/>
      <c r="CE199" s="194"/>
      <c r="CF199" s="194"/>
      <c r="CG199" s="194"/>
      <c r="CH199" s="195"/>
      <c r="CI199" s="194"/>
      <c r="CJ199" s="194"/>
      <c r="CK199" s="194"/>
      <c r="CL199" s="196"/>
      <c r="CM199" s="196"/>
      <c r="CN199" s="194"/>
      <c r="CO199" s="197"/>
      <c r="CP199" s="196"/>
      <c r="CQ199" s="196"/>
      <c r="CR199" s="196"/>
      <c r="CS199" s="196"/>
      <c r="CT199" s="196"/>
      <c r="CU199" s="196"/>
      <c r="CV199" s="194"/>
      <c r="CW199" s="194"/>
      <c r="CX199" s="194"/>
      <c r="CY199" s="194"/>
      <c r="CZ199" s="194"/>
      <c r="DA199" s="194"/>
      <c r="DB199" s="194"/>
      <c r="DC199" s="194"/>
      <c r="DD199" s="194"/>
      <c r="DE199" s="194"/>
      <c r="DF199" s="196"/>
      <c r="DG199" s="198"/>
      <c r="DH199" s="194"/>
      <c r="DI199" s="194"/>
    </row>
    <row r="200" spans="1:113" s="24" customFormat="1" hidden="1" x14ac:dyDescent="0.3">
      <c r="A200" s="172"/>
      <c r="B200" s="172"/>
      <c r="C200" s="172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2"/>
      <c r="AT200" s="172"/>
      <c r="AU200" s="172"/>
      <c r="AV200" s="172"/>
      <c r="AW200" s="172"/>
      <c r="AX200" s="172"/>
      <c r="AY200" s="172"/>
      <c r="AZ200" s="172"/>
      <c r="BA200" s="172"/>
      <c r="BB200" s="172"/>
      <c r="BC200" s="172"/>
      <c r="BD200" s="172"/>
      <c r="BE200" s="172"/>
      <c r="BF200" s="172"/>
      <c r="BG200" s="172"/>
      <c r="BH200" s="172"/>
      <c r="BI200" s="172"/>
      <c r="BJ200" s="172"/>
      <c r="BK200" s="172"/>
      <c r="BL200" s="172"/>
      <c r="BM200" s="172"/>
      <c r="BN200" s="172"/>
      <c r="BO200" s="172"/>
      <c r="BP200" s="172"/>
      <c r="BQ200" s="172"/>
      <c r="BR200" s="172"/>
      <c r="BS200" s="172"/>
      <c r="BT200" s="172"/>
      <c r="BU200" s="172"/>
      <c r="BV200" s="172"/>
      <c r="BW200" s="172"/>
      <c r="BX200" s="172"/>
      <c r="BY200" s="174"/>
      <c r="BZ200" s="172"/>
      <c r="CA200" s="172"/>
      <c r="CD200" s="194"/>
      <c r="CE200" s="194"/>
      <c r="CF200" s="194"/>
      <c r="CG200" s="194"/>
      <c r="CH200" s="195"/>
      <c r="CI200" s="194"/>
      <c r="CJ200" s="194"/>
      <c r="CK200" s="194"/>
      <c r="CL200" s="196"/>
      <c r="CM200" s="196"/>
      <c r="CN200" s="194"/>
      <c r="CO200" s="197"/>
      <c r="CP200" s="196"/>
      <c r="CQ200" s="196"/>
      <c r="CR200" s="196"/>
      <c r="CS200" s="196"/>
      <c r="CT200" s="196"/>
      <c r="CU200" s="196"/>
      <c r="CV200" s="194"/>
      <c r="CW200" s="194"/>
      <c r="CX200" s="194"/>
      <c r="CY200" s="194"/>
      <c r="CZ200" s="194"/>
      <c r="DA200" s="194"/>
      <c r="DB200" s="194"/>
      <c r="DC200" s="194"/>
      <c r="DD200" s="194"/>
      <c r="DE200" s="194"/>
      <c r="DF200" s="196"/>
      <c r="DG200" s="198"/>
      <c r="DH200" s="194"/>
      <c r="DI200" s="194"/>
    </row>
    <row r="201" spans="1:113" s="24" customFormat="1" hidden="1" x14ac:dyDescent="0.3">
      <c r="A201" s="172"/>
      <c r="B201" s="172"/>
      <c r="C201" s="172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2"/>
      <c r="AT201" s="172"/>
      <c r="AU201" s="172"/>
      <c r="AV201" s="172"/>
      <c r="AW201" s="172"/>
      <c r="AX201" s="172"/>
      <c r="AY201" s="172"/>
      <c r="AZ201" s="172"/>
      <c r="BA201" s="172"/>
      <c r="BB201" s="172"/>
      <c r="BC201" s="172"/>
      <c r="BD201" s="172"/>
      <c r="BE201" s="172"/>
      <c r="BF201" s="172"/>
      <c r="BG201" s="172"/>
      <c r="BH201" s="172"/>
      <c r="BI201" s="172"/>
      <c r="BJ201" s="172"/>
      <c r="BK201" s="172"/>
      <c r="BL201" s="172"/>
      <c r="BM201" s="172"/>
      <c r="BN201" s="172"/>
      <c r="BO201" s="172"/>
      <c r="BP201" s="172"/>
      <c r="BQ201" s="172"/>
      <c r="BR201" s="172"/>
      <c r="BS201" s="172"/>
      <c r="BT201" s="172"/>
      <c r="BU201" s="172"/>
      <c r="BV201" s="172"/>
      <c r="BW201" s="172"/>
      <c r="BX201" s="172"/>
      <c r="BY201" s="174"/>
      <c r="BZ201" s="172"/>
      <c r="CA201" s="172"/>
      <c r="CD201" s="194"/>
      <c r="CE201" s="194"/>
      <c r="CF201" s="194"/>
      <c r="CG201" s="194"/>
      <c r="CH201" s="195"/>
      <c r="CI201" s="194"/>
      <c r="CJ201" s="194"/>
      <c r="CK201" s="194"/>
      <c r="CL201" s="196"/>
      <c r="CM201" s="196"/>
      <c r="CN201" s="194"/>
      <c r="CO201" s="197"/>
      <c r="CP201" s="196"/>
      <c r="CQ201" s="196"/>
      <c r="CR201" s="196"/>
      <c r="CS201" s="196"/>
      <c r="CT201" s="196"/>
      <c r="CU201" s="196"/>
      <c r="CV201" s="194"/>
      <c r="CW201" s="194"/>
      <c r="CX201" s="194"/>
      <c r="CY201" s="194"/>
      <c r="CZ201" s="194"/>
      <c r="DA201" s="194"/>
      <c r="DB201" s="194"/>
      <c r="DC201" s="194"/>
      <c r="DD201" s="194"/>
      <c r="DE201" s="194"/>
      <c r="DF201" s="196"/>
      <c r="DG201" s="198"/>
      <c r="DH201" s="194"/>
      <c r="DI201" s="194"/>
    </row>
    <row r="202" spans="1:113" s="24" customFormat="1" hidden="1" x14ac:dyDescent="0.3">
      <c r="A202" s="172"/>
      <c r="B202" s="172"/>
      <c r="C202" s="172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2"/>
      <c r="AT202" s="172"/>
      <c r="AU202" s="172"/>
      <c r="AV202" s="172"/>
      <c r="AW202" s="172"/>
      <c r="AX202" s="172"/>
      <c r="AY202" s="172"/>
      <c r="AZ202" s="172"/>
      <c r="BA202" s="172"/>
      <c r="BB202" s="172"/>
      <c r="BC202" s="172"/>
      <c r="BD202" s="172"/>
      <c r="BE202" s="172"/>
      <c r="BF202" s="172"/>
      <c r="BG202" s="172"/>
      <c r="BH202" s="172"/>
      <c r="BI202" s="172"/>
      <c r="BJ202" s="172"/>
      <c r="BK202" s="172"/>
      <c r="BL202" s="172"/>
      <c r="BM202" s="172"/>
      <c r="BN202" s="172"/>
      <c r="BO202" s="172"/>
      <c r="BP202" s="172"/>
      <c r="BQ202" s="172"/>
      <c r="BR202" s="172"/>
      <c r="BS202" s="172"/>
      <c r="BT202" s="172"/>
      <c r="BU202" s="172"/>
      <c r="BV202" s="172"/>
      <c r="BW202" s="172"/>
      <c r="BX202" s="172"/>
      <c r="BY202" s="174"/>
      <c r="BZ202" s="172"/>
      <c r="CA202" s="172"/>
      <c r="CD202" s="194"/>
      <c r="CE202" s="194"/>
      <c r="CF202" s="194"/>
      <c r="CG202" s="194"/>
      <c r="CH202" s="195"/>
      <c r="CI202" s="194"/>
      <c r="CJ202" s="194"/>
      <c r="CK202" s="194"/>
      <c r="CL202" s="196"/>
      <c r="CM202" s="196"/>
      <c r="CN202" s="194"/>
      <c r="CO202" s="197"/>
      <c r="CP202" s="196"/>
      <c r="CQ202" s="196"/>
      <c r="CR202" s="196"/>
      <c r="CS202" s="196"/>
      <c r="CT202" s="196"/>
      <c r="CU202" s="196"/>
      <c r="CV202" s="194"/>
      <c r="CW202" s="194"/>
      <c r="CX202" s="194"/>
      <c r="CY202" s="194"/>
      <c r="CZ202" s="194"/>
      <c r="DA202" s="194"/>
      <c r="DB202" s="194"/>
      <c r="DC202" s="194"/>
      <c r="DD202" s="194"/>
      <c r="DE202" s="194"/>
      <c r="DF202" s="196"/>
      <c r="DG202" s="198"/>
      <c r="DH202" s="194"/>
      <c r="DI202" s="194"/>
    </row>
    <row r="203" spans="1:113" s="24" customFormat="1" hidden="1" x14ac:dyDescent="0.3">
      <c r="A203" s="172"/>
      <c r="B203" s="172"/>
      <c r="C203" s="172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2"/>
      <c r="AT203" s="172"/>
      <c r="AU203" s="172"/>
      <c r="AV203" s="172"/>
      <c r="AW203" s="172"/>
      <c r="AX203" s="172"/>
      <c r="AY203" s="172"/>
      <c r="AZ203" s="172"/>
      <c r="BA203" s="172"/>
      <c r="BB203" s="172"/>
      <c r="BC203" s="172"/>
      <c r="BD203" s="172"/>
      <c r="BE203" s="172"/>
      <c r="BF203" s="172"/>
      <c r="BG203" s="172"/>
      <c r="BH203" s="172"/>
      <c r="BI203" s="172"/>
      <c r="BJ203" s="172"/>
      <c r="BK203" s="172"/>
      <c r="BL203" s="172"/>
      <c r="BM203" s="172"/>
      <c r="BN203" s="172"/>
      <c r="BO203" s="172"/>
      <c r="BP203" s="172"/>
      <c r="BQ203" s="172"/>
      <c r="BR203" s="172"/>
      <c r="BS203" s="172"/>
      <c r="BT203" s="172"/>
      <c r="BU203" s="172"/>
      <c r="BV203" s="172"/>
      <c r="BW203" s="172"/>
      <c r="BX203" s="172"/>
      <c r="BY203" s="174"/>
      <c r="BZ203" s="172"/>
      <c r="CA203" s="172"/>
      <c r="CD203" s="194"/>
      <c r="CE203" s="194"/>
      <c r="CF203" s="194"/>
      <c r="CG203" s="194"/>
      <c r="CH203" s="195"/>
      <c r="CI203" s="194"/>
      <c r="CJ203" s="194"/>
      <c r="CK203" s="194"/>
      <c r="CL203" s="196"/>
      <c r="CM203" s="196"/>
      <c r="CN203" s="194"/>
      <c r="CO203" s="197"/>
      <c r="CP203" s="196"/>
      <c r="CQ203" s="196"/>
      <c r="CR203" s="196"/>
      <c r="CS203" s="196"/>
      <c r="CT203" s="196"/>
      <c r="CU203" s="196"/>
      <c r="CV203" s="194"/>
      <c r="CW203" s="194"/>
      <c r="CX203" s="194"/>
      <c r="CY203" s="194"/>
      <c r="CZ203" s="194"/>
      <c r="DA203" s="194"/>
      <c r="DB203" s="194"/>
      <c r="DC203" s="194"/>
      <c r="DD203" s="194"/>
      <c r="DE203" s="194"/>
      <c r="DF203" s="196"/>
      <c r="DG203" s="198"/>
      <c r="DH203" s="194"/>
      <c r="DI203" s="194"/>
    </row>
    <row r="204" spans="1:113" s="24" customFormat="1" hidden="1" x14ac:dyDescent="0.3">
      <c r="A204" s="172"/>
      <c r="B204" s="172"/>
      <c r="C204" s="172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2"/>
      <c r="AT204" s="172"/>
      <c r="AU204" s="172"/>
      <c r="AV204" s="172"/>
      <c r="AW204" s="172"/>
      <c r="AX204" s="172"/>
      <c r="AY204" s="172"/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172"/>
      <c r="BM204" s="172"/>
      <c r="BN204" s="172"/>
      <c r="BO204" s="172"/>
      <c r="BP204" s="172"/>
      <c r="BQ204" s="172"/>
      <c r="BR204" s="172"/>
      <c r="BS204" s="172"/>
      <c r="BT204" s="172"/>
      <c r="BU204" s="172"/>
      <c r="BV204" s="172"/>
      <c r="BW204" s="172"/>
      <c r="BX204" s="172"/>
      <c r="BY204" s="174"/>
      <c r="BZ204" s="172"/>
      <c r="CA204" s="172"/>
      <c r="CD204" s="194"/>
      <c r="CE204" s="194"/>
      <c r="CF204" s="194"/>
      <c r="CG204" s="194"/>
      <c r="CH204" s="195"/>
      <c r="CI204" s="194"/>
      <c r="CJ204" s="194"/>
      <c r="CK204" s="194"/>
      <c r="CL204" s="196"/>
      <c r="CM204" s="196"/>
      <c r="CN204" s="194"/>
      <c r="CO204" s="197"/>
      <c r="CP204" s="196"/>
      <c r="CQ204" s="196"/>
      <c r="CR204" s="196"/>
      <c r="CS204" s="196"/>
      <c r="CT204" s="196"/>
      <c r="CU204" s="196"/>
      <c r="CV204" s="194"/>
      <c r="CW204" s="194"/>
      <c r="CX204" s="194"/>
      <c r="CY204" s="194"/>
      <c r="CZ204" s="194"/>
      <c r="DA204" s="194"/>
      <c r="DB204" s="194"/>
      <c r="DC204" s="194"/>
      <c r="DD204" s="194"/>
      <c r="DE204" s="194"/>
      <c r="DF204" s="196"/>
      <c r="DG204" s="198"/>
      <c r="DH204" s="194"/>
      <c r="DI204" s="194"/>
    </row>
    <row r="205" spans="1:113" s="24" customFormat="1" hidden="1" x14ac:dyDescent="0.3">
      <c r="A205" s="172"/>
      <c r="B205" s="172"/>
      <c r="C205" s="172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2"/>
      <c r="AT205" s="172"/>
      <c r="AU205" s="172"/>
      <c r="AV205" s="172"/>
      <c r="AW205" s="172"/>
      <c r="AX205" s="172"/>
      <c r="AY205" s="172"/>
      <c r="AZ205" s="172"/>
      <c r="BA205" s="172"/>
      <c r="BB205" s="172"/>
      <c r="BC205" s="172"/>
      <c r="BD205" s="172"/>
      <c r="BE205" s="172"/>
      <c r="BF205" s="172"/>
      <c r="BG205" s="172"/>
      <c r="BH205" s="172"/>
      <c r="BI205" s="172"/>
      <c r="BJ205" s="172"/>
      <c r="BK205" s="172"/>
      <c r="BL205" s="172"/>
      <c r="BM205" s="172"/>
      <c r="BN205" s="172"/>
      <c r="BO205" s="172"/>
      <c r="BP205" s="172"/>
      <c r="BQ205" s="172"/>
      <c r="BR205" s="172"/>
      <c r="BS205" s="172"/>
      <c r="BT205" s="172"/>
      <c r="BU205" s="172"/>
      <c r="BV205" s="172"/>
      <c r="BW205" s="172"/>
      <c r="BX205" s="172"/>
      <c r="BY205" s="174"/>
      <c r="BZ205" s="172"/>
      <c r="CA205" s="172"/>
      <c r="CD205" s="194"/>
      <c r="CE205" s="194"/>
      <c r="CF205" s="194"/>
      <c r="CG205" s="194"/>
      <c r="CH205" s="195"/>
      <c r="CI205" s="194"/>
      <c r="CJ205" s="194"/>
      <c r="CK205" s="194"/>
      <c r="CL205" s="196"/>
      <c r="CM205" s="196"/>
      <c r="CN205" s="194"/>
      <c r="CO205" s="197"/>
      <c r="CP205" s="196"/>
      <c r="CQ205" s="196"/>
      <c r="CR205" s="196"/>
      <c r="CS205" s="196"/>
      <c r="CT205" s="196"/>
      <c r="CU205" s="196"/>
      <c r="CV205" s="194"/>
      <c r="CW205" s="194"/>
      <c r="CX205" s="194"/>
      <c r="CY205" s="194"/>
      <c r="CZ205" s="194"/>
      <c r="DA205" s="194"/>
      <c r="DB205" s="194"/>
      <c r="DC205" s="194"/>
      <c r="DD205" s="194"/>
      <c r="DE205" s="194"/>
      <c r="DF205" s="196"/>
      <c r="DG205" s="198"/>
      <c r="DH205" s="194"/>
      <c r="DI205" s="194"/>
    </row>
    <row r="206" spans="1:113" s="24" customFormat="1" hidden="1" x14ac:dyDescent="0.3">
      <c r="A206" s="172"/>
      <c r="B206" s="172"/>
      <c r="C206" s="172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2"/>
      <c r="AT206" s="172"/>
      <c r="AU206" s="172"/>
      <c r="AV206" s="172"/>
      <c r="AW206" s="172"/>
      <c r="AX206" s="172"/>
      <c r="AY206" s="172"/>
      <c r="AZ206" s="172"/>
      <c r="BA206" s="172"/>
      <c r="BB206" s="172"/>
      <c r="BC206" s="172"/>
      <c r="BD206" s="172"/>
      <c r="BE206" s="172"/>
      <c r="BF206" s="172"/>
      <c r="BG206" s="172"/>
      <c r="BH206" s="172"/>
      <c r="BI206" s="172"/>
      <c r="BJ206" s="172"/>
      <c r="BK206" s="172"/>
      <c r="BL206" s="172"/>
      <c r="BM206" s="172"/>
      <c r="BN206" s="172"/>
      <c r="BO206" s="172"/>
      <c r="BP206" s="172"/>
      <c r="BQ206" s="172"/>
      <c r="BR206" s="172"/>
      <c r="BS206" s="172"/>
      <c r="BT206" s="172"/>
      <c r="BU206" s="172"/>
      <c r="BV206" s="172"/>
      <c r="BW206" s="172"/>
      <c r="BX206" s="172"/>
      <c r="BY206" s="174"/>
      <c r="BZ206" s="172"/>
      <c r="CA206" s="172"/>
      <c r="CD206" s="194"/>
      <c r="CE206" s="194"/>
      <c r="CF206" s="194"/>
      <c r="CG206" s="194"/>
      <c r="CH206" s="195"/>
      <c r="CI206" s="194"/>
      <c r="CJ206" s="194"/>
      <c r="CK206" s="194"/>
      <c r="CL206" s="196"/>
      <c r="CM206" s="196"/>
      <c r="CN206" s="194"/>
      <c r="CO206" s="197"/>
      <c r="CP206" s="196"/>
      <c r="CQ206" s="196"/>
      <c r="CR206" s="196"/>
      <c r="CS206" s="196"/>
      <c r="CT206" s="196"/>
      <c r="CU206" s="196"/>
      <c r="CV206" s="194"/>
      <c r="CW206" s="194"/>
      <c r="CX206" s="194"/>
      <c r="CY206" s="194"/>
      <c r="CZ206" s="194"/>
      <c r="DA206" s="194"/>
      <c r="DB206" s="194"/>
      <c r="DC206" s="194"/>
      <c r="DD206" s="194"/>
      <c r="DE206" s="194"/>
      <c r="DF206" s="196"/>
      <c r="DG206" s="198"/>
      <c r="DH206" s="194"/>
      <c r="DI206" s="194"/>
    </row>
    <row r="207" spans="1:113" s="24" customFormat="1" hidden="1" x14ac:dyDescent="0.3">
      <c r="A207" s="172"/>
      <c r="B207" s="172"/>
      <c r="C207" s="172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2"/>
      <c r="AT207" s="172"/>
      <c r="AU207" s="172"/>
      <c r="AV207" s="172"/>
      <c r="AW207" s="172"/>
      <c r="AX207" s="172"/>
      <c r="AY207" s="172"/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172"/>
      <c r="BM207" s="172"/>
      <c r="BN207" s="172"/>
      <c r="BO207" s="172"/>
      <c r="BP207" s="172"/>
      <c r="BQ207" s="172"/>
      <c r="BR207" s="172"/>
      <c r="BS207" s="172"/>
      <c r="BT207" s="172"/>
      <c r="BU207" s="172"/>
      <c r="BV207" s="172"/>
      <c r="BW207" s="172"/>
      <c r="BX207" s="172"/>
      <c r="BY207" s="174"/>
      <c r="BZ207" s="172"/>
      <c r="CA207" s="172"/>
      <c r="CD207" s="194"/>
      <c r="CE207" s="194"/>
      <c r="CF207" s="194"/>
      <c r="CG207" s="194"/>
      <c r="CH207" s="195"/>
      <c r="CI207" s="194"/>
      <c r="CJ207" s="194"/>
      <c r="CK207" s="194"/>
      <c r="CL207" s="196"/>
      <c r="CM207" s="196"/>
      <c r="CN207" s="194"/>
      <c r="CO207" s="197"/>
      <c r="CP207" s="196"/>
      <c r="CQ207" s="196"/>
      <c r="CR207" s="196"/>
      <c r="CS207" s="196"/>
      <c r="CT207" s="196"/>
      <c r="CU207" s="196"/>
      <c r="CV207" s="194"/>
      <c r="CW207" s="194"/>
      <c r="CX207" s="194"/>
      <c r="CY207" s="194"/>
      <c r="CZ207" s="194"/>
      <c r="DA207" s="194"/>
      <c r="DB207" s="194"/>
      <c r="DC207" s="194"/>
      <c r="DD207" s="194"/>
      <c r="DE207" s="194"/>
      <c r="DF207" s="196"/>
      <c r="DG207" s="198"/>
      <c r="DH207" s="194"/>
      <c r="DI207" s="194"/>
    </row>
    <row r="208" spans="1:113" s="24" customFormat="1" hidden="1" x14ac:dyDescent="0.3">
      <c r="A208" s="172"/>
      <c r="B208" s="172"/>
      <c r="C208" s="172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2"/>
      <c r="AT208" s="172"/>
      <c r="AU208" s="172"/>
      <c r="AV208" s="172"/>
      <c r="AW208" s="172"/>
      <c r="AX208" s="172"/>
      <c r="AY208" s="172"/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172"/>
      <c r="BM208" s="172"/>
      <c r="BN208" s="172"/>
      <c r="BO208" s="172"/>
      <c r="BP208" s="172"/>
      <c r="BQ208" s="172"/>
      <c r="BR208" s="172"/>
      <c r="BS208" s="172"/>
      <c r="BT208" s="172"/>
      <c r="BU208" s="172"/>
      <c r="BV208" s="172"/>
      <c r="BW208" s="172"/>
      <c r="BX208" s="172"/>
      <c r="BY208" s="174"/>
      <c r="BZ208" s="172"/>
      <c r="CA208" s="172"/>
      <c r="CD208" s="194"/>
      <c r="CE208" s="194"/>
      <c r="CF208" s="194"/>
      <c r="CG208" s="194"/>
      <c r="CH208" s="195"/>
      <c r="CI208" s="194"/>
      <c r="CJ208" s="194"/>
      <c r="CK208" s="194"/>
      <c r="CL208" s="196"/>
      <c r="CM208" s="196"/>
      <c r="CN208" s="194"/>
      <c r="CO208" s="197"/>
      <c r="CP208" s="196"/>
      <c r="CQ208" s="196"/>
      <c r="CR208" s="196"/>
      <c r="CS208" s="196"/>
      <c r="CT208" s="196"/>
      <c r="CU208" s="196"/>
      <c r="CV208" s="194"/>
      <c r="CW208" s="194"/>
      <c r="CX208" s="194"/>
      <c r="CY208" s="194"/>
      <c r="CZ208" s="194"/>
      <c r="DA208" s="194"/>
      <c r="DB208" s="194"/>
      <c r="DC208" s="194"/>
      <c r="DD208" s="194"/>
      <c r="DE208" s="194"/>
      <c r="DF208" s="196"/>
      <c r="DG208" s="198"/>
      <c r="DH208" s="194"/>
      <c r="DI208" s="194"/>
    </row>
    <row r="209" spans="1:113" s="24" customFormat="1" hidden="1" x14ac:dyDescent="0.3">
      <c r="A209" s="172"/>
      <c r="B209" s="172"/>
      <c r="C209" s="172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2"/>
      <c r="AT209" s="172"/>
      <c r="AU209" s="172"/>
      <c r="AV209" s="172"/>
      <c r="AW209" s="172"/>
      <c r="AX209" s="172"/>
      <c r="AY209" s="172"/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172"/>
      <c r="BM209" s="172"/>
      <c r="BN209" s="172"/>
      <c r="BO209" s="172"/>
      <c r="BP209" s="172"/>
      <c r="BQ209" s="172"/>
      <c r="BR209" s="172"/>
      <c r="BS209" s="172"/>
      <c r="BT209" s="172"/>
      <c r="BU209" s="172"/>
      <c r="BV209" s="172"/>
      <c r="BW209" s="172"/>
      <c r="BX209" s="172"/>
      <c r="BY209" s="174"/>
      <c r="BZ209" s="172"/>
      <c r="CA209" s="172"/>
      <c r="CD209" s="194"/>
      <c r="CE209" s="194"/>
      <c r="CF209" s="194"/>
      <c r="CG209" s="194"/>
      <c r="CH209" s="195"/>
      <c r="CI209" s="194"/>
      <c r="CJ209" s="194"/>
      <c r="CK209" s="194"/>
      <c r="CL209" s="196"/>
      <c r="CM209" s="196"/>
      <c r="CN209" s="194"/>
      <c r="CO209" s="197"/>
      <c r="CP209" s="196"/>
      <c r="CQ209" s="196"/>
      <c r="CR209" s="196"/>
      <c r="CS209" s="196"/>
      <c r="CT209" s="196"/>
      <c r="CU209" s="196"/>
      <c r="CV209" s="194"/>
      <c r="CW209" s="194"/>
      <c r="CX209" s="194"/>
      <c r="CY209" s="194"/>
      <c r="CZ209" s="194"/>
      <c r="DA209" s="194"/>
      <c r="DB209" s="194"/>
      <c r="DC209" s="194"/>
      <c r="DD209" s="194"/>
      <c r="DE209" s="194"/>
      <c r="DF209" s="196"/>
      <c r="DG209" s="198"/>
      <c r="DH209" s="194"/>
      <c r="DI209" s="194"/>
    </row>
    <row r="210" spans="1:113" s="24" customFormat="1" hidden="1" x14ac:dyDescent="0.3">
      <c r="A210" s="172"/>
      <c r="B210" s="172"/>
      <c r="C210" s="172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2"/>
      <c r="AT210" s="172"/>
      <c r="AU210" s="172"/>
      <c r="AV210" s="172"/>
      <c r="AW210" s="172"/>
      <c r="AX210" s="172"/>
      <c r="AY210" s="172"/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172"/>
      <c r="BM210" s="172"/>
      <c r="BN210" s="172"/>
      <c r="BO210" s="172"/>
      <c r="BP210" s="172"/>
      <c r="BQ210" s="172"/>
      <c r="BR210" s="172"/>
      <c r="BS210" s="172"/>
      <c r="BT210" s="172"/>
      <c r="BU210" s="172"/>
      <c r="BV210" s="172"/>
      <c r="BW210" s="172"/>
      <c r="BX210" s="172"/>
      <c r="BY210" s="174"/>
      <c r="BZ210" s="172"/>
      <c r="CA210" s="172"/>
      <c r="CD210" s="194"/>
      <c r="CE210" s="194"/>
      <c r="CF210" s="194"/>
      <c r="CG210" s="194"/>
      <c r="CH210" s="195"/>
      <c r="CI210" s="194"/>
      <c r="CJ210" s="194"/>
      <c r="CK210" s="194"/>
      <c r="CL210" s="196"/>
      <c r="CM210" s="196"/>
      <c r="CN210" s="194"/>
      <c r="CO210" s="197"/>
      <c r="CP210" s="196"/>
      <c r="CQ210" s="196"/>
      <c r="CR210" s="196"/>
      <c r="CS210" s="196"/>
      <c r="CT210" s="196"/>
      <c r="CU210" s="196"/>
      <c r="CV210" s="194"/>
      <c r="CW210" s="194"/>
      <c r="CX210" s="194"/>
      <c r="CY210" s="194"/>
      <c r="CZ210" s="194"/>
      <c r="DA210" s="194"/>
      <c r="DB210" s="194"/>
      <c r="DC210" s="194"/>
      <c r="DD210" s="194"/>
      <c r="DE210" s="194"/>
      <c r="DF210" s="196"/>
      <c r="DG210" s="198"/>
      <c r="DH210" s="194"/>
      <c r="DI210" s="194"/>
    </row>
    <row r="211" spans="1:113" s="24" customFormat="1" hidden="1" x14ac:dyDescent="0.3">
      <c r="A211" s="172"/>
      <c r="B211" s="172"/>
      <c r="C211" s="172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2"/>
      <c r="AT211" s="172"/>
      <c r="AU211" s="172"/>
      <c r="AV211" s="172"/>
      <c r="AW211" s="172"/>
      <c r="AX211" s="172"/>
      <c r="AY211" s="172"/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172"/>
      <c r="BM211" s="172"/>
      <c r="BN211" s="172"/>
      <c r="BO211" s="172"/>
      <c r="BP211" s="172"/>
      <c r="BQ211" s="172"/>
      <c r="BR211" s="172"/>
      <c r="BS211" s="172"/>
      <c r="BT211" s="172"/>
      <c r="BU211" s="172"/>
      <c r="BV211" s="172"/>
      <c r="BW211" s="172"/>
      <c r="BX211" s="172"/>
      <c r="BY211" s="174"/>
      <c r="BZ211" s="172"/>
      <c r="CA211" s="172"/>
      <c r="CD211" s="194"/>
      <c r="CE211" s="194"/>
      <c r="CF211" s="194"/>
      <c r="CG211" s="194"/>
      <c r="CH211" s="195"/>
      <c r="CI211" s="194"/>
      <c r="CJ211" s="194"/>
      <c r="CK211" s="194"/>
      <c r="CL211" s="196"/>
      <c r="CM211" s="196"/>
      <c r="CN211" s="194"/>
      <c r="CO211" s="197"/>
      <c r="CP211" s="196"/>
      <c r="CQ211" s="196"/>
      <c r="CR211" s="196"/>
      <c r="CS211" s="196"/>
      <c r="CT211" s="196"/>
      <c r="CU211" s="196"/>
      <c r="CV211" s="194"/>
      <c r="CW211" s="194"/>
      <c r="CX211" s="194"/>
      <c r="CY211" s="194"/>
      <c r="CZ211" s="194"/>
      <c r="DA211" s="194"/>
      <c r="DB211" s="194"/>
      <c r="DC211" s="194"/>
      <c r="DD211" s="194"/>
      <c r="DE211" s="194"/>
      <c r="DF211" s="196"/>
      <c r="DG211" s="198"/>
      <c r="DH211" s="194"/>
      <c r="DI211" s="194"/>
    </row>
    <row r="212" spans="1:113" s="24" customFormat="1" hidden="1" x14ac:dyDescent="0.3">
      <c r="A212" s="172"/>
      <c r="B212" s="172"/>
      <c r="C212" s="172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2"/>
      <c r="AT212" s="172"/>
      <c r="AU212" s="172"/>
      <c r="AV212" s="172"/>
      <c r="AW212" s="172"/>
      <c r="AX212" s="172"/>
      <c r="AY212" s="172"/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172"/>
      <c r="BM212" s="172"/>
      <c r="BN212" s="172"/>
      <c r="BO212" s="172"/>
      <c r="BP212" s="172"/>
      <c r="BQ212" s="172"/>
      <c r="BR212" s="172"/>
      <c r="BS212" s="172"/>
      <c r="BT212" s="172"/>
      <c r="BU212" s="172"/>
      <c r="BV212" s="172"/>
      <c r="BW212" s="172"/>
      <c r="BX212" s="172"/>
      <c r="BY212" s="174"/>
      <c r="BZ212" s="172"/>
      <c r="CA212" s="172"/>
      <c r="CD212" s="194"/>
      <c r="CE212" s="194"/>
      <c r="CF212" s="194"/>
      <c r="CG212" s="194"/>
      <c r="CH212" s="195"/>
      <c r="CI212" s="194"/>
      <c r="CJ212" s="194"/>
      <c r="CK212" s="194"/>
      <c r="CL212" s="196"/>
      <c r="CM212" s="196"/>
      <c r="CN212" s="194"/>
      <c r="CO212" s="197"/>
      <c r="CP212" s="196"/>
      <c r="CQ212" s="196"/>
      <c r="CR212" s="196"/>
      <c r="CS212" s="196"/>
      <c r="CT212" s="196"/>
      <c r="CU212" s="196"/>
      <c r="CV212" s="194"/>
      <c r="CW212" s="194"/>
      <c r="CX212" s="194"/>
      <c r="CY212" s="194"/>
      <c r="CZ212" s="194"/>
      <c r="DA212" s="194"/>
      <c r="DB212" s="194"/>
      <c r="DC212" s="194"/>
      <c r="DD212" s="194"/>
      <c r="DE212" s="194"/>
      <c r="DF212" s="196"/>
      <c r="DG212" s="198"/>
      <c r="DH212" s="194"/>
      <c r="DI212" s="194"/>
    </row>
    <row r="213" spans="1:113" s="24" customFormat="1" hidden="1" x14ac:dyDescent="0.3">
      <c r="A213" s="172"/>
      <c r="B213" s="172"/>
      <c r="C213" s="172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2"/>
      <c r="AT213" s="172"/>
      <c r="AU213" s="172"/>
      <c r="AV213" s="172"/>
      <c r="AW213" s="172"/>
      <c r="AX213" s="172"/>
      <c r="AY213" s="172"/>
      <c r="AZ213" s="172"/>
      <c r="BA213" s="172"/>
      <c r="BB213" s="172"/>
      <c r="BC213" s="172"/>
      <c r="BD213" s="172"/>
      <c r="BE213" s="172"/>
      <c r="BF213" s="172"/>
      <c r="BG213" s="172"/>
      <c r="BH213" s="172"/>
      <c r="BI213" s="172"/>
      <c r="BJ213" s="172"/>
      <c r="BK213" s="172"/>
      <c r="BL213" s="172"/>
      <c r="BM213" s="172"/>
      <c r="BN213" s="172"/>
      <c r="BO213" s="172"/>
      <c r="BP213" s="172"/>
      <c r="BQ213" s="172"/>
      <c r="BR213" s="172"/>
      <c r="BS213" s="172"/>
      <c r="BT213" s="172"/>
      <c r="BU213" s="172"/>
      <c r="BV213" s="172"/>
      <c r="BW213" s="172"/>
      <c r="BX213" s="172"/>
      <c r="BY213" s="174"/>
      <c r="BZ213" s="172"/>
      <c r="CA213" s="172"/>
      <c r="CD213" s="194"/>
      <c r="CE213" s="194"/>
      <c r="CF213" s="194"/>
      <c r="CG213" s="194"/>
      <c r="CH213" s="195"/>
      <c r="CI213" s="194"/>
      <c r="CJ213" s="194"/>
      <c r="CK213" s="194"/>
      <c r="CL213" s="196"/>
      <c r="CM213" s="196"/>
      <c r="CN213" s="194"/>
      <c r="CO213" s="197"/>
      <c r="CP213" s="196"/>
      <c r="CQ213" s="196"/>
      <c r="CR213" s="196"/>
      <c r="CS213" s="196"/>
      <c r="CT213" s="196"/>
      <c r="CU213" s="196"/>
      <c r="CV213" s="194"/>
      <c r="CW213" s="194"/>
      <c r="CX213" s="194"/>
      <c r="CY213" s="194"/>
      <c r="CZ213" s="194"/>
      <c r="DA213" s="194"/>
      <c r="DB213" s="194"/>
      <c r="DC213" s="194"/>
      <c r="DD213" s="194"/>
      <c r="DE213" s="194"/>
      <c r="DF213" s="196"/>
      <c r="DG213" s="198"/>
      <c r="DH213" s="194"/>
      <c r="DI213" s="194"/>
    </row>
    <row r="214" spans="1:113" s="24" customFormat="1" hidden="1" x14ac:dyDescent="0.3">
      <c r="A214" s="172"/>
      <c r="B214" s="172"/>
      <c r="C214" s="172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2"/>
      <c r="AT214" s="172"/>
      <c r="AU214" s="172"/>
      <c r="AV214" s="172"/>
      <c r="AW214" s="172"/>
      <c r="AX214" s="172"/>
      <c r="AY214" s="172"/>
      <c r="AZ214" s="172"/>
      <c r="BA214" s="172"/>
      <c r="BB214" s="172"/>
      <c r="BC214" s="172"/>
      <c r="BD214" s="172"/>
      <c r="BE214" s="172"/>
      <c r="BF214" s="172"/>
      <c r="BG214" s="172"/>
      <c r="BH214" s="172"/>
      <c r="BI214" s="172"/>
      <c r="BJ214" s="172"/>
      <c r="BK214" s="172"/>
      <c r="BL214" s="172"/>
      <c r="BM214" s="172"/>
      <c r="BN214" s="172"/>
      <c r="BO214" s="172"/>
      <c r="BP214" s="172"/>
      <c r="BQ214" s="172"/>
      <c r="BR214" s="172"/>
      <c r="BS214" s="172"/>
      <c r="BT214" s="172"/>
      <c r="BU214" s="172"/>
      <c r="BV214" s="172"/>
      <c r="BW214" s="172"/>
      <c r="BX214" s="172"/>
      <c r="BY214" s="174"/>
      <c r="BZ214" s="172"/>
      <c r="CA214" s="172"/>
      <c r="CD214" s="194"/>
      <c r="CE214" s="194"/>
      <c r="CF214" s="194"/>
      <c r="CG214" s="194"/>
      <c r="CH214" s="195"/>
      <c r="CI214" s="194"/>
      <c r="CJ214" s="194"/>
      <c r="CK214" s="194"/>
      <c r="CL214" s="196"/>
      <c r="CM214" s="196"/>
      <c r="CN214" s="194"/>
      <c r="CO214" s="197"/>
      <c r="CP214" s="196"/>
      <c r="CQ214" s="196"/>
      <c r="CR214" s="196"/>
      <c r="CS214" s="196"/>
      <c r="CT214" s="196"/>
      <c r="CU214" s="196"/>
      <c r="CV214" s="194"/>
      <c r="CW214" s="194"/>
      <c r="CX214" s="194"/>
      <c r="CY214" s="194"/>
      <c r="CZ214" s="194"/>
      <c r="DA214" s="194"/>
      <c r="DB214" s="194"/>
      <c r="DC214" s="194"/>
      <c r="DD214" s="194"/>
      <c r="DE214" s="194"/>
      <c r="DF214" s="196"/>
      <c r="DG214" s="198"/>
      <c r="DH214" s="194"/>
      <c r="DI214" s="194"/>
    </row>
    <row r="215" spans="1:113" s="24" customFormat="1" hidden="1" x14ac:dyDescent="0.3">
      <c r="A215" s="172"/>
      <c r="B215" s="172"/>
      <c r="C215" s="172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2"/>
      <c r="AT215" s="172"/>
      <c r="AU215" s="172"/>
      <c r="AV215" s="172"/>
      <c r="AW215" s="172"/>
      <c r="AX215" s="172"/>
      <c r="AY215" s="172"/>
      <c r="AZ215" s="172"/>
      <c r="BA215" s="172"/>
      <c r="BB215" s="172"/>
      <c r="BC215" s="172"/>
      <c r="BD215" s="172"/>
      <c r="BE215" s="172"/>
      <c r="BF215" s="172"/>
      <c r="BG215" s="172"/>
      <c r="BH215" s="172"/>
      <c r="BI215" s="172"/>
      <c r="BJ215" s="172"/>
      <c r="BK215" s="172"/>
      <c r="BL215" s="172"/>
      <c r="BM215" s="172"/>
      <c r="BN215" s="172"/>
      <c r="BO215" s="172"/>
      <c r="BP215" s="172"/>
      <c r="BQ215" s="172"/>
      <c r="BR215" s="172"/>
      <c r="BS215" s="172"/>
      <c r="BT215" s="172"/>
      <c r="BU215" s="172"/>
      <c r="BV215" s="172"/>
      <c r="BW215" s="172"/>
      <c r="BX215" s="172"/>
      <c r="BY215" s="174"/>
      <c r="BZ215" s="172"/>
      <c r="CA215" s="172"/>
      <c r="CD215" s="194"/>
      <c r="CE215" s="194"/>
      <c r="CF215" s="194"/>
      <c r="CG215" s="194"/>
      <c r="CH215" s="195"/>
      <c r="CI215" s="194"/>
      <c r="CJ215" s="194"/>
      <c r="CK215" s="194"/>
      <c r="CL215" s="196"/>
      <c r="CM215" s="196"/>
      <c r="CN215" s="194"/>
      <c r="CO215" s="197"/>
      <c r="CP215" s="196"/>
      <c r="CQ215" s="196"/>
      <c r="CR215" s="196"/>
      <c r="CS215" s="196"/>
      <c r="CT215" s="196"/>
      <c r="CU215" s="196"/>
      <c r="CV215" s="194"/>
      <c r="CW215" s="194"/>
      <c r="CX215" s="194"/>
      <c r="CY215" s="194"/>
      <c r="CZ215" s="194"/>
      <c r="DA215" s="194"/>
      <c r="DB215" s="194"/>
      <c r="DC215" s="194"/>
      <c r="DD215" s="194"/>
      <c r="DE215" s="194"/>
      <c r="DF215" s="196"/>
      <c r="DG215" s="198"/>
      <c r="DH215" s="194"/>
      <c r="DI215" s="194"/>
    </row>
    <row r="216" spans="1:113" s="24" customFormat="1" hidden="1" x14ac:dyDescent="0.3">
      <c r="A216" s="172"/>
      <c r="B216" s="172"/>
      <c r="C216" s="172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2"/>
      <c r="AT216" s="172"/>
      <c r="AU216" s="172"/>
      <c r="AV216" s="172"/>
      <c r="AW216" s="172"/>
      <c r="AX216" s="172"/>
      <c r="AY216" s="172"/>
      <c r="AZ216" s="172"/>
      <c r="BA216" s="172"/>
      <c r="BB216" s="172"/>
      <c r="BC216" s="172"/>
      <c r="BD216" s="172"/>
      <c r="BE216" s="172"/>
      <c r="BF216" s="172"/>
      <c r="BG216" s="172"/>
      <c r="BH216" s="172"/>
      <c r="BI216" s="172"/>
      <c r="BJ216" s="172"/>
      <c r="BK216" s="172"/>
      <c r="BL216" s="172"/>
      <c r="BM216" s="172"/>
      <c r="BN216" s="172"/>
      <c r="BO216" s="172"/>
      <c r="BP216" s="172"/>
      <c r="BQ216" s="172"/>
      <c r="BR216" s="172"/>
      <c r="BS216" s="172"/>
      <c r="BT216" s="172"/>
      <c r="BU216" s="172"/>
      <c r="BV216" s="172"/>
      <c r="BW216" s="172"/>
      <c r="BX216" s="172"/>
      <c r="BY216" s="174"/>
      <c r="BZ216" s="172"/>
      <c r="CA216" s="172"/>
      <c r="CD216" s="194"/>
      <c r="CE216" s="194"/>
      <c r="CF216" s="194"/>
      <c r="CG216" s="194"/>
      <c r="CH216" s="195"/>
      <c r="CI216" s="194"/>
      <c r="CJ216" s="194"/>
      <c r="CK216" s="194"/>
      <c r="CL216" s="196"/>
      <c r="CM216" s="196"/>
      <c r="CN216" s="194"/>
      <c r="CO216" s="197"/>
      <c r="CP216" s="196"/>
      <c r="CQ216" s="196"/>
      <c r="CR216" s="196"/>
      <c r="CS216" s="196"/>
      <c r="CT216" s="196"/>
      <c r="CU216" s="196"/>
      <c r="CV216" s="194"/>
      <c r="CW216" s="194"/>
      <c r="CX216" s="194"/>
      <c r="CY216" s="194"/>
      <c r="CZ216" s="194"/>
      <c r="DA216" s="194"/>
      <c r="DB216" s="194"/>
      <c r="DC216" s="194"/>
      <c r="DD216" s="194"/>
      <c r="DE216" s="194"/>
      <c r="DF216" s="196"/>
      <c r="DG216" s="198"/>
      <c r="DH216" s="194"/>
      <c r="DI216" s="194"/>
    </row>
    <row r="217" spans="1:113" s="24" customFormat="1" hidden="1" x14ac:dyDescent="0.3">
      <c r="A217" s="172"/>
      <c r="B217" s="172"/>
      <c r="C217" s="172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2"/>
      <c r="AT217" s="172"/>
      <c r="AU217" s="172"/>
      <c r="AV217" s="172"/>
      <c r="AW217" s="172"/>
      <c r="AX217" s="172"/>
      <c r="AY217" s="172"/>
      <c r="AZ217" s="172"/>
      <c r="BA217" s="172"/>
      <c r="BB217" s="172"/>
      <c r="BC217" s="172"/>
      <c r="BD217" s="172"/>
      <c r="BE217" s="172"/>
      <c r="BF217" s="172"/>
      <c r="BG217" s="172"/>
      <c r="BH217" s="172"/>
      <c r="BI217" s="172"/>
      <c r="BJ217" s="172"/>
      <c r="BK217" s="172"/>
      <c r="BL217" s="172"/>
      <c r="BM217" s="172"/>
      <c r="BN217" s="172"/>
      <c r="BO217" s="172"/>
      <c r="BP217" s="172"/>
      <c r="BQ217" s="172"/>
      <c r="BR217" s="172"/>
      <c r="BS217" s="172"/>
      <c r="BT217" s="172"/>
      <c r="BU217" s="172"/>
      <c r="BV217" s="172"/>
      <c r="BW217" s="172"/>
      <c r="BX217" s="172"/>
      <c r="BY217" s="174"/>
      <c r="BZ217" s="172"/>
      <c r="CA217" s="172"/>
      <c r="CD217" s="194"/>
      <c r="CE217" s="194"/>
      <c r="CF217" s="194"/>
      <c r="CG217" s="194"/>
      <c r="CH217" s="195"/>
      <c r="CI217" s="194"/>
      <c r="CJ217" s="194"/>
      <c r="CK217" s="194"/>
      <c r="CL217" s="196"/>
      <c r="CM217" s="196"/>
      <c r="CN217" s="194"/>
      <c r="CO217" s="197"/>
      <c r="CP217" s="196"/>
      <c r="CQ217" s="196"/>
      <c r="CR217" s="196"/>
      <c r="CS217" s="196"/>
      <c r="CT217" s="196"/>
      <c r="CU217" s="196"/>
      <c r="CV217" s="194"/>
      <c r="CW217" s="194"/>
      <c r="CX217" s="194"/>
      <c r="CY217" s="194"/>
      <c r="CZ217" s="194"/>
      <c r="DA217" s="194"/>
      <c r="DB217" s="194"/>
      <c r="DC217" s="194"/>
      <c r="DD217" s="194"/>
      <c r="DE217" s="194"/>
      <c r="DF217" s="196"/>
      <c r="DG217" s="198"/>
      <c r="DH217" s="194"/>
      <c r="DI217" s="194"/>
    </row>
    <row r="218" spans="1:113" s="24" customFormat="1" hidden="1" x14ac:dyDescent="0.3">
      <c r="A218" s="172"/>
      <c r="B218" s="172"/>
      <c r="C218" s="172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2"/>
      <c r="AT218" s="172"/>
      <c r="AU218" s="172"/>
      <c r="AV218" s="172"/>
      <c r="AW218" s="172"/>
      <c r="AX218" s="172"/>
      <c r="AY218" s="172"/>
      <c r="AZ218" s="172"/>
      <c r="BA218" s="172"/>
      <c r="BB218" s="172"/>
      <c r="BC218" s="172"/>
      <c r="BD218" s="172"/>
      <c r="BE218" s="172"/>
      <c r="BF218" s="172"/>
      <c r="BG218" s="172"/>
      <c r="BH218" s="172"/>
      <c r="BI218" s="172"/>
      <c r="BJ218" s="172"/>
      <c r="BK218" s="172"/>
      <c r="BL218" s="172"/>
      <c r="BM218" s="172"/>
      <c r="BN218" s="172"/>
      <c r="BO218" s="172"/>
      <c r="BP218" s="172"/>
      <c r="BQ218" s="172"/>
      <c r="BR218" s="172"/>
      <c r="BS218" s="172"/>
      <c r="BT218" s="172"/>
      <c r="BU218" s="172"/>
      <c r="BV218" s="172"/>
      <c r="BW218" s="172"/>
      <c r="BX218" s="172"/>
      <c r="BY218" s="174"/>
      <c r="BZ218" s="172"/>
      <c r="CA218" s="172"/>
      <c r="CD218" s="194"/>
      <c r="CE218" s="194"/>
      <c r="CF218" s="194"/>
      <c r="CG218" s="194"/>
      <c r="CH218" s="195"/>
      <c r="CI218" s="194"/>
      <c r="CJ218" s="194"/>
      <c r="CK218" s="194"/>
      <c r="CL218" s="196"/>
      <c r="CM218" s="196"/>
      <c r="CN218" s="194"/>
      <c r="CO218" s="197"/>
      <c r="CP218" s="196"/>
      <c r="CQ218" s="196"/>
      <c r="CR218" s="196"/>
      <c r="CS218" s="196"/>
      <c r="CT218" s="196"/>
      <c r="CU218" s="196"/>
      <c r="CV218" s="194"/>
      <c r="CW218" s="194"/>
      <c r="CX218" s="194"/>
      <c r="CY218" s="194"/>
      <c r="CZ218" s="194"/>
      <c r="DA218" s="194"/>
      <c r="DB218" s="194"/>
      <c r="DC218" s="194"/>
      <c r="DD218" s="194"/>
      <c r="DE218" s="194"/>
      <c r="DF218" s="196"/>
      <c r="DG218" s="198"/>
      <c r="DH218" s="194"/>
      <c r="DI218" s="194"/>
    </row>
    <row r="219" spans="1:113" s="24" customFormat="1" hidden="1" x14ac:dyDescent="0.3">
      <c r="A219" s="172"/>
      <c r="B219" s="172"/>
      <c r="C219" s="172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2"/>
      <c r="AT219" s="172"/>
      <c r="AU219" s="172"/>
      <c r="AV219" s="172"/>
      <c r="AW219" s="172"/>
      <c r="AX219" s="172"/>
      <c r="AY219" s="172"/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172"/>
      <c r="BM219" s="172"/>
      <c r="BN219" s="172"/>
      <c r="BO219" s="172"/>
      <c r="BP219" s="172"/>
      <c r="BQ219" s="172"/>
      <c r="BR219" s="172"/>
      <c r="BS219" s="172"/>
      <c r="BT219" s="172"/>
      <c r="BU219" s="172"/>
      <c r="BV219" s="172"/>
      <c r="BW219" s="172"/>
      <c r="BX219" s="172"/>
      <c r="BY219" s="174"/>
      <c r="BZ219" s="172"/>
      <c r="CA219" s="172"/>
      <c r="CD219" s="194"/>
      <c r="CE219" s="194"/>
      <c r="CF219" s="194"/>
      <c r="CG219" s="194"/>
      <c r="CH219" s="195"/>
      <c r="CI219" s="194"/>
      <c r="CJ219" s="194"/>
      <c r="CK219" s="194"/>
      <c r="CL219" s="196"/>
      <c r="CM219" s="196"/>
      <c r="CN219" s="194"/>
      <c r="CO219" s="197"/>
      <c r="CP219" s="196"/>
      <c r="CQ219" s="196"/>
      <c r="CR219" s="196"/>
      <c r="CS219" s="196"/>
      <c r="CT219" s="196"/>
      <c r="CU219" s="196"/>
      <c r="CV219" s="194"/>
      <c r="CW219" s="194"/>
      <c r="CX219" s="194"/>
      <c r="CY219" s="194"/>
      <c r="CZ219" s="194"/>
      <c r="DA219" s="194"/>
      <c r="DB219" s="194"/>
      <c r="DC219" s="194"/>
      <c r="DD219" s="194"/>
      <c r="DE219" s="194"/>
      <c r="DF219" s="196"/>
      <c r="DG219" s="198"/>
      <c r="DH219" s="194"/>
      <c r="DI219" s="194"/>
    </row>
    <row r="220" spans="1:113" s="24" customFormat="1" hidden="1" x14ac:dyDescent="0.3">
      <c r="A220" s="172"/>
      <c r="B220" s="172"/>
      <c r="C220" s="172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2"/>
      <c r="AT220" s="172"/>
      <c r="AU220" s="172"/>
      <c r="AV220" s="172"/>
      <c r="AW220" s="172"/>
      <c r="AX220" s="172"/>
      <c r="AY220" s="172"/>
      <c r="AZ220" s="172"/>
      <c r="BA220" s="172"/>
      <c r="BB220" s="172"/>
      <c r="BC220" s="172"/>
      <c r="BD220" s="172"/>
      <c r="BE220" s="172"/>
      <c r="BF220" s="172"/>
      <c r="BG220" s="172"/>
      <c r="BH220" s="172"/>
      <c r="BI220" s="172"/>
      <c r="BJ220" s="172"/>
      <c r="BK220" s="172"/>
      <c r="BL220" s="172"/>
      <c r="BM220" s="172"/>
      <c r="BN220" s="172"/>
      <c r="BO220" s="172"/>
      <c r="BP220" s="172"/>
      <c r="BQ220" s="172"/>
      <c r="BR220" s="172"/>
      <c r="BS220" s="172"/>
      <c r="BT220" s="172"/>
      <c r="BU220" s="172"/>
      <c r="BV220" s="172"/>
      <c r="BW220" s="172"/>
      <c r="BX220" s="172"/>
      <c r="BY220" s="174"/>
      <c r="BZ220" s="172"/>
      <c r="CA220" s="172"/>
      <c r="CD220" s="194"/>
      <c r="CE220" s="194"/>
      <c r="CF220" s="194"/>
      <c r="CG220" s="194"/>
      <c r="CH220" s="195"/>
      <c r="CI220" s="194"/>
      <c r="CJ220" s="194"/>
      <c r="CK220" s="194"/>
      <c r="CL220" s="196"/>
      <c r="CM220" s="196"/>
      <c r="CN220" s="194"/>
      <c r="CO220" s="197"/>
      <c r="CP220" s="196"/>
      <c r="CQ220" s="196"/>
      <c r="CR220" s="196"/>
      <c r="CS220" s="196"/>
      <c r="CT220" s="196"/>
      <c r="CU220" s="196"/>
      <c r="CV220" s="194"/>
      <c r="CW220" s="194"/>
      <c r="CX220" s="194"/>
      <c r="CY220" s="194"/>
      <c r="CZ220" s="194"/>
      <c r="DA220" s="194"/>
      <c r="DB220" s="194"/>
      <c r="DC220" s="194"/>
      <c r="DD220" s="194"/>
      <c r="DE220" s="194"/>
      <c r="DF220" s="196"/>
      <c r="DG220" s="198"/>
      <c r="DH220" s="194"/>
      <c r="DI220" s="194"/>
    </row>
    <row r="221" spans="1:113" s="24" customFormat="1" hidden="1" x14ac:dyDescent="0.3">
      <c r="A221" s="172"/>
      <c r="B221" s="172"/>
      <c r="C221" s="172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2"/>
      <c r="AT221" s="172"/>
      <c r="AU221" s="172"/>
      <c r="AV221" s="172"/>
      <c r="AW221" s="172"/>
      <c r="AX221" s="172"/>
      <c r="AY221" s="172"/>
      <c r="AZ221" s="172"/>
      <c r="BA221" s="172"/>
      <c r="BB221" s="172"/>
      <c r="BC221" s="172"/>
      <c r="BD221" s="172"/>
      <c r="BE221" s="172"/>
      <c r="BF221" s="172"/>
      <c r="BG221" s="172"/>
      <c r="BH221" s="172"/>
      <c r="BI221" s="172"/>
      <c r="BJ221" s="172"/>
      <c r="BK221" s="172"/>
      <c r="BL221" s="172"/>
      <c r="BM221" s="172"/>
      <c r="BN221" s="172"/>
      <c r="BO221" s="172"/>
      <c r="BP221" s="172"/>
      <c r="BQ221" s="172"/>
      <c r="BR221" s="172"/>
      <c r="BS221" s="172"/>
      <c r="BT221" s="172"/>
      <c r="BU221" s="172"/>
      <c r="BV221" s="172"/>
      <c r="BW221" s="172"/>
      <c r="BX221" s="172"/>
      <c r="BY221" s="174"/>
      <c r="BZ221" s="172"/>
      <c r="CA221" s="172"/>
      <c r="CD221" s="194"/>
      <c r="CE221" s="194"/>
      <c r="CF221" s="194"/>
      <c r="CG221" s="194"/>
      <c r="CH221" s="195"/>
      <c r="CI221" s="194"/>
      <c r="CJ221" s="194"/>
      <c r="CK221" s="194"/>
      <c r="CL221" s="196"/>
      <c r="CM221" s="196"/>
      <c r="CN221" s="194"/>
      <c r="CO221" s="197"/>
      <c r="CP221" s="196"/>
      <c r="CQ221" s="196"/>
      <c r="CR221" s="196"/>
      <c r="CS221" s="196"/>
      <c r="CT221" s="196"/>
      <c r="CU221" s="196"/>
      <c r="CV221" s="194"/>
      <c r="CW221" s="194"/>
      <c r="CX221" s="194"/>
      <c r="CY221" s="194"/>
      <c r="CZ221" s="194"/>
      <c r="DA221" s="194"/>
      <c r="DB221" s="194"/>
      <c r="DC221" s="194"/>
      <c r="DD221" s="194"/>
      <c r="DE221" s="194"/>
      <c r="DF221" s="196"/>
      <c r="DG221" s="198"/>
      <c r="DH221" s="194"/>
      <c r="DI221" s="194"/>
    </row>
    <row r="222" spans="1:113" s="24" customFormat="1" hidden="1" x14ac:dyDescent="0.3">
      <c r="A222" s="172"/>
      <c r="B222" s="172"/>
      <c r="C222" s="172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2"/>
      <c r="AT222" s="172"/>
      <c r="AU222" s="172"/>
      <c r="AV222" s="172"/>
      <c r="AW222" s="172"/>
      <c r="AX222" s="172"/>
      <c r="AY222" s="172"/>
      <c r="AZ222" s="172"/>
      <c r="BA222" s="172"/>
      <c r="BB222" s="172"/>
      <c r="BC222" s="172"/>
      <c r="BD222" s="172"/>
      <c r="BE222" s="172"/>
      <c r="BF222" s="172"/>
      <c r="BG222" s="172"/>
      <c r="BH222" s="172"/>
      <c r="BI222" s="172"/>
      <c r="BJ222" s="172"/>
      <c r="BK222" s="172"/>
      <c r="BL222" s="172"/>
      <c r="BM222" s="172"/>
      <c r="BN222" s="172"/>
      <c r="BO222" s="172"/>
      <c r="BP222" s="172"/>
      <c r="BQ222" s="172"/>
      <c r="BR222" s="172"/>
      <c r="BS222" s="172"/>
      <c r="BT222" s="172"/>
      <c r="BU222" s="172"/>
      <c r="BV222" s="172"/>
      <c r="BW222" s="172"/>
      <c r="BX222" s="172"/>
      <c r="BY222" s="174"/>
      <c r="BZ222" s="172"/>
      <c r="CA222" s="172"/>
      <c r="CD222" s="194"/>
      <c r="CE222" s="194"/>
      <c r="CF222" s="194"/>
      <c r="CG222" s="194"/>
      <c r="CH222" s="195"/>
      <c r="CI222" s="194"/>
      <c r="CJ222" s="194"/>
      <c r="CK222" s="194"/>
      <c r="CL222" s="196"/>
      <c r="CM222" s="196"/>
      <c r="CN222" s="194"/>
      <c r="CO222" s="197"/>
      <c r="CP222" s="196"/>
      <c r="CQ222" s="196"/>
      <c r="CR222" s="196"/>
      <c r="CS222" s="196"/>
      <c r="CT222" s="196"/>
      <c r="CU222" s="196"/>
      <c r="CV222" s="194"/>
      <c r="CW222" s="194"/>
      <c r="CX222" s="194"/>
      <c r="CY222" s="194"/>
      <c r="CZ222" s="194"/>
      <c r="DA222" s="194"/>
      <c r="DB222" s="194"/>
      <c r="DC222" s="194"/>
      <c r="DD222" s="194"/>
      <c r="DE222" s="194"/>
      <c r="DF222" s="196"/>
      <c r="DG222" s="198"/>
      <c r="DH222" s="194"/>
      <c r="DI222" s="194"/>
    </row>
    <row r="223" spans="1:113" s="24" customFormat="1" hidden="1" x14ac:dyDescent="0.3">
      <c r="A223" s="172"/>
      <c r="B223" s="172"/>
      <c r="C223" s="172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2"/>
      <c r="AT223" s="172"/>
      <c r="AU223" s="172"/>
      <c r="AV223" s="172"/>
      <c r="AW223" s="172"/>
      <c r="AX223" s="172"/>
      <c r="AY223" s="172"/>
      <c r="AZ223" s="172"/>
      <c r="BA223" s="172"/>
      <c r="BB223" s="172"/>
      <c r="BC223" s="172"/>
      <c r="BD223" s="172"/>
      <c r="BE223" s="172"/>
      <c r="BF223" s="172"/>
      <c r="BG223" s="172"/>
      <c r="BH223" s="172"/>
      <c r="BI223" s="172"/>
      <c r="BJ223" s="172"/>
      <c r="BK223" s="172"/>
      <c r="BL223" s="172"/>
      <c r="BM223" s="172"/>
      <c r="BN223" s="172"/>
      <c r="BO223" s="172"/>
      <c r="BP223" s="172"/>
      <c r="BQ223" s="172"/>
      <c r="BR223" s="172"/>
      <c r="BS223" s="172"/>
      <c r="BT223" s="172"/>
      <c r="BU223" s="172"/>
      <c r="BV223" s="172"/>
      <c r="BW223" s="172"/>
      <c r="BX223" s="172"/>
      <c r="BY223" s="174"/>
      <c r="BZ223" s="172"/>
      <c r="CA223" s="172"/>
      <c r="CD223" s="194"/>
      <c r="CE223" s="194"/>
      <c r="CF223" s="194"/>
      <c r="CG223" s="194"/>
      <c r="CH223" s="195"/>
      <c r="CI223" s="194"/>
      <c r="CJ223" s="194"/>
      <c r="CK223" s="194"/>
      <c r="CL223" s="196"/>
      <c r="CM223" s="196"/>
      <c r="CN223" s="194"/>
      <c r="CO223" s="197"/>
      <c r="CP223" s="196"/>
      <c r="CQ223" s="196"/>
      <c r="CR223" s="196"/>
      <c r="CS223" s="196"/>
      <c r="CT223" s="196"/>
      <c r="CU223" s="196"/>
      <c r="CV223" s="194"/>
      <c r="CW223" s="194"/>
      <c r="CX223" s="194"/>
      <c r="CY223" s="194"/>
      <c r="CZ223" s="194"/>
      <c r="DA223" s="194"/>
      <c r="DB223" s="194"/>
      <c r="DC223" s="194"/>
      <c r="DD223" s="194"/>
      <c r="DE223" s="194"/>
      <c r="DF223" s="196"/>
      <c r="DG223" s="198"/>
      <c r="DH223" s="194"/>
      <c r="DI223" s="194"/>
    </row>
    <row r="224" spans="1:113" s="24" customFormat="1" hidden="1" x14ac:dyDescent="0.3">
      <c r="A224" s="172"/>
      <c r="B224" s="172"/>
      <c r="C224" s="172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2"/>
      <c r="AT224" s="172"/>
      <c r="AU224" s="172"/>
      <c r="AV224" s="172"/>
      <c r="AW224" s="172"/>
      <c r="AX224" s="172"/>
      <c r="AY224" s="172"/>
      <c r="AZ224" s="172"/>
      <c r="BA224" s="172"/>
      <c r="BB224" s="172"/>
      <c r="BC224" s="172"/>
      <c r="BD224" s="172"/>
      <c r="BE224" s="172"/>
      <c r="BF224" s="172"/>
      <c r="BG224" s="172"/>
      <c r="BH224" s="172"/>
      <c r="BI224" s="172"/>
      <c r="BJ224" s="172"/>
      <c r="BK224" s="172"/>
      <c r="BL224" s="172"/>
      <c r="BM224" s="172"/>
      <c r="BN224" s="172"/>
      <c r="BO224" s="172"/>
      <c r="BP224" s="172"/>
      <c r="BQ224" s="172"/>
      <c r="BR224" s="172"/>
      <c r="BS224" s="172"/>
      <c r="BT224" s="172"/>
      <c r="BU224" s="172"/>
      <c r="BV224" s="172"/>
      <c r="BW224" s="172"/>
      <c r="BX224" s="172"/>
      <c r="BY224" s="174"/>
      <c r="BZ224" s="172"/>
      <c r="CA224" s="172"/>
      <c r="CD224" s="194"/>
      <c r="CE224" s="194"/>
      <c r="CF224" s="194"/>
      <c r="CG224" s="194"/>
      <c r="CH224" s="195"/>
      <c r="CI224" s="194"/>
      <c r="CJ224" s="194"/>
      <c r="CK224" s="194"/>
      <c r="CL224" s="196"/>
      <c r="CM224" s="196"/>
      <c r="CN224" s="194"/>
      <c r="CO224" s="197"/>
      <c r="CP224" s="196"/>
      <c r="CQ224" s="196"/>
      <c r="CR224" s="196"/>
      <c r="CS224" s="196"/>
      <c r="CT224" s="196"/>
      <c r="CU224" s="196"/>
      <c r="CV224" s="194"/>
      <c r="CW224" s="194"/>
      <c r="CX224" s="194"/>
      <c r="CY224" s="194"/>
      <c r="CZ224" s="194"/>
      <c r="DA224" s="194"/>
      <c r="DB224" s="194"/>
      <c r="DC224" s="194"/>
      <c r="DD224" s="194"/>
      <c r="DE224" s="194"/>
      <c r="DF224" s="196"/>
      <c r="DG224" s="198"/>
      <c r="DH224" s="194"/>
      <c r="DI224" s="194"/>
    </row>
    <row r="225" spans="1:113" s="24" customFormat="1" hidden="1" x14ac:dyDescent="0.3">
      <c r="A225" s="172"/>
      <c r="B225" s="172"/>
      <c r="C225" s="172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2"/>
      <c r="AT225" s="172"/>
      <c r="AU225" s="172"/>
      <c r="AV225" s="172"/>
      <c r="AW225" s="172"/>
      <c r="AX225" s="172"/>
      <c r="AY225" s="172"/>
      <c r="AZ225" s="172"/>
      <c r="BA225" s="172"/>
      <c r="BB225" s="172"/>
      <c r="BC225" s="172"/>
      <c r="BD225" s="172"/>
      <c r="BE225" s="172"/>
      <c r="BF225" s="172"/>
      <c r="BG225" s="172"/>
      <c r="BH225" s="172"/>
      <c r="BI225" s="172"/>
      <c r="BJ225" s="172"/>
      <c r="BK225" s="172"/>
      <c r="BL225" s="172"/>
      <c r="BM225" s="172"/>
      <c r="BN225" s="172"/>
      <c r="BO225" s="172"/>
      <c r="BP225" s="172"/>
      <c r="BQ225" s="172"/>
      <c r="BR225" s="172"/>
      <c r="BS225" s="172"/>
      <c r="BT225" s="172"/>
      <c r="BU225" s="172"/>
      <c r="BV225" s="172"/>
      <c r="BW225" s="172"/>
      <c r="BX225" s="172"/>
      <c r="BY225" s="174"/>
      <c r="BZ225" s="172"/>
      <c r="CA225" s="172"/>
      <c r="CD225" s="194"/>
      <c r="CE225" s="194"/>
      <c r="CF225" s="194"/>
      <c r="CG225" s="194"/>
      <c r="CH225" s="195"/>
      <c r="CI225" s="194"/>
      <c r="CJ225" s="194"/>
      <c r="CK225" s="194"/>
      <c r="CL225" s="196"/>
      <c r="CM225" s="196"/>
      <c r="CN225" s="194"/>
      <c r="CO225" s="197"/>
      <c r="CP225" s="196"/>
      <c r="CQ225" s="196"/>
      <c r="CR225" s="196"/>
      <c r="CS225" s="196"/>
      <c r="CT225" s="196"/>
      <c r="CU225" s="196"/>
      <c r="CV225" s="194"/>
      <c r="CW225" s="194"/>
      <c r="CX225" s="194"/>
      <c r="CY225" s="194"/>
      <c r="CZ225" s="194"/>
      <c r="DA225" s="194"/>
      <c r="DB225" s="194"/>
      <c r="DC225" s="194"/>
      <c r="DD225" s="194"/>
      <c r="DE225" s="194"/>
      <c r="DF225" s="196"/>
      <c r="DG225" s="198"/>
      <c r="DH225" s="194"/>
      <c r="DI225" s="194"/>
    </row>
    <row r="226" spans="1:113" s="24" customFormat="1" hidden="1" x14ac:dyDescent="0.3">
      <c r="A226" s="172"/>
      <c r="B226" s="172"/>
      <c r="C226" s="172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2"/>
      <c r="AT226" s="172"/>
      <c r="AU226" s="172"/>
      <c r="AV226" s="172"/>
      <c r="AW226" s="172"/>
      <c r="AX226" s="172"/>
      <c r="AY226" s="172"/>
      <c r="AZ226" s="172"/>
      <c r="BA226" s="172"/>
      <c r="BB226" s="172"/>
      <c r="BC226" s="172"/>
      <c r="BD226" s="172"/>
      <c r="BE226" s="172"/>
      <c r="BF226" s="172"/>
      <c r="BG226" s="172"/>
      <c r="BH226" s="172"/>
      <c r="BI226" s="172"/>
      <c r="BJ226" s="172"/>
      <c r="BK226" s="172"/>
      <c r="BL226" s="172"/>
      <c r="BM226" s="172"/>
      <c r="BN226" s="172"/>
      <c r="BO226" s="172"/>
      <c r="BP226" s="172"/>
      <c r="BQ226" s="172"/>
      <c r="BR226" s="172"/>
      <c r="BS226" s="172"/>
      <c r="BT226" s="172"/>
      <c r="BU226" s="172"/>
      <c r="BV226" s="172"/>
      <c r="BW226" s="172"/>
      <c r="BX226" s="172"/>
      <c r="BY226" s="174"/>
      <c r="BZ226" s="172"/>
      <c r="CA226" s="172"/>
      <c r="CD226" s="194"/>
      <c r="CE226" s="194"/>
      <c r="CF226" s="194"/>
      <c r="CG226" s="194"/>
      <c r="CH226" s="195"/>
      <c r="CI226" s="194"/>
      <c r="CJ226" s="194"/>
      <c r="CK226" s="194"/>
      <c r="CL226" s="196"/>
      <c r="CM226" s="196"/>
      <c r="CN226" s="194"/>
      <c r="CO226" s="197"/>
      <c r="CP226" s="196"/>
      <c r="CQ226" s="196"/>
      <c r="CR226" s="196"/>
      <c r="CS226" s="196"/>
      <c r="CT226" s="196"/>
      <c r="CU226" s="196"/>
      <c r="CV226" s="194"/>
      <c r="CW226" s="194"/>
      <c r="CX226" s="194"/>
      <c r="CY226" s="194"/>
      <c r="CZ226" s="194"/>
      <c r="DA226" s="194"/>
      <c r="DB226" s="194"/>
      <c r="DC226" s="194"/>
      <c r="DD226" s="194"/>
      <c r="DE226" s="194"/>
      <c r="DF226" s="196"/>
      <c r="DG226" s="198"/>
      <c r="DH226" s="194"/>
      <c r="DI226" s="194"/>
    </row>
    <row r="227" spans="1:113" s="24" customFormat="1" hidden="1" x14ac:dyDescent="0.3">
      <c r="A227" s="172"/>
      <c r="B227" s="172"/>
      <c r="C227" s="172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2"/>
      <c r="AT227" s="172"/>
      <c r="AU227" s="172"/>
      <c r="AV227" s="172"/>
      <c r="AW227" s="172"/>
      <c r="AX227" s="172"/>
      <c r="AY227" s="172"/>
      <c r="AZ227" s="172"/>
      <c r="BA227" s="172"/>
      <c r="BB227" s="172"/>
      <c r="BC227" s="172"/>
      <c r="BD227" s="172"/>
      <c r="BE227" s="172"/>
      <c r="BF227" s="172"/>
      <c r="BG227" s="172"/>
      <c r="BH227" s="172"/>
      <c r="BI227" s="172"/>
      <c r="BJ227" s="172"/>
      <c r="BK227" s="172"/>
      <c r="BL227" s="172"/>
      <c r="BM227" s="172"/>
      <c r="BN227" s="172"/>
      <c r="BO227" s="172"/>
      <c r="BP227" s="172"/>
      <c r="BQ227" s="172"/>
      <c r="BR227" s="172"/>
      <c r="BS227" s="172"/>
      <c r="BT227" s="172"/>
      <c r="BU227" s="172"/>
      <c r="BV227" s="172"/>
      <c r="BW227" s="172"/>
      <c r="BX227" s="172"/>
      <c r="BY227" s="174"/>
      <c r="BZ227" s="172"/>
      <c r="CA227" s="172"/>
      <c r="CD227" s="194"/>
      <c r="CE227" s="194"/>
      <c r="CF227" s="194"/>
      <c r="CG227" s="194"/>
      <c r="CH227" s="195"/>
      <c r="CI227" s="194"/>
      <c r="CJ227" s="194"/>
      <c r="CK227" s="194"/>
      <c r="CL227" s="196"/>
      <c r="CM227" s="196"/>
      <c r="CN227" s="194"/>
      <c r="CO227" s="197"/>
      <c r="CP227" s="196"/>
      <c r="CQ227" s="196"/>
      <c r="CR227" s="196"/>
      <c r="CS227" s="196"/>
      <c r="CT227" s="196"/>
      <c r="CU227" s="196"/>
      <c r="CV227" s="194"/>
      <c r="CW227" s="194"/>
      <c r="CX227" s="194"/>
      <c r="CY227" s="194"/>
      <c r="CZ227" s="194"/>
      <c r="DA227" s="194"/>
      <c r="DB227" s="194"/>
      <c r="DC227" s="194"/>
      <c r="DD227" s="194"/>
      <c r="DE227" s="194"/>
      <c r="DF227" s="196"/>
      <c r="DG227" s="198"/>
      <c r="DH227" s="194"/>
      <c r="DI227" s="194"/>
    </row>
    <row r="228" spans="1:113" s="24" customFormat="1" hidden="1" x14ac:dyDescent="0.3">
      <c r="A228" s="172"/>
      <c r="B228" s="172"/>
      <c r="C228" s="172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2"/>
      <c r="AT228" s="172"/>
      <c r="AU228" s="172"/>
      <c r="AV228" s="172"/>
      <c r="AW228" s="172"/>
      <c r="AX228" s="172"/>
      <c r="AY228" s="172"/>
      <c r="AZ228" s="172"/>
      <c r="BA228" s="172"/>
      <c r="BB228" s="172"/>
      <c r="BC228" s="172"/>
      <c r="BD228" s="172"/>
      <c r="BE228" s="172"/>
      <c r="BF228" s="172"/>
      <c r="BG228" s="172"/>
      <c r="BH228" s="172"/>
      <c r="BI228" s="172"/>
      <c r="BJ228" s="172"/>
      <c r="BK228" s="172"/>
      <c r="BL228" s="172"/>
      <c r="BM228" s="172"/>
      <c r="BN228" s="172"/>
      <c r="BO228" s="172"/>
      <c r="BP228" s="172"/>
      <c r="BQ228" s="172"/>
      <c r="BR228" s="172"/>
      <c r="BS228" s="172"/>
      <c r="BT228" s="172"/>
      <c r="BU228" s="172"/>
      <c r="BV228" s="172"/>
      <c r="BW228" s="172"/>
      <c r="BX228" s="172"/>
      <c r="BY228" s="174"/>
      <c r="BZ228" s="172"/>
      <c r="CA228" s="172"/>
      <c r="CD228" s="194"/>
      <c r="CE228" s="194"/>
      <c r="CF228" s="194"/>
      <c r="CG228" s="194"/>
      <c r="CH228" s="195"/>
      <c r="CI228" s="194"/>
      <c r="CJ228" s="194"/>
      <c r="CK228" s="194"/>
      <c r="CL228" s="196"/>
      <c r="CM228" s="196"/>
      <c r="CN228" s="194"/>
      <c r="CO228" s="197"/>
      <c r="CP228" s="196"/>
      <c r="CQ228" s="196"/>
      <c r="CR228" s="196"/>
      <c r="CS228" s="196"/>
      <c r="CT228" s="196"/>
      <c r="CU228" s="196"/>
      <c r="CV228" s="194"/>
      <c r="CW228" s="194"/>
      <c r="CX228" s="194"/>
      <c r="CY228" s="194"/>
      <c r="CZ228" s="194"/>
      <c r="DA228" s="194"/>
      <c r="DB228" s="194"/>
      <c r="DC228" s="194"/>
      <c r="DD228" s="194"/>
      <c r="DE228" s="194"/>
      <c r="DF228" s="196"/>
      <c r="DG228" s="198"/>
      <c r="DH228" s="194"/>
      <c r="DI228" s="194"/>
    </row>
    <row r="229" spans="1:113" s="24" customFormat="1" hidden="1" x14ac:dyDescent="0.3">
      <c r="A229" s="172"/>
      <c r="B229" s="172"/>
      <c r="C229" s="172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2"/>
      <c r="AT229" s="172"/>
      <c r="AU229" s="172"/>
      <c r="AV229" s="172"/>
      <c r="AW229" s="172"/>
      <c r="AX229" s="172"/>
      <c r="AY229" s="172"/>
      <c r="AZ229" s="172"/>
      <c r="BA229" s="172"/>
      <c r="BB229" s="172"/>
      <c r="BC229" s="172"/>
      <c r="BD229" s="172"/>
      <c r="BE229" s="172"/>
      <c r="BF229" s="172"/>
      <c r="BG229" s="172"/>
      <c r="BH229" s="172"/>
      <c r="BI229" s="172"/>
      <c r="BJ229" s="172"/>
      <c r="BK229" s="172"/>
      <c r="BL229" s="172"/>
      <c r="BM229" s="172"/>
      <c r="BN229" s="172"/>
      <c r="BO229" s="172"/>
      <c r="BP229" s="172"/>
      <c r="BQ229" s="172"/>
      <c r="BR229" s="172"/>
      <c r="BS229" s="172"/>
      <c r="BT229" s="172"/>
      <c r="BU229" s="172"/>
      <c r="BV229" s="172"/>
      <c r="BW229" s="172"/>
      <c r="BX229" s="172"/>
      <c r="BY229" s="174"/>
      <c r="BZ229" s="172"/>
      <c r="CA229" s="172"/>
      <c r="CD229" s="194"/>
      <c r="CE229" s="194"/>
      <c r="CF229" s="194"/>
      <c r="CG229" s="194"/>
      <c r="CH229" s="195"/>
      <c r="CI229" s="194"/>
      <c r="CJ229" s="194"/>
      <c r="CK229" s="194"/>
      <c r="CL229" s="196"/>
      <c r="CM229" s="196"/>
      <c r="CN229" s="194"/>
      <c r="CO229" s="197"/>
      <c r="CP229" s="196"/>
      <c r="CQ229" s="196"/>
      <c r="CR229" s="196"/>
      <c r="CS229" s="196"/>
      <c r="CT229" s="196"/>
      <c r="CU229" s="196"/>
      <c r="CV229" s="194"/>
      <c r="CW229" s="194"/>
      <c r="CX229" s="194"/>
      <c r="CY229" s="194"/>
      <c r="CZ229" s="194"/>
      <c r="DA229" s="194"/>
      <c r="DB229" s="194"/>
      <c r="DC229" s="194"/>
      <c r="DD229" s="194"/>
      <c r="DE229" s="194"/>
      <c r="DF229" s="196"/>
      <c r="DG229" s="198"/>
      <c r="DH229" s="194"/>
      <c r="DI229" s="194"/>
    </row>
    <row r="230" spans="1:113" s="24" customFormat="1" hidden="1" x14ac:dyDescent="0.3">
      <c r="A230" s="172"/>
      <c r="B230" s="172"/>
      <c r="C230" s="172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2"/>
      <c r="AT230" s="172"/>
      <c r="AU230" s="172"/>
      <c r="AV230" s="172"/>
      <c r="AW230" s="172"/>
      <c r="AX230" s="172"/>
      <c r="AY230" s="172"/>
      <c r="AZ230" s="172"/>
      <c r="BA230" s="172"/>
      <c r="BB230" s="172"/>
      <c r="BC230" s="172"/>
      <c r="BD230" s="172"/>
      <c r="BE230" s="172"/>
      <c r="BF230" s="172"/>
      <c r="BG230" s="172"/>
      <c r="BH230" s="172"/>
      <c r="BI230" s="172"/>
      <c r="BJ230" s="172"/>
      <c r="BK230" s="172"/>
      <c r="BL230" s="172"/>
      <c r="BM230" s="172"/>
      <c r="BN230" s="172"/>
      <c r="BO230" s="172"/>
      <c r="BP230" s="172"/>
      <c r="BQ230" s="172"/>
      <c r="BR230" s="172"/>
      <c r="BS230" s="172"/>
      <c r="BT230" s="172"/>
      <c r="BU230" s="172"/>
      <c r="BV230" s="172"/>
      <c r="BW230" s="172"/>
      <c r="BX230" s="172"/>
      <c r="BY230" s="174"/>
      <c r="BZ230" s="172"/>
      <c r="CA230" s="172"/>
      <c r="CD230" s="194"/>
      <c r="CE230" s="194"/>
      <c r="CF230" s="194"/>
      <c r="CG230" s="194"/>
      <c r="CH230" s="195"/>
      <c r="CI230" s="194"/>
      <c r="CJ230" s="194"/>
      <c r="CK230" s="194"/>
      <c r="CL230" s="196"/>
      <c r="CM230" s="196"/>
      <c r="CN230" s="194"/>
      <c r="CO230" s="197"/>
      <c r="CP230" s="196"/>
      <c r="CQ230" s="196"/>
      <c r="CR230" s="196"/>
      <c r="CS230" s="196"/>
      <c r="CT230" s="196"/>
      <c r="CU230" s="196"/>
      <c r="CV230" s="194"/>
      <c r="CW230" s="194"/>
      <c r="CX230" s="194"/>
      <c r="CY230" s="194"/>
      <c r="CZ230" s="194"/>
      <c r="DA230" s="194"/>
      <c r="DB230" s="194"/>
      <c r="DC230" s="194"/>
      <c r="DD230" s="194"/>
      <c r="DE230" s="194"/>
      <c r="DF230" s="196"/>
      <c r="DG230" s="198"/>
      <c r="DH230" s="194"/>
      <c r="DI230" s="194"/>
    </row>
    <row r="231" spans="1:113" s="24" customFormat="1" hidden="1" x14ac:dyDescent="0.3">
      <c r="A231" s="172"/>
      <c r="B231" s="172"/>
      <c r="C231" s="172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2"/>
      <c r="AT231" s="172"/>
      <c r="AU231" s="172"/>
      <c r="AV231" s="172"/>
      <c r="AW231" s="172"/>
      <c r="AX231" s="172"/>
      <c r="AY231" s="172"/>
      <c r="AZ231" s="172"/>
      <c r="BA231" s="172"/>
      <c r="BB231" s="172"/>
      <c r="BC231" s="172"/>
      <c r="BD231" s="172"/>
      <c r="BE231" s="172"/>
      <c r="BF231" s="172"/>
      <c r="BG231" s="172"/>
      <c r="BH231" s="172"/>
      <c r="BI231" s="172"/>
      <c r="BJ231" s="172"/>
      <c r="BK231" s="172"/>
      <c r="BL231" s="172"/>
      <c r="BM231" s="172"/>
      <c r="BN231" s="172"/>
      <c r="BO231" s="172"/>
      <c r="BP231" s="172"/>
      <c r="BQ231" s="172"/>
      <c r="BR231" s="172"/>
      <c r="BS231" s="172"/>
      <c r="BT231" s="172"/>
      <c r="BU231" s="172"/>
      <c r="BV231" s="172"/>
      <c r="BW231" s="172"/>
      <c r="BX231" s="172"/>
      <c r="BY231" s="174"/>
      <c r="BZ231" s="172"/>
      <c r="CA231" s="172"/>
      <c r="CD231" s="194"/>
      <c r="CE231" s="194"/>
      <c r="CF231" s="194"/>
      <c r="CG231" s="194"/>
      <c r="CH231" s="195"/>
      <c r="CI231" s="194"/>
      <c r="CJ231" s="194"/>
      <c r="CK231" s="194"/>
      <c r="CL231" s="196"/>
      <c r="CM231" s="196"/>
      <c r="CN231" s="194"/>
      <c r="CO231" s="197"/>
      <c r="CP231" s="196"/>
      <c r="CQ231" s="196"/>
      <c r="CR231" s="196"/>
      <c r="CS231" s="196"/>
      <c r="CT231" s="196"/>
      <c r="CU231" s="196"/>
      <c r="CV231" s="194"/>
      <c r="CW231" s="194"/>
      <c r="CX231" s="194"/>
      <c r="CY231" s="194"/>
      <c r="CZ231" s="194"/>
      <c r="DA231" s="194"/>
      <c r="DB231" s="194"/>
      <c r="DC231" s="194"/>
      <c r="DD231" s="194"/>
      <c r="DE231" s="194"/>
      <c r="DF231" s="196"/>
      <c r="DG231" s="198"/>
      <c r="DH231" s="194"/>
      <c r="DI231" s="194"/>
    </row>
    <row r="232" spans="1:113" s="24" customFormat="1" hidden="1" x14ac:dyDescent="0.3">
      <c r="A232" s="172"/>
      <c r="B232" s="172"/>
      <c r="C232" s="172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2"/>
      <c r="AT232" s="172"/>
      <c r="AU232" s="172"/>
      <c r="AV232" s="172"/>
      <c r="AW232" s="172"/>
      <c r="AX232" s="172"/>
      <c r="AY232" s="172"/>
      <c r="AZ232" s="172"/>
      <c r="BA232" s="172"/>
      <c r="BB232" s="172"/>
      <c r="BC232" s="172"/>
      <c r="BD232" s="172"/>
      <c r="BE232" s="172"/>
      <c r="BF232" s="172"/>
      <c r="BG232" s="172"/>
      <c r="BH232" s="172"/>
      <c r="BI232" s="172"/>
      <c r="BJ232" s="172"/>
      <c r="BK232" s="172"/>
      <c r="BL232" s="172"/>
      <c r="BM232" s="172"/>
      <c r="BN232" s="172"/>
      <c r="BO232" s="172"/>
      <c r="BP232" s="172"/>
      <c r="BQ232" s="172"/>
      <c r="BR232" s="172"/>
      <c r="BS232" s="172"/>
      <c r="BT232" s="172"/>
      <c r="BU232" s="172"/>
      <c r="BV232" s="172"/>
      <c r="BW232" s="172"/>
      <c r="BX232" s="172"/>
      <c r="BY232" s="174"/>
      <c r="BZ232" s="172"/>
      <c r="CA232" s="172"/>
      <c r="CD232" s="194"/>
      <c r="CE232" s="194"/>
      <c r="CF232" s="194"/>
      <c r="CG232" s="194"/>
      <c r="CH232" s="195"/>
      <c r="CI232" s="194"/>
      <c r="CJ232" s="194"/>
      <c r="CK232" s="194"/>
      <c r="CL232" s="196"/>
      <c r="CM232" s="196"/>
      <c r="CN232" s="194"/>
      <c r="CO232" s="197"/>
      <c r="CP232" s="196"/>
      <c r="CQ232" s="196"/>
      <c r="CR232" s="196"/>
      <c r="CS232" s="196"/>
      <c r="CT232" s="196"/>
      <c r="CU232" s="196"/>
      <c r="CV232" s="194"/>
      <c r="CW232" s="194"/>
      <c r="CX232" s="194"/>
      <c r="CY232" s="194"/>
      <c r="CZ232" s="194"/>
      <c r="DA232" s="194"/>
      <c r="DB232" s="194"/>
      <c r="DC232" s="194"/>
      <c r="DD232" s="194"/>
      <c r="DE232" s="194"/>
      <c r="DF232" s="196"/>
      <c r="DG232" s="198"/>
      <c r="DH232" s="194"/>
      <c r="DI232" s="194"/>
    </row>
    <row r="233" spans="1:113" s="24" customFormat="1" hidden="1" x14ac:dyDescent="0.3">
      <c r="A233" s="172"/>
      <c r="B233" s="172"/>
      <c r="C233" s="172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2"/>
      <c r="AT233" s="172"/>
      <c r="AU233" s="172"/>
      <c r="AV233" s="172"/>
      <c r="AW233" s="172"/>
      <c r="AX233" s="172"/>
      <c r="AY233" s="172"/>
      <c r="AZ233" s="172"/>
      <c r="BA233" s="172"/>
      <c r="BB233" s="172"/>
      <c r="BC233" s="172"/>
      <c r="BD233" s="172"/>
      <c r="BE233" s="172"/>
      <c r="BF233" s="172"/>
      <c r="BG233" s="172"/>
      <c r="BH233" s="172"/>
      <c r="BI233" s="172"/>
      <c r="BJ233" s="172"/>
      <c r="BK233" s="172"/>
      <c r="BL233" s="172"/>
      <c r="BM233" s="172"/>
      <c r="BN233" s="172"/>
      <c r="BO233" s="172"/>
      <c r="BP233" s="172"/>
      <c r="BQ233" s="172"/>
      <c r="BR233" s="172"/>
      <c r="BS233" s="172"/>
      <c r="BT233" s="172"/>
      <c r="BU233" s="172"/>
      <c r="BV233" s="172"/>
      <c r="BW233" s="172"/>
      <c r="BX233" s="172"/>
      <c r="BY233" s="174"/>
      <c r="BZ233" s="172"/>
      <c r="CA233" s="172"/>
      <c r="CD233" s="194"/>
      <c r="CE233" s="194"/>
      <c r="CF233" s="194"/>
      <c r="CG233" s="194"/>
      <c r="CH233" s="195"/>
      <c r="CI233" s="194"/>
      <c r="CJ233" s="194"/>
      <c r="CK233" s="194"/>
      <c r="CL233" s="196"/>
      <c r="CM233" s="196"/>
      <c r="CN233" s="194"/>
      <c r="CO233" s="197"/>
      <c r="CP233" s="196"/>
      <c r="CQ233" s="196"/>
      <c r="CR233" s="196"/>
      <c r="CS233" s="196"/>
      <c r="CT233" s="196"/>
      <c r="CU233" s="196"/>
      <c r="CV233" s="194"/>
      <c r="CW233" s="194"/>
      <c r="CX233" s="194"/>
      <c r="CY233" s="194"/>
      <c r="CZ233" s="194"/>
      <c r="DA233" s="194"/>
      <c r="DB233" s="194"/>
      <c r="DC233" s="194"/>
      <c r="DD233" s="194"/>
      <c r="DE233" s="194"/>
      <c r="DF233" s="196"/>
      <c r="DG233" s="198"/>
      <c r="DH233" s="194"/>
      <c r="DI233" s="194"/>
    </row>
    <row r="234" spans="1:113" s="24" customFormat="1" hidden="1" x14ac:dyDescent="0.3">
      <c r="A234" s="172"/>
      <c r="B234" s="172"/>
      <c r="C234" s="172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2"/>
      <c r="AT234" s="172"/>
      <c r="AU234" s="172"/>
      <c r="AV234" s="172"/>
      <c r="AW234" s="172"/>
      <c r="AX234" s="172"/>
      <c r="AY234" s="172"/>
      <c r="AZ234" s="172"/>
      <c r="BA234" s="172"/>
      <c r="BB234" s="172"/>
      <c r="BC234" s="172"/>
      <c r="BD234" s="172"/>
      <c r="BE234" s="172"/>
      <c r="BF234" s="172"/>
      <c r="BG234" s="172"/>
      <c r="BH234" s="172"/>
      <c r="BI234" s="172"/>
      <c r="BJ234" s="172"/>
      <c r="BK234" s="172"/>
      <c r="BL234" s="172"/>
      <c r="BM234" s="172"/>
      <c r="BN234" s="172"/>
      <c r="BO234" s="172"/>
      <c r="BP234" s="172"/>
      <c r="BQ234" s="172"/>
      <c r="BR234" s="172"/>
      <c r="BS234" s="172"/>
      <c r="BT234" s="172"/>
      <c r="BU234" s="172"/>
      <c r="BV234" s="172"/>
      <c r="BW234" s="172"/>
      <c r="BX234" s="172"/>
      <c r="BY234" s="174"/>
      <c r="BZ234" s="172"/>
      <c r="CA234" s="172"/>
      <c r="CD234" s="194"/>
      <c r="CE234" s="194"/>
      <c r="CF234" s="194"/>
      <c r="CG234" s="194"/>
      <c r="CH234" s="195"/>
      <c r="CI234" s="194"/>
      <c r="CJ234" s="194"/>
      <c r="CK234" s="194"/>
      <c r="CL234" s="196"/>
      <c r="CM234" s="196"/>
      <c r="CN234" s="194"/>
      <c r="CO234" s="197"/>
      <c r="CP234" s="196"/>
      <c r="CQ234" s="196"/>
      <c r="CR234" s="196"/>
      <c r="CS234" s="196"/>
      <c r="CT234" s="196"/>
      <c r="CU234" s="196"/>
      <c r="CV234" s="194"/>
      <c r="CW234" s="194"/>
      <c r="CX234" s="194"/>
      <c r="CY234" s="194"/>
      <c r="CZ234" s="194"/>
      <c r="DA234" s="194"/>
      <c r="DB234" s="194"/>
      <c r="DC234" s="194"/>
      <c r="DD234" s="194"/>
      <c r="DE234" s="194"/>
      <c r="DF234" s="196"/>
      <c r="DG234" s="198"/>
      <c r="DH234" s="194"/>
      <c r="DI234" s="194"/>
    </row>
    <row r="235" spans="1:113" s="24" customFormat="1" hidden="1" x14ac:dyDescent="0.3">
      <c r="A235" s="172"/>
      <c r="B235" s="172"/>
      <c r="C235" s="172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2"/>
      <c r="AT235" s="172"/>
      <c r="AU235" s="172"/>
      <c r="AV235" s="172"/>
      <c r="AW235" s="172"/>
      <c r="AX235" s="172"/>
      <c r="AY235" s="172"/>
      <c r="AZ235" s="172"/>
      <c r="BA235" s="172"/>
      <c r="BB235" s="172"/>
      <c r="BC235" s="172"/>
      <c r="BD235" s="172"/>
      <c r="BE235" s="172"/>
      <c r="BF235" s="172"/>
      <c r="BG235" s="172"/>
      <c r="BH235" s="172"/>
      <c r="BI235" s="172"/>
      <c r="BJ235" s="172"/>
      <c r="BK235" s="172"/>
      <c r="BL235" s="172"/>
      <c r="BM235" s="172"/>
      <c r="BN235" s="172"/>
      <c r="BO235" s="172"/>
      <c r="BP235" s="172"/>
      <c r="BQ235" s="172"/>
      <c r="BR235" s="172"/>
      <c r="BS235" s="172"/>
      <c r="BT235" s="172"/>
      <c r="BU235" s="172"/>
      <c r="BV235" s="172"/>
      <c r="BW235" s="172"/>
      <c r="BX235" s="172"/>
      <c r="BY235" s="174"/>
      <c r="BZ235" s="172"/>
      <c r="CA235" s="172"/>
      <c r="CD235" s="194"/>
      <c r="CE235" s="194"/>
      <c r="CF235" s="194"/>
      <c r="CG235" s="194"/>
      <c r="CH235" s="195"/>
      <c r="CI235" s="194"/>
      <c r="CJ235" s="194"/>
      <c r="CK235" s="194"/>
      <c r="CL235" s="196"/>
      <c r="CM235" s="196"/>
      <c r="CN235" s="194"/>
      <c r="CO235" s="197"/>
      <c r="CP235" s="196"/>
      <c r="CQ235" s="196"/>
      <c r="CR235" s="196"/>
      <c r="CS235" s="196"/>
      <c r="CT235" s="196"/>
      <c r="CU235" s="196"/>
      <c r="CV235" s="194"/>
      <c r="CW235" s="194"/>
      <c r="CX235" s="194"/>
      <c r="CY235" s="194"/>
      <c r="CZ235" s="194"/>
      <c r="DA235" s="194"/>
      <c r="DB235" s="194"/>
      <c r="DC235" s="194"/>
      <c r="DD235" s="194"/>
      <c r="DE235" s="194"/>
      <c r="DF235" s="196"/>
      <c r="DG235" s="198"/>
      <c r="DH235" s="194"/>
      <c r="DI235" s="194"/>
    </row>
    <row r="236" spans="1:113" s="24" customFormat="1" hidden="1" x14ac:dyDescent="0.3">
      <c r="A236" s="172"/>
      <c r="B236" s="172"/>
      <c r="C236" s="172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2"/>
      <c r="AT236" s="172"/>
      <c r="AU236" s="172"/>
      <c r="AV236" s="172"/>
      <c r="AW236" s="172"/>
      <c r="AX236" s="172"/>
      <c r="AY236" s="172"/>
      <c r="AZ236" s="172"/>
      <c r="BA236" s="172"/>
      <c r="BB236" s="172"/>
      <c r="BC236" s="172"/>
      <c r="BD236" s="172"/>
      <c r="BE236" s="172"/>
      <c r="BF236" s="172"/>
      <c r="BG236" s="172"/>
      <c r="BH236" s="172"/>
      <c r="BI236" s="172"/>
      <c r="BJ236" s="172"/>
      <c r="BK236" s="172"/>
      <c r="BL236" s="172"/>
      <c r="BM236" s="172"/>
      <c r="BN236" s="172"/>
      <c r="BO236" s="172"/>
      <c r="BP236" s="172"/>
      <c r="BQ236" s="172"/>
      <c r="BR236" s="172"/>
      <c r="BS236" s="172"/>
      <c r="BT236" s="172"/>
      <c r="BU236" s="172"/>
      <c r="BV236" s="172"/>
      <c r="BW236" s="172"/>
      <c r="BX236" s="172"/>
      <c r="BY236" s="174"/>
      <c r="BZ236" s="172"/>
      <c r="CA236" s="172"/>
      <c r="CD236" s="194"/>
      <c r="CE236" s="194"/>
      <c r="CF236" s="194"/>
      <c r="CG236" s="194"/>
      <c r="CH236" s="195"/>
      <c r="CI236" s="194"/>
      <c r="CJ236" s="194"/>
      <c r="CK236" s="194"/>
      <c r="CL236" s="196"/>
      <c r="CM236" s="196"/>
      <c r="CN236" s="194"/>
      <c r="CO236" s="197"/>
      <c r="CP236" s="196"/>
      <c r="CQ236" s="196"/>
      <c r="CR236" s="196"/>
      <c r="CS236" s="196"/>
      <c r="CT236" s="196"/>
      <c r="CU236" s="196"/>
      <c r="CV236" s="194"/>
      <c r="CW236" s="194"/>
      <c r="CX236" s="194"/>
      <c r="CY236" s="194"/>
      <c r="CZ236" s="194"/>
      <c r="DA236" s="194"/>
      <c r="DB236" s="194"/>
      <c r="DC236" s="194"/>
      <c r="DD236" s="194"/>
      <c r="DE236" s="194"/>
      <c r="DF236" s="196"/>
      <c r="DG236" s="198"/>
      <c r="DH236" s="194"/>
      <c r="DI236" s="194"/>
    </row>
    <row r="237" spans="1:113" s="24" customFormat="1" hidden="1" x14ac:dyDescent="0.3">
      <c r="A237" s="172"/>
      <c r="B237" s="172"/>
      <c r="C237" s="172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2"/>
      <c r="AT237" s="172"/>
      <c r="AU237" s="172"/>
      <c r="AV237" s="172"/>
      <c r="AW237" s="172"/>
      <c r="AX237" s="172"/>
      <c r="AY237" s="172"/>
      <c r="AZ237" s="172"/>
      <c r="BA237" s="172"/>
      <c r="BB237" s="172"/>
      <c r="BC237" s="172"/>
      <c r="BD237" s="172"/>
      <c r="BE237" s="172"/>
      <c r="BF237" s="172"/>
      <c r="BG237" s="172"/>
      <c r="BH237" s="172"/>
      <c r="BI237" s="172"/>
      <c r="BJ237" s="172"/>
      <c r="BK237" s="172"/>
      <c r="BL237" s="172"/>
      <c r="BM237" s="172"/>
      <c r="BN237" s="172"/>
      <c r="BO237" s="172"/>
      <c r="BP237" s="172"/>
      <c r="BQ237" s="172"/>
      <c r="BR237" s="172"/>
      <c r="BS237" s="172"/>
      <c r="BT237" s="172"/>
      <c r="BU237" s="172"/>
      <c r="BV237" s="172"/>
      <c r="BW237" s="172"/>
      <c r="BX237" s="172"/>
      <c r="BY237" s="174"/>
      <c r="BZ237" s="172"/>
      <c r="CA237" s="172"/>
      <c r="CD237" s="194"/>
      <c r="CE237" s="194"/>
      <c r="CF237" s="194"/>
      <c r="CG237" s="194"/>
      <c r="CH237" s="195"/>
      <c r="CI237" s="194"/>
      <c r="CJ237" s="194"/>
      <c r="CK237" s="194"/>
      <c r="CL237" s="196"/>
      <c r="CM237" s="196"/>
      <c r="CN237" s="194"/>
      <c r="CO237" s="197"/>
      <c r="CP237" s="196"/>
      <c r="CQ237" s="196"/>
      <c r="CR237" s="196"/>
      <c r="CS237" s="196"/>
      <c r="CT237" s="196"/>
      <c r="CU237" s="196"/>
      <c r="CV237" s="194"/>
      <c r="CW237" s="194"/>
      <c r="CX237" s="194"/>
      <c r="CY237" s="194"/>
      <c r="CZ237" s="194"/>
      <c r="DA237" s="194"/>
      <c r="DB237" s="194"/>
      <c r="DC237" s="194"/>
      <c r="DD237" s="194"/>
      <c r="DE237" s="194"/>
      <c r="DF237" s="196"/>
      <c r="DG237" s="198"/>
      <c r="DH237" s="194"/>
      <c r="DI237" s="194"/>
    </row>
    <row r="238" spans="1:113" s="24" customFormat="1" hidden="1" x14ac:dyDescent="0.3">
      <c r="A238" s="172"/>
      <c r="B238" s="172"/>
      <c r="C238" s="172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2"/>
      <c r="AT238" s="172"/>
      <c r="AU238" s="172"/>
      <c r="AV238" s="172"/>
      <c r="AW238" s="172"/>
      <c r="AX238" s="172"/>
      <c r="AY238" s="172"/>
      <c r="AZ238" s="172"/>
      <c r="BA238" s="172"/>
      <c r="BB238" s="172"/>
      <c r="BC238" s="172"/>
      <c r="BD238" s="172"/>
      <c r="BE238" s="172"/>
      <c r="BF238" s="172"/>
      <c r="BG238" s="172"/>
      <c r="BH238" s="172"/>
      <c r="BI238" s="172"/>
      <c r="BJ238" s="172"/>
      <c r="BK238" s="172"/>
      <c r="BL238" s="172"/>
      <c r="BM238" s="172"/>
      <c r="BN238" s="172"/>
      <c r="BO238" s="172"/>
      <c r="BP238" s="172"/>
      <c r="BQ238" s="172"/>
      <c r="BR238" s="172"/>
      <c r="BS238" s="172"/>
      <c r="BT238" s="172"/>
      <c r="BU238" s="172"/>
      <c r="BV238" s="172"/>
      <c r="BW238" s="172"/>
      <c r="BX238" s="172"/>
      <c r="BY238" s="174"/>
      <c r="BZ238" s="172"/>
      <c r="CA238" s="172"/>
      <c r="CD238" s="194"/>
      <c r="CE238" s="194"/>
      <c r="CF238" s="194"/>
      <c r="CG238" s="194"/>
      <c r="CH238" s="195"/>
      <c r="CI238" s="194"/>
      <c r="CJ238" s="194"/>
      <c r="CK238" s="194"/>
      <c r="CL238" s="196"/>
      <c r="CM238" s="196"/>
      <c r="CN238" s="194"/>
      <c r="CO238" s="197"/>
      <c r="CP238" s="196"/>
      <c r="CQ238" s="196"/>
      <c r="CR238" s="196"/>
      <c r="CS238" s="196"/>
      <c r="CT238" s="196"/>
      <c r="CU238" s="196"/>
      <c r="CV238" s="194"/>
      <c r="CW238" s="194"/>
      <c r="CX238" s="194"/>
      <c r="CY238" s="194"/>
      <c r="CZ238" s="194"/>
      <c r="DA238" s="194"/>
      <c r="DB238" s="194"/>
      <c r="DC238" s="194"/>
      <c r="DD238" s="194"/>
      <c r="DE238" s="194"/>
      <c r="DF238" s="196"/>
      <c r="DG238" s="198"/>
      <c r="DH238" s="194"/>
      <c r="DI238" s="194"/>
    </row>
    <row r="239" spans="1:113" s="24" customFormat="1" hidden="1" x14ac:dyDescent="0.3">
      <c r="A239" s="172"/>
      <c r="B239" s="172"/>
      <c r="C239" s="172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2"/>
      <c r="AT239" s="172"/>
      <c r="AU239" s="172"/>
      <c r="AV239" s="172"/>
      <c r="AW239" s="172"/>
      <c r="AX239" s="172"/>
      <c r="AY239" s="172"/>
      <c r="AZ239" s="172"/>
      <c r="BA239" s="172"/>
      <c r="BB239" s="172"/>
      <c r="BC239" s="172"/>
      <c r="BD239" s="172"/>
      <c r="BE239" s="172"/>
      <c r="BF239" s="172"/>
      <c r="BG239" s="172"/>
      <c r="BH239" s="172"/>
      <c r="BI239" s="172"/>
      <c r="BJ239" s="172"/>
      <c r="BK239" s="172"/>
      <c r="BL239" s="172"/>
      <c r="BM239" s="172"/>
      <c r="BN239" s="172"/>
      <c r="BO239" s="172"/>
      <c r="BP239" s="172"/>
      <c r="BQ239" s="172"/>
      <c r="BR239" s="172"/>
      <c r="BS239" s="172"/>
      <c r="BT239" s="172"/>
      <c r="BU239" s="172"/>
      <c r="BV239" s="172"/>
      <c r="BW239" s="172"/>
      <c r="BX239" s="172"/>
      <c r="BY239" s="174"/>
      <c r="BZ239" s="172"/>
      <c r="CA239" s="172"/>
      <c r="CD239" s="194"/>
      <c r="CE239" s="194"/>
      <c r="CF239" s="194"/>
      <c r="CG239" s="194"/>
      <c r="CH239" s="195"/>
      <c r="CI239" s="194"/>
      <c r="CJ239" s="194"/>
      <c r="CK239" s="194"/>
      <c r="CL239" s="196"/>
      <c r="CM239" s="196"/>
      <c r="CN239" s="194"/>
      <c r="CO239" s="197"/>
      <c r="CP239" s="196"/>
      <c r="CQ239" s="196"/>
      <c r="CR239" s="196"/>
      <c r="CS239" s="196"/>
      <c r="CT239" s="196"/>
      <c r="CU239" s="196"/>
      <c r="CV239" s="194"/>
      <c r="CW239" s="194"/>
      <c r="CX239" s="194"/>
      <c r="CY239" s="194"/>
      <c r="CZ239" s="194"/>
      <c r="DA239" s="194"/>
      <c r="DB239" s="194"/>
      <c r="DC239" s="194"/>
      <c r="DD239" s="194"/>
      <c r="DE239" s="194"/>
      <c r="DF239" s="196"/>
      <c r="DG239" s="198"/>
      <c r="DH239" s="194"/>
      <c r="DI239" s="194"/>
    </row>
    <row r="240" spans="1:113" s="24" customFormat="1" hidden="1" x14ac:dyDescent="0.3">
      <c r="A240" s="172"/>
      <c r="B240" s="172"/>
      <c r="C240" s="172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2"/>
      <c r="AT240" s="172"/>
      <c r="AU240" s="172"/>
      <c r="AV240" s="172"/>
      <c r="AW240" s="172"/>
      <c r="AX240" s="172"/>
      <c r="AY240" s="172"/>
      <c r="AZ240" s="172"/>
      <c r="BA240" s="172"/>
      <c r="BB240" s="172"/>
      <c r="BC240" s="172"/>
      <c r="BD240" s="172"/>
      <c r="BE240" s="172"/>
      <c r="BF240" s="172"/>
      <c r="BG240" s="172"/>
      <c r="BH240" s="172"/>
      <c r="BI240" s="172"/>
      <c r="BJ240" s="172"/>
      <c r="BK240" s="172"/>
      <c r="BL240" s="172"/>
      <c r="BM240" s="172"/>
      <c r="BN240" s="172"/>
      <c r="BO240" s="172"/>
      <c r="BP240" s="172"/>
      <c r="BQ240" s="172"/>
      <c r="BR240" s="172"/>
      <c r="BS240" s="172"/>
      <c r="BT240" s="172"/>
      <c r="BU240" s="172"/>
      <c r="BV240" s="172"/>
      <c r="BW240" s="172"/>
      <c r="BX240" s="172"/>
      <c r="BY240" s="174"/>
      <c r="BZ240" s="172"/>
      <c r="CA240" s="172"/>
      <c r="CD240" s="194"/>
      <c r="CE240" s="194"/>
      <c r="CF240" s="194"/>
      <c r="CG240" s="194"/>
      <c r="CH240" s="195"/>
      <c r="CI240" s="194"/>
      <c r="CJ240" s="194"/>
      <c r="CK240" s="194"/>
      <c r="CL240" s="196"/>
      <c r="CM240" s="196"/>
      <c r="CN240" s="194"/>
      <c r="CO240" s="197"/>
      <c r="CP240" s="196"/>
      <c r="CQ240" s="196"/>
      <c r="CR240" s="196"/>
      <c r="CS240" s="196"/>
      <c r="CT240" s="196"/>
      <c r="CU240" s="196"/>
      <c r="CV240" s="194"/>
      <c r="CW240" s="194"/>
      <c r="CX240" s="194"/>
      <c r="CY240" s="194"/>
      <c r="CZ240" s="194"/>
      <c r="DA240" s="194"/>
      <c r="DB240" s="194"/>
      <c r="DC240" s="194"/>
      <c r="DD240" s="194"/>
      <c r="DE240" s="194"/>
      <c r="DF240" s="196"/>
      <c r="DG240" s="198"/>
      <c r="DH240" s="194"/>
      <c r="DI240" s="194"/>
    </row>
    <row r="241" spans="1:113" s="24" customFormat="1" hidden="1" x14ac:dyDescent="0.3">
      <c r="A241" s="172"/>
      <c r="B241" s="172"/>
      <c r="C241" s="172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2"/>
      <c r="AT241" s="172"/>
      <c r="AU241" s="172"/>
      <c r="AV241" s="172"/>
      <c r="AW241" s="172"/>
      <c r="AX241" s="172"/>
      <c r="AY241" s="172"/>
      <c r="AZ241" s="172"/>
      <c r="BA241" s="172"/>
      <c r="BB241" s="172"/>
      <c r="BC241" s="172"/>
      <c r="BD241" s="172"/>
      <c r="BE241" s="172"/>
      <c r="BF241" s="172"/>
      <c r="BG241" s="172"/>
      <c r="BH241" s="172"/>
      <c r="BI241" s="172"/>
      <c r="BJ241" s="172"/>
      <c r="BK241" s="172"/>
      <c r="BL241" s="172"/>
      <c r="BM241" s="172"/>
      <c r="BN241" s="172"/>
      <c r="BO241" s="172"/>
      <c r="BP241" s="172"/>
      <c r="BQ241" s="172"/>
      <c r="BR241" s="172"/>
      <c r="BS241" s="172"/>
      <c r="BT241" s="172"/>
      <c r="BU241" s="172"/>
      <c r="BV241" s="172"/>
      <c r="BW241" s="172"/>
      <c r="BX241" s="172"/>
      <c r="BY241" s="174"/>
      <c r="BZ241" s="172"/>
      <c r="CA241" s="172"/>
      <c r="CD241" s="194"/>
      <c r="CE241" s="194"/>
      <c r="CF241" s="194"/>
      <c r="CG241" s="194"/>
      <c r="CH241" s="195"/>
      <c r="CI241" s="194"/>
      <c r="CJ241" s="194"/>
      <c r="CK241" s="194"/>
      <c r="CL241" s="196"/>
      <c r="CM241" s="196"/>
      <c r="CN241" s="194"/>
      <c r="CO241" s="197"/>
      <c r="CP241" s="196"/>
      <c r="CQ241" s="196"/>
      <c r="CR241" s="196"/>
      <c r="CS241" s="196"/>
      <c r="CT241" s="196"/>
      <c r="CU241" s="196"/>
      <c r="CV241" s="194"/>
      <c r="CW241" s="194"/>
      <c r="CX241" s="194"/>
      <c r="CY241" s="194"/>
      <c r="CZ241" s="194"/>
      <c r="DA241" s="194"/>
      <c r="DB241" s="194"/>
      <c r="DC241" s="194"/>
      <c r="DD241" s="194"/>
      <c r="DE241" s="194"/>
      <c r="DF241" s="196"/>
      <c r="DG241" s="198"/>
      <c r="DH241" s="194"/>
      <c r="DI241" s="194"/>
    </row>
    <row r="242" spans="1:113" s="24" customFormat="1" hidden="1" x14ac:dyDescent="0.3">
      <c r="A242" s="172"/>
      <c r="B242" s="172"/>
      <c r="C242" s="172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2"/>
      <c r="AT242" s="172"/>
      <c r="AU242" s="172"/>
      <c r="AV242" s="172"/>
      <c r="AW242" s="172"/>
      <c r="AX242" s="172"/>
      <c r="AY242" s="172"/>
      <c r="AZ242" s="172"/>
      <c r="BA242" s="172"/>
      <c r="BB242" s="172"/>
      <c r="BC242" s="172"/>
      <c r="BD242" s="172"/>
      <c r="BE242" s="172"/>
      <c r="BF242" s="172"/>
      <c r="BG242" s="172"/>
      <c r="BH242" s="172"/>
      <c r="BI242" s="172"/>
      <c r="BJ242" s="172"/>
      <c r="BK242" s="172"/>
      <c r="BL242" s="172"/>
      <c r="BM242" s="172"/>
      <c r="BN242" s="172"/>
      <c r="BO242" s="172"/>
      <c r="BP242" s="172"/>
      <c r="BQ242" s="172"/>
      <c r="BR242" s="172"/>
      <c r="BS242" s="172"/>
      <c r="BT242" s="172"/>
      <c r="BU242" s="172"/>
      <c r="BV242" s="172"/>
      <c r="BW242" s="172"/>
      <c r="BX242" s="172"/>
      <c r="BY242" s="174"/>
      <c r="BZ242" s="172"/>
      <c r="CA242" s="172"/>
      <c r="CD242" s="194"/>
      <c r="CE242" s="194"/>
      <c r="CF242" s="194"/>
      <c r="CG242" s="194"/>
      <c r="CH242" s="195"/>
      <c r="CI242" s="194"/>
      <c r="CJ242" s="194"/>
      <c r="CK242" s="194"/>
      <c r="CL242" s="196"/>
      <c r="CM242" s="196"/>
      <c r="CN242" s="194"/>
      <c r="CO242" s="197"/>
      <c r="CP242" s="196"/>
      <c r="CQ242" s="196"/>
      <c r="CR242" s="196"/>
      <c r="CS242" s="196"/>
      <c r="CT242" s="196"/>
      <c r="CU242" s="196"/>
      <c r="CV242" s="194"/>
      <c r="CW242" s="194"/>
      <c r="CX242" s="194"/>
      <c r="CY242" s="194"/>
      <c r="CZ242" s="194"/>
      <c r="DA242" s="194"/>
      <c r="DB242" s="194"/>
      <c r="DC242" s="194"/>
      <c r="DD242" s="194"/>
      <c r="DE242" s="194"/>
      <c r="DF242" s="196"/>
      <c r="DG242" s="198"/>
      <c r="DH242" s="194"/>
      <c r="DI242" s="194"/>
    </row>
    <row r="243" spans="1:113" s="24" customFormat="1" hidden="1" x14ac:dyDescent="0.3">
      <c r="A243" s="172"/>
      <c r="B243" s="172"/>
      <c r="C243" s="172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2"/>
      <c r="AT243" s="172"/>
      <c r="AU243" s="172"/>
      <c r="AV243" s="172"/>
      <c r="AW243" s="172"/>
      <c r="AX243" s="172"/>
      <c r="AY243" s="172"/>
      <c r="AZ243" s="172"/>
      <c r="BA243" s="172"/>
      <c r="BB243" s="172"/>
      <c r="BC243" s="172"/>
      <c r="BD243" s="172"/>
      <c r="BE243" s="172"/>
      <c r="BF243" s="172"/>
      <c r="BG243" s="172"/>
      <c r="BH243" s="172"/>
      <c r="BI243" s="172"/>
      <c r="BJ243" s="172"/>
      <c r="BK243" s="172"/>
      <c r="BL243" s="172"/>
      <c r="BM243" s="172"/>
      <c r="BN243" s="172"/>
      <c r="BO243" s="172"/>
      <c r="BP243" s="172"/>
      <c r="BQ243" s="172"/>
      <c r="BR243" s="172"/>
      <c r="BS243" s="172"/>
      <c r="BT243" s="172"/>
      <c r="BU243" s="172"/>
      <c r="BV243" s="172"/>
      <c r="BW243" s="172"/>
      <c r="BX243" s="172"/>
      <c r="BY243" s="174"/>
      <c r="BZ243" s="172"/>
      <c r="CA243" s="172"/>
      <c r="CD243" s="194"/>
      <c r="CE243" s="194"/>
      <c r="CF243" s="194"/>
      <c r="CG243" s="194"/>
      <c r="CH243" s="195"/>
      <c r="CI243" s="194"/>
      <c r="CJ243" s="194"/>
      <c r="CK243" s="194"/>
      <c r="CL243" s="196"/>
      <c r="CM243" s="196"/>
      <c r="CN243" s="194"/>
      <c r="CO243" s="197"/>
      <c r="CP243" s="196"/>
      <c r="CQ243" s="196"/>
      <c r="CR243" s="196"/>
      <c r="CS243" s="196"/>
      <c r="CT243" s="196"/>
      <c r="CU243" s="196"/>
      <c r="CV243" s="194"/>
      <c r="CW243" s="194"/>
      <c r="CX243" s="194"/>
      <c r="CY243" s="194"/>
      <c r="CZ243" s="194"/>
      <c r="DA243" s="194"/>
      <c r="DB243" s="194"/>
      <c r="DC243" s="194"/>
      <c r="DD243" s="194"/>
      <c r="DE243" s="194"/>
      <c r="DF243" s="196"/>
      <c r="DG243" s="198"/>
      <c r="DH243" s="194"/>
      <c r="DI243" s="194"/>
    </row>
    <row r="244" spans="1:113" s="24" customFormat="1" hidden="1" x14ac:dyDescent="0.3">
      <c r="A244" s="172"/>
      <c r="B244" s="172"/>
      <c r="C244" s="172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2"/>
      <c r="AT244" s="172"/>
      <c r="AU244" s="172"/>
      <c r="AV244" s="172"/>
      <c r="AW244" s="172"/>
      <c r="AX244" s="172"/>
      <c r="AY244" s="172"/>
      <c r="AZ244" s="172"/>
      <c r="BA244" s="172"/>
      <c r="BB244" s="172"/>
      <c r="BC244" s="172"/>
      <c r="BD244" s="172"/>
      <c r="BE244" s="172"/>
      <c r="BF244" s="172"/>
      <c r="BG244" s="172"/>
      <c r="BH244" s="172"/>
      <c r="BI244" s="172"/>
      <c r="BJ244" s="172"/>
      <c r="BK244" s="172"/>
      <c r="BL244" s="172"/>
      <c r="BM244" s="172"/>
      <c r="BN244" s="172"/>
      <c r="BO244" s="172"/>
      <c r="BP244" s="172"/>
      <c r="BQ244" s="172"/>
      <c r="BR244" s="172"/>
      <c r="BS244" s="172"/>
      <c r="BT244" s="172"/>
      <c r="BU244" s="172"/>
      <c r="BV244" s="172"/>
      <c r="BW244" s="172"/>
      <c r="BX244" s="172"/>
      <c r="BY244" s="174"/>
      <c r="BZ244" s="172"/>
      <c r="CA244" s="172"/>
      <c r="CD244" s="194"/>
      <c r="CE244" s="194"/>
      <c r="CF244" s="194"/>
      <c r="CG244" s="194"/>
      <c r="CH244" s="195"/>
      <c r="CI244" s="194"/>
      <c r="CJ244" s="194"/>
      <c r="CK244" s="194"/>
      <c r="CL244" s="196"/>
      <c r="CM244" s="196"/>
      <c r="CN244" s="194"/>
      <c r="CO244" s="197"/>
      <c r="CP244" s="196"/>
      <c r="CQ244" s="196"/>
      <c r="CR244" s="196"/>
      <c r="CS244" s="196"/>
      <c r="CT244" s="196"/>
      <c r="CU244" s="196"/>
      <c r="CV244" s="194"/>
      <c r="CW244" s="194"/>
      <c r="CX244" s="194"/>
      <c r="CY244" s="194"/>
      <c r="CZ244" s="194"/>
      <c r="DA244" s="194"/>
      <c r="DB244" s="194"/>
      <c r="DC244" s="194"/>
      <c r="DD244" s="194"/>
      <c r="DE244" s="194"/>
      <c r="DF244" s="196"/>
      <c r="DG244" s="198"/>
      <c r="DH244" s="194"/>
      <c r="DI244" s="194"/>
    </row>
    <row r="245" spans="1:113" s="24" customFormat="1" hidden="1" x14ac:dyDescent="0.3">
      <c r="A245" s="172"/>
      <c r="B245" s="172"/>
      <c r="C245" s="172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2"/>
      <c r="AT245" s="172"/>
      <c r="AU245" s="172"/>
      <c r="AV245" s="172"/>
      <c r="AW245" s="172"/>
      <c r="AX245" s="172"/>
      <c r="AY245" s="172"/>
      <c r="AZ245" s="172"/>
      <c r="BA245" s="172"/>
      <c r="BB245" s="172"/>
      <c r="BC245" s="172"/>
      <c r="BD245" s="172"/>
      <c r="BE245" s="172"/>
      <c r="BF245" s="172"/>
      <c r="BG245" s="172"/>
      <c r="BH245" s="172"/>
      <c r="BI245" s="172"/>
      <c r="BJ245" s="172"/>
      <c r="BK245" s="172"/>
      <c r="BL245" s="172"/>
      <c r="BM245" s="172"/>
      <c r="BN245" s="172"/>
      <c r="BO245" s="172"/>
      <c r="BP245" s="172"/>
      <c r="BQ245" s="172"/>
      <c r="BR245" s="172"/>
      <c r="BS245" s="172"/>
      <c r="BT245" s="172"/>
      <c r="BU245" s="172"/>
      <c r="BV245" s="172"/>
      <c r="BW245" s="172"/>
      <c r="BX245" s="172"/>
      <c r="BY245" s="174"/>
      <c r="BZ245" s="172"/>
      <c r="CA245" s="172"/>
      <c r="CD245" s="194"/>
      <c r="CE245" s="194"/>
      <c r="CF245" s="194"/>
      <c r="CG245" s="194"/>
      <c r="CH245" s="195"/>
      <c r="CI245" s="194"/>
      <c r="CJ245" s="194"/>
      <c r="CK245" s="194"/>
      <c r="CL245" s="196"/>
      <c r="CM245" s="196"/>
      <c r="CN245" s="194"/>
      <c r="CO245" s="197"/>
      <c r="CP245" s="196"/>
      <c r="CQ245" s="196"/>
      <c r="CR245" s="196"/>
      <c r="CS245" s="196"/>
      <c r="CT245" s="196"/>
      <c r="CU245" s="196"/>
      <c r="CV245" s="194"/>
      <c r="CW245" s="194"/>
      <c r="CX245" s="194"/>
      <c r="CY245" s="194"/>
      <c r="CZ245" s="194"/>
      <c r="DA245" s="194"/>
      <c r="DB245" s="194"/>
      <c r="DC245" s="194"/>
      <c r="DD245" s="194"/>
      <c r="DE245" s="194"/>
      <c r="DF245" s="196"/>
      <c r="DG245" s="198"/>
      <c r="DH245" s="194"/>
      <c r="DI245" s="194"/>
    </row>
    <row r="246" spans="1:113" s="24" customFormat="1" hidden="1" x14ac:dyDescent="0.3">
      <c r="A246" s="172"/>
      <c r="B246" s="172"/>
      <c r="C246" s="172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2"/>
      <c r="AT246" s="172"/>
      <c r="AU246" s="172"/>
      <c r="AV246" s="172"/>
      <c r="AW246" s="172"/>
      <c r="AX246" s="172"/>
      <c r="AY246" s="172"/>
      <c r="AZ246" s="172"/>
      <c r="BA246" s="172"/>
      <c r="BB246" s="172"/>
      <c r="BC246" s="172"/>
      <c r="BD246" s="172"/>
      <c r="BE246" s="172"/>
      <c r="BF246" s="172"/>
      <c r="BG246" s="172"/>
      <c r="BH246" s="172"/>
      <c r="BI246" s="172"/>
      <c r="BJ246" s="172"/>
      <c r="BK246" s="172"/>
      <c r="BL246" s="172"/>
      <c r="BM246" s="172"/>
      <c r="BN246" s="172"/>
      <c r="BO246" s="172"/>
      <c r="BP246" s="172"/>
      <c r="BQ246" s="172"/>
      <c r="BR246" s="172"/>
      <c r="BS246" s="172"/>
      <c r="BT246" s="172"/>
      <c r="BU246" s="172"/>
      <c r="BV246" s="172"/>
      <c r="BW246" s="172"/>
      <c r="BX246" s="172"/>
      <c r="BY246" s="174"/>
      <c r="BZ246" s="172"/>
      <c r="CA246" s="172"/>
      <c r="CD246" s="194"/>
      <c r="CE246" s="194"/>
      <c r="CF246" s="194"/>
      <c r="CG246" s="194"/>
      <c r="CH246" s="195"/>
      <c r="CI246" s="194"/>
      <c r="CJ246" s="194"/>
      <c r="CK246" s="194"/>
      <c r="CL246" s="196"/>
      <c r="CM246" s="196"/>
      <c r="CN246" s="194"/>
      <c r="CO246" s="197"/>
      <c r="CP246" s="196"/>
      <c r="CQ246" s="196"/>
      <c r="CR246" s="196"/>
      <c r="CS246" s="196"/>
      <c r="CT246" s="196"/>
      <c r="CU246" s="196"/>
      <c r="CV246" s="194"/>
      <c r="CW246" s="194"/>
      <c r="CX246" s="194"/>
      <c r="CY246" s="194"/>
      <c r="CZ246" s="194"/>
      <c r="DA246" s="194"/>
      <c r="DB246" s="194"/>
      <c r="DC246" s="194"/>
      <c r="DD246" s="194"/>
      <c r="DE246" s="194"/>
      <c r="DF246" s="196"/>
      <c r="DG246" s="198"/>
      <c r="DH246" s="194"/>
      <c r="DI246" s="194"/>
    </row>
    <row r="247" spans="1:113" s="24" customFormat="1" hidden="1" x14ac:dyDescent="0.3">
      <c r="A247" s="172"/>
      <c r="B247" s="172"/>
      <c r="C247" s="172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2"/>
      <c r="AT247" s="172"/>
      <c r="AU247" s="172"/>
      <c r="AV247" s="172"/>
      <c r="AW247" s="172"/>
      <c r="AX247" s="172"/>
      <c r="AY247" s="172"/>
      <c r="AZ247" s="172"/>
      <c r="BA247" s="172"/>
      <c r="BB247" s="172"/>
      <c r="BC247" s="172"/>
      <c r="BD247" s="172"/>
      <c r="BE247" s="172"/>
      <c r="BF247" s="172"/>
      <c r="BG247" s="172"/>
      <c r="BH247" s="172"/>
      <c r="BI247" s="172"/>
      <c r="BJ247" s="172"/>
      <c r="BK247" s="172"/>
      <c r="BL247" s="172"/>
      <c r="BM247" s="172"/>
      <c r="BN247" s="172"/>
      <c r="BO247" s="172"/>
      <c r="BP247" s="172"/>
      <c r="BQ247" s="172"/>
      <c r="BR247" s="172"/>
      <c r="BS247" s="172"/>
      <c r="BT247" s="172"/>
      <c r="BU247" s="172"/>
      <c r="BV247" s="172"/>
      <c r="BW247" s="172"/>
      <c r="BX247" s="172"/>
      <c r="BY247" s="174"/>
      <c r="BZ247" s="172"/>
      <c r="CA247" s="172"/>
      <c r="CD247" s="194"/>
      <c r="CE247" s="194"/>
      <c r="CF247" s="194"/>
      <c r="CG247" s="194"/>
      <c r="CH247" s="195"/>
      <c r="CI247" s="194"/>
      <c r="CJ247" s="194"/>
      <c r="CK247" s="194"/>
      <c r="CL247" s="196"/>
      <c r="CM247" s="196"/>
      <c r="CN247" s="194"/>
      <c r="CO247" s="197"/>
      <c r="CP247" s="196"/>
      <c r="CQ247" s="196"/>
      <c r="CR247" s="196"/>
      <c r="CS247" s="196"/>
      <c r="CT247" s="196"/>
      <c r="CU247" s="196"/>
      <c r="CV247" s="194"/>
      <c r="CW247" s="194"/>
      <c r="CX247" s="194"/>
      <c r="CY247" s="194"/>
      <c r="CZ247" s="194"/>
      <c r="DA247" s="194"/>
      <c r="DB247" s="194"/>
      <c r="DC247" s="194"/>
      <c r="DD247" s="194"/>
      <c r="DE247" s="194"/>
      <c r="DF247" s="196"/>
      <c r="DG247" s="198"/>
      <c r="DH247" s="194"/>
      <c r="DI247" s="194"/>
    </row>
    <row r="248" spans="1:113" s="24" customFormat="1" hidden="1" x14ac:dyDescent="0.3">
      <c r="A248" s="172"/>
      <c r="B248" s="172"/>
      <c r="C248" s="172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2"/>
      <c r="AT248" s="172"/>
      <c r="AU248" s="172"/>
      <c r="AV248" s="172"/>
      <c r="AW248" s="172"/>
      <c r="AX248" s="172"/>
      <c r="AY248" s="172"/>
      <c r="AZ248" s="172"/>
      <c r="BA248" s="172"/>
      <c r="BB248" s="172"/>
      <c r="BC248" s="172"/>
      <c r="BD248" s="172"/>
      <c r="BE248" s="172"/>
      <c r="BF248" s="172"/>
      <c r="BG248" s="172"/>
      <c r="BH248" s="172"/>
      <c r="BI248" s="172"/>
      <c r="BJ248" s="172"/>
      <c r="BK248" s="172"/>
      <c r="BL248" s="172"/>
      <c r="BM248" s="172"/>
      <c r="BN248" s="172"/>
      <c r="BO248" s="172"/>
      <c r="BP248" s="172"/>
      <c r="BQ248" s="172"/>
      <c r="BR248" s="172"/>
      <c r="BS248" s="172"/>
      <c r="BT248" s="172"/>
      <c r="BU248" s="172"/>
      <c r="BV248" s="172"/>
      <c r="BW248" s="172"/>
      <c r="BX248" s="172"/>
      <c r="BY248" s="174"/>
      <c r="BZ248" s="172"/>
      <c r="CA248" s="172"/>
      <c r="CD248" s="194"/>
      <c r="CE248" s="194"/>
      <c r="CF248" s="194"/>
      <c r="CG248" s="194"/>
      <c r="CH248" s="195"/>
      <c r="CI248" s="194"/>
      <c r="CJ248" s="194"/>
      <c r="CK248" s="194"/>
      <c r="CL248" s="196"/>
      <c r="CM248" s="196"/>
      <c r="CN248" s="194"/>
      <c r="CO248" s="197"/>
      <c r="CP248" s="196"/>
      <c r="CQ248" s="196"/>
      <c r="CR248" s="196"/>
      <c r="CS248" s="196"/>
      <c r="CT248" s="196"/>
      <c r="CU248" s="196"/>
      <c r="CV248" s="194"/>
      <c r="CW248" s="194"/>
      <c r="CX248" s="194"/>
      <c r="CY248" s="194"/>
      <c r="CZ248" s="194"/>
      <c r="DA248" s="194"/>
      <c r="DB248" s="194"/>
      <c r="DC248" s="194"/>
      <c r="DD248" s="194"/>
      <c r="DE248" s="194"/>
      <c r="DF248" s="196"/>
      <c r="DG248" s="198"/>
      <c r="DH248" s="194"/>
      <c r="DI248" s="194"/>
    </row>
    <row r="249" spans="1:113" s="24" customFormat="1" hidden="1" x14ac:dyDescent="0.3">
      <c r="A249" s="172"/>
      <c r="B249" s="172"/>
      <c r="C249" s="172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2"/>
      <c r="AT249" s="172"/>
      <c r="AU249" s="172"/>
      <c r="AV249" s="172"/>
      <c r="AW249" s="172"/>
      <c r="AX249" s="172"/>
      <c r="AY249" s="172"/>
      <c r="AZ249" s="172"/>
      <c r="BA249" s="172"/>
      <c r="BB249" s="172"/>
      <c r="BC249" s="172"/>
      <c r="BD249" s="172"/>
      <c r="BE249" s="172"/>
      <c r="BF249" s="172"/>
      <c r="BG249" s="172"/>
      <c r="BH249" s="172"/>
      <c r="BI249" s="172"/>
      <c r="BJ249" s="172"/>
      <c r="BK249" s="172"/>
      <c r="BL249" s="172"/>
      <c r="BM249" s="172"/>
      <c r="BN249" s="172"/>
      <c r="BO249" s="172"/>
      <c r="BP249" s="172"/>
      <c r="BQ249" s="172"/>
      <c r="BR249" s="172"/>
      <c r="BS249" s="172"/>
      <c r="BT249" s="172"/>
      <c r="BU249" s="172"/>
      <c r="BV249" s="172"/>
      <c r="BW249" s="172"/>
      <c r="BX249" s="172"/>
      <c r="BY249" s="174"/>
      <c r="BZ249" s="172"/>
      <c r="CA249" s="172"/>
      <c r="CD249" s="194"/>
      <c r="CE249" s="194"/>
      <c r="CF249" s="194"/>
      <c r="CG249" s="194"/>
      <c r="CH249" s="195"/>
      <c r="CI249" s="194"/>
      <c r="CJ249" s="194"/>
      <c r="CK249" s="194"/>
      <c r="CL249" s="196"/>
      <c r="CM249" s="196"/>
      <c r="CN249" s="194"/>
      <c r="CO249" s="197"/>
      <c r="CP249" s="196"/>
      <c r="CQ249" s="196"/>
      <c r="CR249" s="196"/>
      <c r="CS249" s="196"/>
      <c r="CT249" s="196"/>
      <c r="CU249" s="196"/>
      <c r="CV249" s="194"/>
      <c r="CW249" s="194"/>
      <c r="CX249" s="194"/>
      <c r="CY249" s="194"/>
      <c r="CZ249" s="194"/>
      <c r="DA249" s="194"/>
      <c r="DB249" s="194"/>
      <c r="DC249" s="194"/>
      <c r="DD249" s="194"/>
      <c r="DE249" s="194"/>
      <c r="DF249" s="196"/>
      <c r="DG249" s="198"/>
      <c r="DH249" s="194"/>
      <c r="DI249" s="194"/>
    </row>
    <row r="250" spans="1:113" s="24" customFormat="1" hidden="1" x14ac:dyDescent="0.3">
      <c r="A250" s="172"/>
      <c r="B250" s="172"/>
      <c r="C250" s="172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2"/>
      <c r="AT250" s="172"/>
      <c r="AU250" s="172"/>
      <c r="AV250" s="172"/>
      <c r="AW250" s="172"/>
      <c r="AX250" s="172"/>
      <c r="AY250" s="172"/>
      <c r="AZ250" s="172"/>
      <c r="BA250" s="172"/>
      <c r="BB250" s="172"/>
      <c r="BC250" s="172"/>
      <c r="BD250" s="172"/>
      <c r="BE250" s="172"/>
      <c r="BF250" s="172"/>
      <c r="BG250" s="172"/>
      <c r="BH250" s="172"/>
      <c r="BI250" s="172"/>
      <c r="BJ250" s="172"/>
      <c r="BK250" s="172"/>
      <c r="BL250" s="172"/>
      <c r="BM250" s="172"/>
      <c r="BN250" s="172"/>
      <c r="BO250" s="172"/>
      <c r="BP250" s="172"/>
      <c r="BQ250" s="172"/>
      <c r="BR250" s="172"/>
      <c r="BS250" s="172"/>
      <c r="BT250" s="172"/>
      <c r="BU250" s="172"/>
      <c r="BV250" s="172"/>
      <c r="BW250" s="172"/>
      <c r="BX250" s="172"/>
      <c r="BY250" s="174"/>
      <c r="BZ250" s="172"/>
      <c r="CA250" s="172"/>
      <c r="CD250" s="194"/>
      <c r="CE250" s="194"/>
      <c r="CF250" s="194"/>
      <c r="CG250" s="194"/>
      <c r="CH250" s="195"/>
      <c r="CI250" s="194"/>
      <c r="CJ250" s="194"/>
      <c r="CK250" s="194"/>
      <c r="CL250" s="196"/>
      <c r="CM250" s="196"/>
      <c r="CN250" s="194"/>
      <c r="CO250" s="197"/>
      <c r="CP250" s="196"/>
      <c r="CQ250" s="196"/>
      <c r="CR250" s="196"/>
      <c r="CS250" s="196"/>
      <c r="CT250" s="196"/>
      <c r="CU250" s="196"/>
      <c r="CV250" s="194"/>
      <c r="CW250" s="194"/>
      <c r="CX250" s="194"/>
      <c r="CY250" s="194"/>
      <c r="CZ250" s="194"/>
      <c r="DA250" s="194"/>
      <c r="DB250" s="194"/>
      <c r="DC250" s="194"/>
      <c r="DD250" s="194"/>
      <c r="DE250" s="194"/>
      <c r="DF250" s="196"/>
      <c r="DG250" s="198"/>
      <c r="DH250" s="194"/>
      <c r="DI250" s="194"/>
    </row>
    <row r="251" spans="1:113" s="24" customFormat="1" hidden="1" x14ac:dyDescent="0.3">
      <c r="A251" s="172"/>
      <c r="B251" s="172"/>
      <c r="C251" s="172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2"/>
      <c r="AT251" s="172"/>
      <c r="AU251" s="172"/>
      <c r="AV251" s="172"/>
      <c r="AW251" s="172"/>
      <c r="AX251" s="172"/>
      <c r="AY251" s="172"/>
      <c r="AZ251" s="172"/>
      <c r="BA251" s="172"/>
      <c r="BB251" s="172"/>
      <c r="BC251" s="172"/>
      <c r="BD251" s="172"/>
      <c r="BE251" s="172"/>
      <c r="BF251" s="172"/>
      <c r="BG251" s="172"/>
      <c r="BH251" s="172"/>
      <c r="BI251" s="172"/>
      <c r="BJ251" s="172"/>
      <c r="BK251" s="172"/>
      <c r="BL251" s="172"/>
      <c r="BM251" s="172"/>
      <c r="BN251" s="172"/>
      <c r="BO251" s="172"/>
      <c r="BP251" s="172"/>
      <c r="BQ251" s="172"/>
      <c r="BR251" s="172"/>
      <c r="BS251" s="172"/>
      <c r="BT251" s="172"/>
      <c r="BU251" s="172"/>
      <c r="BV251" s="172"/>
      <c r="BW251" s="172"/>
      <c r="BX251" s="172"/>
      <c r="BY251" s="174"/>
      <c r="BZ251" s="172"/>
      <c r="CA251" s="172"/>
      <c r="CD251" s="194"/>
      <c r="CE251" s="194"/>
      <c r="CF251" s="194"/>
      <c r="CG251" s="194"/>
      <c r="CH251" s="195"/>
      <c r="CI251" s="194"/>
      <c r="CJ251" s="194"/>
      <c r="CK251" s="194"/>
      <c r="CL251" s="196"/>
      <c r="CM251" s="196"/>
      <c r="CN251" s="194"/>
      <c r="CO251" s="197"/>
      <c r="CP251" s="196"/>
      <c r="CQ251" s="196"/>
      <c r="CR251" s="196"/>
      <c r="CS251" s="196"/>
      <c r="CT251" s="196"/>
      <c r="CU251" s="196"/>
      <c r="CV251" s="194"/>
      <c r="CW251" s="194"/>
      <c r="CX251" s="194"/>
      <c r="CY251" s="194"/>
      <c r="CZ251" s="194"/>
      <c r="DA251" s="194"/>
      <c r="DB251" s="194"/>
      <c r="DC251" s="194"/>
      <c r="DD251" s="194"/>
      <c r="DE251" s="194"/>
      <c r="DF251" s="196"/>
      <c r="DG251" s="198"/>
      <c r="DH251" s="194"/>
      <c r="DI251" s="194"/>
    </row>
    <row r="252" spans="1:113" s="24" customFormat="1" hidden="1" x14ac:dyDescent="0.3">
      <c r="A252" s="172"/>
      <c r="B252" s="172"/>
      <c r="C252" s="172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2"/>
      <c r="AT252" s="172"/>
      <c r="AU252" s="172"/>
      <c r="AV252" s="172"/>
      <c r="AW252" s="172"/>
      <c r="AX252" s="172"/>
      <c r="AY252" s="172"/>
      <c r="AZ252" s="172"/>
      <c r="BA252" s="172"/>
      <c r="BB252" s="172"/>
      <c r="BC252" s="172"/>
      <c r="BD252" s="172"/>
      <c r="BE252" s="172"/>
      <c r="BF252" s="172"/>
      <c r="BG252" s="172"/>
      <c r="BH252" s="172"/>
      <c r="BI252" s="172"/>
      <c r="BJ252" s="172"/>
      <c r="BK252" s="172"/>
      <c r="BL252" s="172"/>
      <c r="BM252" s="172"/>
      <c r="BN252" s="172"/>
      <c r="BO252" s="172"/>
      <c r="BP252" s="172"/>
      <c r="BQ252" s="172"/>
      <c r="BR252" s="172"/>
      <c r="BS252" s="172"/>
      <c r="BT252" s="172"/>
      <c r="BU252" s="172"/>
      <c r="BV252" s="172"/>
      <c r="BW252" s="172"/>
      <c r="BX252" s="172"/>
      <c r="BY252" s="174"/>
      <c r="BZ252" s="172"/>
      <c r="CA252" s="172"/>
      <c r="CD252" s="194"/>
      <c r="CE252" s="194"/>
      <c r="CF252" s="194"/>
      <c r="CG252" s="194"/>
      <c r="CH252" s="195"/>
      <c r="CI252" s="194"/>
      <c r="CJ252" s="194"/>
      <c r="CK252" s="194"/>
      <c r="CL252" s="196"/>
      <c r="CM252" s="196"/>
      <c r="CN252" s="194"/>
      <c r="CO252" s="197"/>
      <c r="CP252" s="196"/>
      <c r="CQ252" s="196"/>
      <c r="CR252" s="196"/>
      <c r="CS252" s="196"/>
      <c r="CT252" s="196"/>
      <c r="CU252" s="196"/>
      <c r="CV252" s="194"/>
      <c r="CW252" s="194"/>
      <c r="CX252" s="194"/>
      <c r="CY252" s="194"/>
      <c r="CZ252" s="194"/>
      <c r="DA252" s="194"/>
      <c r="DB252" s="194"/>
      <c r="DC252" s="194"/>
      <c r="DD252" s="194"/>
      <c r="DE252" s="194"/>
      <c r="DF252" s="196"/>
      <c r="DG252" s="198"/>
      <c r="DH252" s="194"/>
      <c r="DI252" s="194"/>
    </row>
    <row r="253" spans="1:113" s="24" customFormat="1" hidden="1" x14ac:dyDescent="0.3">
      <c r="A253" s="172"/>
      <c r="B253" s="172"/>
      <c r="C253" s="172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2"/>
      <c r="AT253" s="172"/>
      <c r="AU253" s="172"/>
      <c r="AV253" s="172"/>
      <c r="AW253" s="172"/>
      <c r="AX253" s="172"/>
      <c r="AY253" s="172"/>
      <c r="AZ253" s="172"/>
      <c r="BA253" s="172"/>
      <c r="BB253" s="172"/>
      <c r="BC253" s="172"/>
      <c r="BD253" s="172"/>
      <c r="BE253" s="172"/>
      <c r="BF253" s="172"/>
      <c r="BG253" s="172"/>
      <c r="BH253" s="172"/>
      <c r="BI253" s="172"/>
      <c r="BJ253" s="172"/>
      <c r="BK253" s="172"/>
      <c r="BL253" s="172"/>
      <c r="BM253" s="172"/>
      <c r="BN253" s="172"/>
      <c r="BO253" s="172"/>
      <c r="BP253" s="172"/>
      <c r="BQ253" s="172"/>
      <c r="BR253" s="172"/>
      <c r="BS253" s="172"/>
      <c r="BT253" s="172"/>
      <c r="BU253" s="172"/>
      <c r="BV253" s="172"/>
      <c r="BW253" s="172"/>
      <c r="BX253" s="172"/>
      <c r="BY253" s="174"/>
      <c r="BZ253" s="172"/>
      <c r="CA253" s="172"/>
      <c r="CD253" s="194"/>
      <c r="CE253" s="194"/>
      <c r="CF253" s="194"/>
      <c r="CG253" s="194"/>
      <c r="CH253" s="195"/>
      <c r="CI253" s="194"/>
      <c r="CJ253" s="194"/>
      <c r="CK253" s="194"/>
      <c r="CL253" s="196"/>
      <c r="CM253" s="196"/>
      <c r="CN253" s="194"/>
      <c r="CO253" s="197"/>
      <c r="CP253" s="196"/>
      <c r="CQ253" s="196"/>
      <c r="CR253" s="196"/>
      <c r="CS253" s="196"/>
      <c r="CT253" s="196"/>
      <c r="CU253" s="196"/>
      <c r="CV253" s="194"/>
      <c r="CW253" s="194"/>
      <c r="CX253" s="194"/>
      <c r="CY253" s="194"/>
      <c r="CZ253" s="194"/>
      <c r="DA253" s="194"/>
      <c r="DB253" s="194"/>
      <c r="DC253" s="194"/>
      <c r="DD253" s="194"/>
      <c r="DE253" s="194"/>
      <c r="DF253" s="196"/>
      <c r="DG253" s="198"/>
      <c r="DH253" s="194"/>
      <c r="DI253" s="194"/>
    </row>
    <row r="254" spans="1:113" s="24" customFormat="1" hidden="1" x14ac:dyDescent="0.3">
      <c r="A254" s="172"/>
      <c r="B254" s="172"/>
      <c r="C254" s="172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2"/>
      <c r="AT254" s="172"/>
      <c r="AU254" s="172"/>
      <c r="AV254" s="172"/>
      <c r="AW254" s="172"/>
      <c r="AX254" s="172"/>
      <c r="AY254" s="172"/>
      <c r="AZ254" s="172"/>
      <c r="BA254" s="172"/>
      <c r="BB254" s="172"/>
      <c r="BC254" s="172"/>
      <c r="BD254" s="172"/>
      <c r="BE254" s="172"/>
      <c r="BF254" s="172"/>
      <c r="BG254" s="172"/>
      <c r="BH254" s="172"/>
      <c r="BI254" s="172"/>
      <c r="BJ254" s="172"/>
      <c r="BK254" s="172"/>
      <c r="BL254" s="172"/>
      <c r="BM254" s="172"/>
      <c r="BN254" s="172"/>
      <c r="BO254" s="172"/>
      <c r="BP254" s="172"/>
      <c r="BQ254" s="172"/>
      <c r="BR254" s="172"/>
      <c r="BS254" s="172"/>
      <c r="BT254" s="172"/>
      <c r="BU254" s="172"/>
      <c r="BV254" s="172"/>
      <c r="BW254" s="172"/>
      <c r="BX254" s="172"/>
      <c r="BY254" s="174"/>
      <c r="BZ254" s="172"/>
      <c r="CA254" s="172"/>
      <c r="CD254" s="194"/>
      <c r="CE254" s="194"/>
      <c r="CF254" s="194"/>
      <c r="CG254" s="194"/>
      <c r="CH254" s="195"/>
      <c r="CI254" s="194"/>
      <c r="CJ254" s="194"/>
      <c r="CK254" s="194"/>
      <c r="CL254" s="196"/>
      <c r="CM254" s="196"/>
      <c r="CN254" s="194"/>
      <c r="CO254" s="197"/>
      <c r="CP254" s="196"/>
      <c r="CQ254" s="196"/>
      <c r="CR254" s="196"/>
      <c r="CS254" s="196"/>
      <c r="CT254" s="196"/>
      <c r="CU254" s="196"/>
      <c r="CV254" s="194"/>
      <c r="CW254" s="194"/>
      <c r="CX254" s="194"/>
      <c r="CY254" s="194"/>
      <c r="CZ254" s="194"/>
      <c r="DA254" s="194"/>
      <c r="DB254" s="194"/>
      <c r="DC254" s="194"/>
      <c r="DD254" s="194"/>
      <c r="DE254" s="194"/>
      <c r="DF254" s="196"/>
      <c r="DG254" s="198"/>
      <c r="DH254" s="194"/>
      <c r="DI254" s="194"/>
    </row>
    <row r="255" spans="1:113" s="24" customFormat="1" hidden="1" x14ac:dyDescent="0.3">
      <c r="A255" s="172"/>
      <c r="B255" s="172"/>
      <c r="C255" s="172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2"/>
      <c r="AT255" s="172"/>
      <c r="AU255" s="172"/>
      <c r="AV255" s="172"/>
      <c r="AW255" s="172"/>
      <c r="AX255" s="172"/>
      <c r="AY255" s="172"/>
      <c r="AZ255" s="172"/>
      <c r="BA255" s="172"/>
      <c r="BB255" s="172"/>
      <c r="BC255" s="172"/>
      <c r="BD255" s="172"/>
      <c r="BE255" s="172"/>
      <c r="BF255" s="172"/>
      <c r="BG255" s="172"/>
      <c r="BH255" s="172"/>
      <c r="BI255" s="172"/>
      <c r="BJ255" s="172"/>
      <c r="BK255" s="172"/>
      <c r="BL255" s="172"/>
      <c r="BM255" s="172"/>
      <c r="BN255" s="172"/>
      <c r="BO255" s="172"/>
      <c r="BP255" s="172"/>
      <c r="BQ255" s="172"/>
      <c r="BR255" s="172"/>
      <c r="BS255" s="172"/>
      <c r="BT255" s="172"/>
      <c r="BU255" s="172"/>
      <c r="BV255" s="172"/>
      <c r="BW255" s="172"/>
      <c r="BX255" s="172"/>
      <c r="BY255" s="174"/>
      <c r="BZ255" s="172"/>
      <c r="CA255" s="172"/>
      <c r="CD255" s="194"/>
      <c r="CE255" s="194"/>
      <c r="CF255" s="194"/>
      <c r="CG255" s="194"/>
      <c r="CH255" s="195"/>
      <c r="CI255" s="194"/>
      <c r="CJ255" s="194"/>
      <c r="CK255" s="194"/>
      <c r="CL255" s="196"/>
      <c r="CM255" s="196"/>
      <c r="CN255" s="194"/>
      <c r="CO255" s="197"/>
      <c r="CP255" s="196"/>
      <c r="CQ255" s="196"/>
      <c r="CR255" s="196"/>
      <c r="CS255" s="196"/>
      <c r="CT255" s="196"/>
      <c r="CU255" s="196"/>
      <c r="CV255" s="194"/>
      <c r="CW255" s="194"/>
      <c r="CX255" s="194"/>
      <c r="CY255" s="194"/>
      <c r="CZ255" s="194"/>
      <c r="DA255" s="194"/>
      <c r="DB255" s="194"/>
      <c r="DC255" s="194"/>
      <c r="DD255" s="194"/>
      <c r="DE255" s="194"/>
      <c r="DF255" s="196"/>
      <c r="DG255" s="198"/>
      <c r="DH255" s="194"/>
      <c r="DI255" s="194"/>
    </row>
    <row r="256" spans="1:113" s="24" customFormat="1" hidden="1" x14ac:dyDescent="0.3">
      <c r="A256" s="172"/>
      <c r="B256" s="172"/>
      <c r="C256" s="172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  <c r="AG256" s="173"/>
      <c r="AH256" s="173"/>
      <c r="AI256" s="173"/>
      <c r="AJ256" s="173"/>
      <c r="AK256" s="173"/>
      <c r="AL256" s="173"/>
      <c r="AM256" s="173"/>
      <c r="AN256" s="173"/>
      <c r="AO256" s="173"/>
      <c r="AP256" s="173"/>
      <c r="AQ256" s="173"/>
      <c r="AR256" s="173"/>
      <c r="AS256" s="172"/>
      <c r="AT256" s="172"/>
      <c r="AU256" s="172"/>
      <c r="AV256" s="172"/>
      <c r="AW256" s="172"/>
      <c r="AX256" s="172"/>
      <c r="AY256" s="172"/>
      <c r="AZ256" s="172"/>
      <c r="BA256" s="172"/>
      <c r="BB256" s="172"/>
      <c r="BC256" s="172"/>
      <c r="BD256" s="172"/>
      <c r="BE256" s="172"/>
      <c r="BF256" s="172"/>
      <c r="BG256" s="172"/>
      <c r="BH256" s="172"/>
      <c r="BI256" s="172"/>
      <c r="BJ256" s="172"/>
      <c r="BK256" s="172"/>
      <c r="BL256" s="172"/>
      <c r="BM256" s="172"/>
      <c r="BN256" s="172"/>
      <c r="BO256" s="172"/>
      <c r="BP256" s="172"/>
      <c r="BQ256" s="172"/>
      <c r="BR256" s="172"/>
      <c r="BS256" s="172"/>
      <c r="BT256" s="172"/>
      <c r="BU256" s="172"/>
      <c r="BV256" s="172"/>
      <c r="BW256" s="172"/>
      <c r="BX256" s="172"/>
      <c r="BY256" s="174"/>
      <c r="BZ256" s="172"/>
      <c r="CA256" s="172"/>
      <c r="CD256" s="194"/>
      <c r="CE256" s="194"/>
      <c r="CF256" s="194"/>
      <c r="CG256" s="194"/>
      <c r="CH256" s="195"/>
      <c r="CI256" s="194"/>
      <c r="CJ256" s="194"/>
      <c r="CK256" s="194"/>
      <c r="CL256" s="196"/>
      <c r="CM256" s="196"/>
      <c r="CN256" s="194"/>
      <c r="CO256" s="197"/>
      <c r="CP256" s="196"/>
      <c r="CQ256" s="196"/>
      <c r="CR256" s="196"/>
      <c r="CS256" s="196"/>
      <c r="CT256" s="196"/>
      <c r="CU256" s="196"/>
      <c r="CV256" s="194"/>
      <c r="CW256" s="194"/>
      <c r="CX256" s="194"/>
      <c r="CY256" s="194"/>
      <c r="CZ256" s="194"/>
      <c r="DA256" s="194"/>
      <c r="DB256" s="194"/>
      <c r="DC256" s="194"/>
      <c r="DD256" s="194"/>
      <c r="DE256" s="194"/>
      <c r="DF256" s="196"/>
      <c r="DG256" s="198"/>
      <c r="DH256" s="194"/>
      <c r="DI256" s="194"/>
    </row>
    <row r="257" spans="1:113" s="24" customFormat="1" hidden="1" x14ac:dyDescent="0.3">
      <c r="A257" s="172"/>
      <c r="B257" s="172"/>
      <c r="C257" s="172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  <c r="AG257" s="173"/>
      <c r="AH257" s="173"/>
      <c r="AI257" s="173"/>
      <c r="AJ257" s="173"/>
      <c r="AK257" s="173"/>
      <c r="AL257" s="173"/>
      <c r="AM257" s="173"/>
      <c r="AN257" s="173"/>
      <c r="AO257" s="173"/>
      <c r="AP257" s="173"/>
      <c r="AQ257" s="173"/>
      <c r="AR257" s="173"/>
      <c r="AS257" s="172"/>
      <c r="AT257" s="172"/>
      <c r="AU257" s="172"/>
      <c r="AV257" s="172"/>
      <c r="AW257" s="172"/>
      <c r="AX257" s="172"/>
      <c r="AY257" s="172"/>
      <c r="AZ257" s="172"/>
      <c r="BA257" s="172"/>
      <c r="BB257" s="172"/>
      <c r="BC257" s="172"/>
      <c r="BD257" s="172"/>
      <c r="BE257" s="172"/>
      <c r="BF257" s="172"/>
      <c r="BG257" s="172"/>
      <c r="BH257" s="172"/>
      <c r="BI257" s="172"/>
      <c r="BJ257" s="172"/>
      <c r="BK257" s="172"/>
      <c r="BL257" s="172"/>
      <c r="BM257" s="172"/>
      <c r="BN257" s="172"/>
      <c r="BO257" s="172"/>
      <c r="BP257" s="172"/>
      <c r="BQ257" s="172"/>
      <c r="BR257" s="172"/>
      <c r="BS257" s="172"/>
      <c r="BT257" s="172"/>
      <c r="BU257" s="172"/>
      <c r="BV257" s="172"/>
      <c r="BW257" s="172"/>
      <c r="BX257" s="172"/>
      <c r="BY257" s="174"/>
      <c r="BZ257" s="172"/>
      <c r="CA257" s="172"/>
      <c r="CD257" s="194"/>
      <c r="CE257" s="194"/>
      <c r="CF257" s="194"/>
      <c r="CG257" s="194"/>
      <c r="CH257" s="195"/>
      <c r="CI257" s="194"/>
      <c r="CJ257" s="194"/>
      <c r="CK257" s="194"/>
      <c r="CL257" s="196"/>
      <c r="CM257" s="196"/>
      <c r="CN257" s="194"/>
      <c r="CO257" s="197"/>
      <c r="CP257" s="196"/>
      <c r="CQ257" s="196"/>
      <c r="CR257" s="196"/>
      <c r="CS257" s="196"/>
      <c r="CT257" s="196"/>
      <c r="CU257" s="196"/>
      <c r="CV257" s="194"/>
      <c r="CW257" s="194"/>
      <c r="CX257" s="194"/>
      <c r="CY257" s="194"/>
      <c r="CZ257" s="194"/>
      <c r="DA257" s="194"/>
      <c r="DB257" s="194"/>
      <c r="DC257" s="194"/>
      <c r="DD257" s="194"/>
      <c r="DE257" s="194"/>
      <c r="DF257" s="196"/>
      <c r="DG257" s="198"/>
      <c r="DH257" s="194"/>
      <c r="DI257" s="194"/>
    </row>
    <row r="258" spans="1:113" s="24" customFormat="1" hidden="1" x14ac:dyDescent="0.3">
      <c r="A258" s="172"/>
      <c r="B258" s="172"/>
      <c r="C258" s="172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2"/>
      <c r="AT258" s="172"/>
      <c r="AU258" s="172"/>
      <c r="AV258" s="172"/>
      <c r="AW258" s="172"/>
      <c r="AX258" s="172"/>
      <c r="AY258" s="172"/>
      <c r="AZ258" s="172"/>
      <c r="BA258" s="172"/>
      <c r="BB258" s="172"/>
      <c r="BC258" s="172"/>
      <c r="BD258" s="172"/>
      <c r="BE258" s="172"/>
      <c r="BF258" s="172"/>
      <c r="BG258" s="172"/>
      <c r="BH258" s="172"/>
      <c r="BI258" s="172"/>
      <c r="BJ258" s="172"/>
      <c r="BK258" s="172"/>
      <c r="BL258" s="172"/>
      <c r="BM258" s="172"/>
      <c r="BN258" s="172"/>
      <c r="BO258" s="172"/>
      <c r="BP258" s="172"/>
      <c r="BQ258" s="172"/>
      <c r="BR258" s="172"/>
      <c r="BS258" s="172"/>
      <c r="BT258" s="172"/>
      <c r="BU258" s="172"/>
      <c r="BV258" s="172"/>
      <c r="BW258" s="172"/>
      <c r="BX258" s="172"/>
      <c r="BY258" s="174"/>
      <c r="BZ258" s="172"/>
      <c r="CA258" s="172"/>
      <c r="CD258" s="194"/>
      <c r="CE258" s="194"/>
      <c r="CF258" s="194"/>
      <c r="CG258" s="194"/>
      <c r="CH258" s="195"/>
      <c r="CI258" s="194"/>
      <c r="CJ258" s="194"/>
      <c r="CK258" s="194"/>
      <c r="CL258" s="196"/>
      <c r="CM258" s="196"/>
      <c r="CN258" s="194"/>
      <c r="CO258" s="197"/>
      <c r="CP258" s="196"/>
      <c r="CQ258" s="196"/>
      <c r="CR258" s="196"/>
      <c r="CS258" s="196"/>
      <c r="CT258" s="196"/>
      <c r="CU258" s="196"/>
      <c r="CV258" s="194"/>
      <c r="CW258" s="194"/>
      <c r="CX258" s="194"/>
      <c r="CY258" s="194"/>
      <c r="CZ258" s="194"/>
      <c r="DA258" s="194"/>
      <c r="DB258" s="194"/>
      <c r="DC258" s="194"/>
      <c r="DD258" s="194"/>
      <c r="DE258" s="194"/>
      <c r="DF258" s="196"/>
      <c r="DG258" s="198"/>
      <c r="DH258" s="194"/>
      <c r="DI258" s="194"/>
    </row>
    <row r="259" spans="1:113" s="24" customFormat="1" hidden="1" x14ac:dyDescent="0.3">
      <c r="A259" s="172"/>
      <c r="B259" s="172"/>
      <c r="C259" s="172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2"/>
      <c r="AT259" s="172"/>
      <c r="AU259" s="172"/>
      <c r="AV259" s="172"/>
      <c r="AW259" s="172"/>
      <c r="AX259" s="172"/>
      <c r="AY259" s="172"/>
      <c r="AZ259" s="172"/>
      <c r="BA259" s="172"/>
      <c r="BB259" s="172"/>
      <c r="BC259" s="172"/>
      <c r="BD259" s="172"/>
      <c r="BE259" s="172"/>
      <c r="BF259" s="172"/>
      <c r="BG259" s="172"/>
      <c r="BH259" s="172"/>
      <c r="BI259" s="172"/>
      <c r="BJ259" s="172"/>
      <c r="BK259" s="172"/>
      <c r="BL259" s="172"/>
      <c r="BM259" s="172"/>
      <c r="BN259" s="172"/>
      <c r="BO259" s="172"/>
      <c r="BP259" s="172"/>
      <c r="BQ259" s="172"/>
      <c r="BR259" s="172"/>
      <c r="BS259" s="172"/>
      <c r="BT259" s="172"/>
      <c r="BU259" s="172"/>
      <c r="BV259" s="172"/>
      <c r="BW259" s="172"/>
      <c r="BX259" s="172"/>
      <c r="BY259" s="174"/>
      <c r="BZ259" s="172"/>
      <c r="CA259" s="172"/>
      <c r="CD259" s="194"/>
      <c r="CE259" s="194"/>
      <c r="CF259" s="194"/>
      <c r="CG259" s="194"/>
      <c r="CH259" s="195"/>
      <c r="CI259" s="194"/>
      <c r="CJ259" s="194"/>
      <c r="CK259" s="194"/>
      <c r="CL259" s="196"/>
      <c r="CM259" s="196"/>
      <c r="CN259" s="194"/>
      <c r="CO259" s="197"/>
      <c r="CP259" s="196"/>
      <c r="CQ259" s="196"/>
      <c r="CR259" s="196"/>
      <c r="CS259" s="196"/>
      <c r="CT259" s="196"/>
      <c r="CU259" s="196"/>
      <c r="CV259" s="194"/>
      <c r="CW259" s="194"/>
      <c r="CX259" s="194"/>
      <c r="CY259" s="194"/>
      <c r="CZ259" s="194"/>
      <c r="DA259" s="194"/>
      <c r="DB259" s="194"/>
      <c r="DC259" s="194"/>
      <c r="DD259" s="194"/>
      <c r="DE259" s="194"/>
      <c r="DF259" s="196"/>
      <c r="DG259" s="198"/>
      <c r="DH259" s="194"/>
      <c r="DI259" s="194"/>
    </row>
    <row r="260" spans="1:113" s="24" customFormat="1" hidden="1" x14ac:dyDescent="0.3">
      <c r="A260" s="172"/>
      <c r="B260" s="172"/>
      <c r="C260" s="172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  <c r="AG260" s="173"/>
      <c r="AH260" s="173"/>
      <c r="AI260" s="173"/>
      <c r="AJ260" s="173"/>
      <c r="AK260" s="173"/>
      <c r="AL260" s="173"/>
      <c r="AM260" s="173"/>
      <c r="AN260" s="173"/>
      <c r="AO260" s="173"/>
      <c r="AP260" s="173"/>
      <c r="AQ260" s="173"/>
      <c r="AR260" s="173"/>
      <c r="AS260" s="172"/>
      <c r="AT260" s="172"/>
      <c r="AU260" s="172"/>
      <c r="AV260" s="172"/>
      <c r="AW260" s="172"/>
      <c r="AX260" s="172"/>
      <c r="AY260" s="172"/>
      <c r="AZ260" s="172"/>
      <c r="BA260" s="172"/>
      <c r="BB260" s="172"/>
      <c r="BC260" s="172"/>
      <c r="BD260" s="172"/>
      <c r="BE260" s="172"/>
      <c r="BF260" s="172"/>
      <c r="BG260" s="172"/>
      <c r="BH260" s="172"/>
      <c r="BI260" s="172"/>
      <c r="BJ260" s="172"/>
      <c r="BK260" s="172"/>
      <c r="BL260" s="172"/>
      <c r="BM260" s="172"/>
      <c r="BN260" s="172"/>
      <c r="BO260" s="172"/>
      <c r="BP260" s="172"/>
      <c r="BQ260" s="172"/>
      <c r="BR260" s="172"/>
      <c r="BS260" s="172"/>
      <c r="BT260" s="172"/>
      <c r="BU260" s="172"/>
      <c r="BV260" s="172"/>
      <c r="BW260" s="172"/>
      <c r="BX260" s="172"/>
      <c r="BY260" s="174"/>
      <c r="BZ260" s="172"/>
      <c r="CA260" s="172"/>
      <c r="CD260" s="194"/>
      <c r="CE260" s="194"/>
      <c r="CF260" s="194"/>
      <c r="CG260" s="194"/>
      <c r="CH260" s="195"/>
      <c r="CI260" s="194"/>
      <c r="CJ260" s="194"/>
      <c r="CK260" s="194"/>
      <c r="CL260" s="196"/>
      <c r="CM260" s="196"/>
      <c r="CN260" s="194"/>
      <c r="CO260" s="197"/>
      <c r="CP260" s="196"/>
      <c r="CQ260" s="196"/>
      <c r="CR260" s="196"/>
      <c r="CS260" s="196"/>
      <c r="CT260" s="196"/>
      <c r="CU260" s="196"/>
      <c r="CV260" s="194"/>
      <c r="CW260" s="194"/>
      <c r="CX260" s="194"/>
      <c r="CY260" s="194"/>
      <c r="CZ260" s="194"/>
      <c r="DA260" s="194"/>
      <c r="DB260" s="194"/>
      <c r="DC260" s="194"/>
      <c r="DD260" s="194"/>
      <c r="DE260" s="194"/>
      <c r="DF260" s="196"/>
      <c r="DG260" s="198"/>
      <c r="DH260" s="194"/>
      <c r="DI260" s="194"/>
    </row>
    <row r="261" spans="1:113" s="24" customFormat="1" hidden="1" x14ac:dyDescent="0.3">
      <c r="A261" s="172"/>
      <c r="B261" s="172"/>
      <c r="C261" s="172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  <c r="AG261" s="173"/>
      <c r="AH261" s="173"/>
      <c r="AI261" s="173"/>
      <c r="AJ261" s="173"/>
      <c r="AK261" s="173"/>
      <c r="AL261" s="173"/>
      <c r="AM261" s="173"/>
      <c r="AN261" s="173"/>
      <c r="AO261" s="173"/>
      <c r="AP261" s="173"/>
      <c r="AQ261" s="173"/>
      <c r="AR261" s="173"/>
      <c r="AS261" s="172"/>
      <c r="AT261" s="172"/>
      <c r="AU261" s="172"/>
      <c r="AV261" s="172"/>
      <c r="AW261" s="172"/>
      <c r="AX261" s="172"/>
      <c r="AY261" s="172"/>
      <c r="AZ261" s="172"/>
      <c r="BA261" s="172"/>
      <c r="BB261" s="172"/>
      <c r="BC261" s="172"/>
      <c r="BD261" s="172"/>
      <c r="BE261" s="172"/>
      <c r="BF261" s="172"/>
      <c r="BG261" s="172"/>
      <c r="BH261" s="172"/>
      <c r="BI261" s="172"/>
      <c r="BJ261" s="172"/>
      <c r="BK261" s="172"/>
      <c r="BL261" s="172"/>
      <c r="BM261" s="172"/>
      <c r="BN261" s="172"/>
      <c r="BO261" s="172"/>
      <c r="BP261" s="172"/>
      <c r="BQ261" s="172"/>
      <c r="BR261" s="172"/>
      <c r="BS261" s="172"/>
      <c r="BT261" s="172"/>
      <c r="BU261" s="172"/>
      <c r="BV261" s="172"/>
      <c r="BW261" s="172"/>
      <c r="BX261" s="172"/>
      <c r="BY261" s="174"/>
      <c r="BZ261" s="172"/>
      <c r="CA261" s="172"/>
      <c r="CD261" s="194"/>
      <c r="CE261" s="194"/>
      <c r="CF261" s="194"/>
      <c r="CG261" s="194"/>
      <c r="CH261" s="195"/>
      <c r="CI261" s="194"/>
      <c r="CJ261" s="194"/>
      <c r="CK261" s="194"/>
      <c r="CL261" s="196"/>
      <c r="CM261" s="196"/>
      <c r="CN261" s="194"/>
      <c r="CO261" s="197"/>
      <c r="CP261" s="196"/>
      <c r="CQ261" s="196"/>
      <c r="CR261" s="196"/>
      <c r="CS261" s="196"/>
      <c r="CT261" s="196"/>
      <c r="CU261" s="196"/>
      <c r="CV261" s="194"/>
      <c r="CW261" s="194"/>
      <c r="CX261" s="194"/>
      <c r="CY261" s="194"/>
      <c r="CZ261" s="194"/>
      <c r="DA261" s="194"/>
      <c r="DB261" s="194"/>
      <c r="DC261" s="194"/>
      <c r="DD261" s="194"/>
      <c r="DE261" s="194"/>
      <c r="DF261" s="196"/>
      <c r="DG261" s="198"/>
      <c r="DH261" s="194"/>
      <c r="DI261" s="194"/>
    </row>
    <row r="262" spans="1:113" s="24" customFormat="1" hidden="1" x14ac:dyDescent="0.3">
      <c r="A262" s="172"/>
      <c r="B262" s="172"/>
      <c r="C262" s="172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  <c r="AG262" s="173"/>
      <c r="AH262" s="173"/>
      <c r="AI262" s="173"/>
      <c r="AJ262" s="173"/>
      <c r="AK262" s="173"/>
      <c r="AL262" s="173"/>
      <c r="AM262" s="173"/>
      <c r="AN262" s="173"/>
      <c r="AO262" s="173"/>
      <c r="AP262" s="173"/>
      <c r="AQ262" s="173"/>
      <c r="AR262" s="173"/>
      <c r="AS262" s="172"/>
      <c r="AT262" s="172"/>
      <c r="AU262" s="172"/>
      <c r="AV262" s="172"/>
      <c r="AW262" s="172"/>
      <c r="AX262" s="172"/>
      <c r="AY262" s="172"/>
      <c r="AZ262" s="172"/>
      <c r="BA262" s="172"/>
      <c r="BB262" s="172"/>
      <c r="BC262" s="172"/>
      <c r="BD262" s="172"/>
      <c r="BE262" s="172"/>
      <c r="BF262" s="172"/>
      <c r="BG262" s="172"/>
      <c r="BH262" s="172"/>
      <c r="BI262" s="172"/>
      <c r="BJ262" s="172"/>
      <c r="BK262" s="172"/>
      <c r="BL262" s="172"/>
      <c r="BM262" s="172"/>
      <c r="BN262" s="172"/>
      <c r="BO262" s="172"/>
      <c r="BP262" s="172"/>
      <c r="BQ262" s="172"/>
      <c r="BR262" s="172"/>
      <c r="BS262" s="172"/>
      <c r="BT262" s="172"/>
      <c r="BU262" s="172"/>
      <c r="BV262" s="172"/>
      <c r="BW262" s="172"/>
      <c r="BX262" s="172"/>
      <c r="BY262" s="174"/>
      <c r="BZ262" s="172"/>
      <c r="CA262" s="172"/>
      <c r="CD262" s="194"/>
      <c r="CE262" s="194"/>
      <c r="CF262" s="194"/>
      <c r="CG262" s="194"/>
      <c r="CH262" s="195"/>
      <c r="CI262" s="194"/>
      <c r="CJ262" s="194"/>
      <c r="CK262" s="194"/>
      <c r="CL262" s="196"/>
      <c r="CM262" s="196"/>
      <c r="CN262" s="194"/>
      <c r="CO262" s="197"/>
      <c r="CP262" s="196"/>
      <c r="CQ262" s="196"/>
      <c r="CR262" s="196"/>
      <c r="CS262" s="196"/>
      <c r="CT262" s="196"/>
      <c r="CU262" s="196"/>
      <c r="CV262" s="194"/>
      <c r="CW262" s="194"/>
      <c r="CX262" s="194"/>
      <c r="CY262" s="194"/>
      <c r="CZ262" s="194"/>
      <c r="DA262" s="194"/>
      <c r="DB262" s="194"/>
      <c r="DC262" s="194"/>
      <c r="DD262" s="194"/>
      <c r="DE262" s="194"/>
      <c r="DF262" s="196"/>
      <c r="DG262" s="198"/>
      <c r="DH262" s="194"/>
      <c r="DI262" s="194"/>
    </row>
    <row r="263" spans="1:113" s="24" customFormat="1" hidden="1" x14ac:dyDescent="0.3">
      <c r="A263" s="172"/>
      <c r="B263" s="172"/>
      <c r="C263" s="172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  <c r="AG263" s="173"/>
      <c r="AH263" s="173"/>
      <c r="AI263" s="173"/>
      <c r="AJ263" s="173"/>
      <c r="AK263" s="173"/>
      <c r="AL263" s="173"/>
      <c r="AM263" s="173"/>
      <c r="AN263" s="173"/>
      <c r="AO263" s="173"/>
      <c r="AP263" s="173"/>
      <c r="AQ263" s="173"/>
      <c r="AR263" s="173"/>
      <c r="AS263" s="172"/>
      <c r="AT263" s="172"/>
      <c r="AU263" s="172"/>
      <c r="AV263" s="172"/>
      <c r="AW263" s="172"/>
      <c r="AX263" s="172"/>
      <c r="AY263" s="172"/>
      <c r="AZ263" s="172"/>
      <c r="BA263" s="172"/>
      <c r="BB263" s="172"/>
      <c r="BC263" s="172"/>
      <c r="BD263" s="172"/>
      <c r="BE263" s="172"/>
      <c r="BF263" s="172"/>
      <c r="BG263" s="172"/>
      <c r="BH263" s="172"/>
      <c r="BI263" s="172"/>
      <c r="BJ263" s="172"/>
      <c r="BK263" s="172"/>
      <c r="BL263" s="172"/>
      <c r="BM263" s="172"/>
      <c r="BN263" s="172"/>
      <c r="BO263" s="172"/>
      <c r="BP263" s="172"/>
      <c r="BQ263" s="172"/>
      <c r="BR263" s="172"/>
      <c r="BS263" s="172"/>
      <c r="BT263" s="172"/>
      <c r="BU263" s="172"/>
      <c r="BV263" s="172"/>
      <c r="BW263" s="172"/>
      <c r="BX263" s="172"/>
      <c r="BY263" s="174"/>
      <c r="BZ263" s="172"/>
      <c r="CA263" s="172"/>
      <c r="CD263" s="194"/>
      <c r="CE263" s="194"/>
      <c r="CF263" s="194"/>
      <c r="CG263" s="194"/>
      <c r="CH263" s="195"/>
      <c r="CI263" s="194"/>
      <c r="CJ263" s="194"/>
      <c r="CK263" s="194"/>
      <c r="CL263" s="196"/>
      <c r="CM263" s="196"/>
      <c r="CN263" s="194"/>
      <c r="CO263" s="197"/>
      <c r="CP263" s="196"/>
      <c r="CQ263" s="196"/>
      <c r="CR263" s="196"/>
      <c r="CS263" s="196"/>
      <c r="CT263" s="196"/>
      <c r="CU263" s="196"/>
      <c r="CV263" s="194"/>
      <c r="CW263" s="194"/>
      <c r="CX263" s="194"/>
      <c r="CY263" s="194"/>
      <c r="CZ263" s="194"/>
      <c r="DA263" s="194"/>
      <c r="DB263" s="194"/>
      <c r="DC263" s="194"/>
      <c r="DD263" s="194"/>
      <c r="DE263" s="194"/>
      <c r="DF263" s="196"/>
      <c r="DG263" s="198"/>
      <c r="DH263" s="194"/>
      <c r="DI263" s="194"/>
    </row>
    <row r="264" spans="1:113" s="24" customFormat="1" hidden="1" x14ac:dyDescent="0.3">
      <c r="A264" s="172"/>
      <c r="B264" s="172"/>
      <c r="C264" s="172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  <c r="AG264" s="173"/>
      <c r="AH264" s="173"/>
      <c r="AI264" s="173"/>
      <c r="AJ264" s="173"/>
      <c r="AK264" s="173"/>
      <c r="AL264" s="173"/>
      <c r="AM264" s="173"/>
      <c r="AN264" s="173"/>
      <c r="AO264" s="173"/>
      <c r="AP264" s="173"/>
      <c r="AQ264" s="173"/>
      <c r="AR264" s="173"/>
      <c r="AS264" s="172"/>
      <c r="AT264" s="172"/>
      <c r="AU264" s="172"/>
      <c r="AV264" s="172"/>
      <c r="AW264" s="172"/>
      <c r="AX264" s="172"/>
      <c r="AY264" s="172"/>
      <c r="AZ264" s="172"/>
      <c r="BA264" s="172"/>
      <c r="BB264" s="172"/>
      <c r="BC264" s="172"/>
      <c r="BD264" s="172"/>
      <c r="BE264" s="172"/>
      <c r="BF264" s="172"/>
      <c r="BG264" s="172"/>
      <c r="BH264" s="172"/>
      <c r="BI264" s="172"/>
      <c r="BJ264" s="172"/>
      <c r="BK264" s="172"/>
      <c r="BL264" s="172"/>
      <c r="BM264" s="172"/>
      <c r="BN264" s="172"/>
      <c r="BO264" s="172"/>
      <c r="BP264" s="172"/>
      <c r="BQ264" s="172"/>
      <c r="BR264" s="172"/>
      <c r="BS264" s="172"/>
      <c r="BT264" s="172"/>
      <c r="BU264" s="172"/>
      <c r="BV264" s="172"/>
      <c r="BW264" s="172"/>
      <c r="BX264" s="172"/>
      <c r="BY264" s="174"/>
      <c r="BZ264" s="172"/>
      <c r="CA264" s="172"/>
      <c r="CD264" s="194"/>
      <c r="CE264" s="194"/>
      <c r="CF264" s="194"/>
      <c r="CG264" s="194"/>
      <c r="CH264" s="195"/>
      <c r="CI264" s="194"/>
      <c r="CJ264" s="194"/>
      <c r="CK264" s="194"/>
      <c r="CL264" s="196"/>
      <c r="CM264" s="196"/>
      <c r="CN264" s="194"/>
      <c r="CO264" s="197"/>
      <c r="CP264" s="196"/>
      <c r="CQ264" s="196"/>
      <c r="CR264" s="196"/>
      <c r="CS264" s="196"/>
      <c r="CT264" s="196"/>
      <c r="CU264" s="196"/>
      <c r="CV264" s="194"/>
      <c r="CW264" s="194"/>
      <c r="CX264" s="194"/>
      <c r="CY264" s="194"/>
      <c r="CZ264" s="194"/>
      <c r="DA264" s="194"/>
      <c r="DB264" s="194"/>
      <c r="DC264" s="194"/>
      <c r="DD264" s="194"/>
      <c r="DE264" s="194"/>
      <c r="DF264" s="196"/>
      <c r="DG264" s="198"/>
      <c r="DH264" s="194"/>
      <c r="DI264" s="194"/>
    </row>
    <row r="265" spans="1:113" s="24" customFormat="1" hidden="1" x14ac:dyDescent="0.3">
      <c r="A265" s="172"/>
      <c r="B265" s="172"/>
      <c r="C265" s="172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  <c r="AG265" s="173"/>
      <c r="AH265" s="173"/>
      <c r="AI265" s="173"/>
      <c r="AJ265" s="173"/>
      <c r="AK265" s="173"/>
      <c r="AL265" s="173"/>
      <c r="AM265" s="173"/>
      <c r="AN265" s="173"/>
      <c r="AO265" s="173"/>
      <c r="AP265" s="173"/>
      <c r="AQ265" s="173"/>
      <c r="AR265" s="173"/>
      <c r="AS265" s="172"/>
      <c r="AT265" s="172"/>
      <c r="AU265" s="172"/>
      <c r="AV265" s="172"/>
      <c r="AW265" s="172"/>
      <c r="AX265" s="172"/>
      <c r="AY265" s="172"/>
      <c r="AZ265" s="172"/>
      <c r="BA265" s="172"/>
      <c r="BB265" s="172"/>
      <c r="BC265" s="172"/>
      <c r="BD265" s="172"/>
      <c r="BE265" s="172"/>
      <c r="BF265" s="172"/>
      <c r="BG265" s="172"/>
      <c r="BH265" s="172"/>
      <c r="BI265" s="172"/>
      <c r="BJ265" s="172"/>
      <c r="BK265" s="172"/>
      <c r="BL265" s="172"/>
      <c r="BM265" s="172"/>
      <c r="BN265" s="172"/>
      <c r="BO265" s="172"/>
      <c r="BP265" s="172"/>
      <c r="BQ265" s="172"/>
      <c r="BR265" s="172"/>
      <c r="BS265" s="172"/>
      <c r="BT265" s="172"/>
      <c r="BU265" s="172"/>
      <c r="BV265" s="172"/>
      <c r="BW265" s="172"/>
      <c r="BX265" s="172"/>
      <c r="BY265" s="174"/>
      <c r="BZ265" s="172"/>
      <c r="CA265" s="172"/>
      <c r="CD265" s="194"/>
      <c r="CE265" s="194"/>
      <c r="CF265" s="194"/>
      <c r="CG265" s="194"/>
      <c r="CH265" s="195"/>
      <c r="CI265" s="194"/>
      <c r="CJ265" s="194"/>
      <c r="CK265" s="194"/>
      <c r="CL265" s="196"/>
      <c r="CM265" s="196"/>
      <c r="CN265" s="194"/>
      <c r="CO265" s="197"/>
      <c r="CP265" s="196"/>
      <c r="CQ265" s="196"/>
      <c r="CR265" s="196"/>
      <c r="CS265" s="196"/>
      <c r="CT265" s="196"/>
      <c r="CU265" s="196"/>
      <c r="CV265" s="194"/>
      <c r="CW265" s="194"/>
      <c r="CX265" s="194"/>
      <c r="CY265" s="194"/>
      <c r="CZ265" s="194"/>
      <c r="DA265" s="194"/>
      <c r="DB265" s="194"/>
      <c r="DC265" s="194"/>
      <c r="DD265" s="194"/>
      <c r="DE265" s="194"/>
      <c r="DF265" s="196"/>
      <c r="DG265" s="198"/>
      <c r="DH265" s="194"/>
      <c r="DI265" s="194"/>
    </row>
    <row r="266" spans="1:113" s="24" customFormat="1" hidden="1" x14ac:dyDescent="0.3">
      <c r="A266" s="172"/>
      <c r="B266" s="172"/>
      <c r="C266" s="172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  <c r="AG266" s="173"/>
      <c r="AH266" s="173"/>
      <c r="AI266" s="173"/>
      <c r="AJ266" s="173"/>
      <c r="AK266" s="173"/>
      <c r="AL266" s="173"/>
      <c r="AM266" s="173"/>
      <c r="AN266" s="173"/>
      <c r="AO266" s="173"/>
      <c r="AP266" s="173"/>
      <c r="AQ266" s="173"/>
      <c r="AR266" s="173"/>
      <c r="AS266" s="172"/>
      <c r="AT266" s="172"/>
      <c r="AU266" s="172"/>
      <c r="AV266" s="172"/>
      <c r="AW266" s="172"/>
      <c r="AX266" s="172"/>
      <c r="AY266" s="172"/>
      <c r="AZ266" s="172"/>
      <c r="BA266" s="172"/>
      <c r="BB266" s="172"/>
      <c r="BC266" s="172"/>
      <c r="BD266" s="172"/>
      <c r="BE266" s="172"/>
      <c r="BF266" s="172"/>
      <c r="BG266" s="172"/>
      <c r="BH266" s="172"/>
      <c r="BI266" s="172"/>
      <c r="BJ266" s="172"/>
      <c r="BK266" s="172"/>
      <c r="BL266" s="172"/>
      <c r="BM266" s="172"/>
      <c r="BN266" s="172"/>
      <c r="BO266" s="172"/>
      <c r="BP266" s="172"/>
      <c r="BQ266" s="172"/>
      <c r="BR266" s="172"/>
      <c r="BS266" s="172"/>
      <c r="BT266" s="172"/>
      <c r="BU266" s="172"/>
      <c r="BV266" s="172"/>
      <c r="BW266" s="172"/>
      <c r="BX266" s="172"/>
      <c r="BY266" s="174"/>
      <c r="BZ266" s="172"/>
      <c r="CA266" s="172"/>
      <c r="CD266" s="194"/>
      <c r="CE266" s="194"/>
      <c r="CF266" s="194"/>
      <c r="CG266" s="194"/>
      <c r="CH266" s="195"/>
      <c r="CI266" s="194"/>
      <c r="CJ266" s="194"/>
      <c r="CK266" s="194"/>
      <c r="CL266" s="196"/>
      <c r="CM266" s="196"/>
      <c r="CN266" s="194"/>
      <c r="CO266" s="197"/>
      <c r="CP266" s="196"/>
      <c r="CQ266" s="196"/>
      <c r="CR266" s="196"/>
      <c r="CS266" s="196"/>
      <c r="CT266" s="196"/>
      <c r="CU266" s="196"/>
      <c r="CV266" s="194"/>
      <c r="CW266" s="194"/>
      <c r="CX266" s="194"/>
      <c r="CY266" s="194"/>
      <c r="CZ266" s="194"/>
      <c r="DA266" s="194"/>
      <c r="DB266" s="194"/>
      <c r="DC266" s="194"/>
      <c r="DD266" s="194"/>
      <c r="DE266" s="194"/>
      <c r="DF266" s="196"/>
      <c r="DG266" s="198"/>
      <c r="DH266" s="194"/>
      <c r="DI266" s="194"/>
    </row>
    <row r="267" spans="1:113" s="24" customFormat="1" hidden="1" x14ac:dyDescent="0.3">
      <c r="A267" s="172"/>
      <c r="B267" s="172"/>
      <c r="C267" s="172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  <c r="AG267" s="173"/>
      <c r="AH267" s="173"/>
      <c r="AI267" s="173"/>
      <c r="AJ267" s="173"/>
      <c r="AK267" s="173"/>
      <c r="AL267" s="173"/>
      <c r="AM267" s="173"/>
      <c r="AN267" s="173"/>
      <c r="AO267" s="173"/>
      <c r="AP267" s="173"/>
      <c r="AQ267" s="173"/>
      <c r="AR267" s="173"/>
      <c r="AS267" s="172"/>
      <c r="AT267" s="172"/>
      <c r="AU267" s="172"/>
      <c r="AV267" s="172"/>
      <c r="AW267" s="172"/>
      <c r="AX267" s="172"/>
      <c r="AY267" s="172"/>
      <c r="AZ267" s="172"/>
      <c r="BA267" s="172"/>
      <c r="BB267" s="172"/>
      <c r="BC267" s="172"/>
      <c r="BD267" s="172"/>
      <c r="BE267" s="172"/>
      <c r="BF267" s="172"/>
      <c r="BG267" s="172"/>
      <c r="BH267" s="172"/>
      <c r="BI267" s="172"/>
      <c r="BJ267" s="172"/>
      <c r="BK267" s="172"/>
      <c r="BL267" s="172"/>
      <c r="BM267" s="172"/>
      <c r="BN267" s="172"/>
      <c r="BO267" s="172"/>
      <c r="BP267" s="172"/>
      <c r="BQ267" s="172"/>
      <c r="BR267" s="172"/>
      <c r="BS267" s="172"/>
      <c r="BT267" s="172"/>
      <c r="BU267" s="172"/>
      <c r="BV267" s="172"/>
      <c r="BW267" s="172"/>
      <c r="BX267" s="172"/>
      <c r="BY267" s="174"/>
      <c r="BZ267" s="172"/>
      <c r="CA267" s="172"/>
      <c r="CD267" s="194"/>
      <c r="CE267" s="194"/>
      <c r="CF267" s="194"/>
      <c r="CG267" s="194"/>
      <c r="CH267" s="195"/>
      <c r="CI267" s="194"/>
      <c r="CJ267" s="194"/>
      <c r="CK267" s="194"/>
      <c r="CL267" s="196"/>
      <c r="CM267" s="196"/>
      <c r="CN267" s="194"/>
      <c r="CO267" s="197"/>
      <c r="CP267" s="196"/>
      <c r="CQ267" s="196"/>
      <c r="CR267" s="196"/>
      <c r="CS267" s="196"/>
      <c r="CT267" s="196"/>
      <c r="CU267" s="196"/>
      <c r="CV267" s="194"/>
      <c r="CW267" s="194"/>
      <c r="CX267" s="194"/>
      <c r="CY267" s="194"/>
      <c r="CZ267" s="194"/>
      <c r="DA267" s="194"/>
      <c r="DB267" s="194"/>
      <c r="DC267" s="194"/>
      <c r="DD267" s="194"/>
      <c r="DE267" s="194"/>
      <c r="DF267" s="196"/>
      <c r="DG267" s="198"/>
      <c r="DH267" s="194"/>
      <c r="DI267" s="194"/>
    </row>
    <row r="268" spans="1:113" s="24" customFormat="1" hidden="1" x14ac:dyDescent="0.3">
      <c r="A268" s="172"/>
      <c r="B268" s="172"/>
      <c r="C268" s="172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  <c r="AG268" s="173"/>
      <c r="AH268" s="173"/>
      <c r="AI268" s="173"/>
      <c r="AJ268" s="173"/>
      <c r="AK268" s="173"/>
      <c r="AL268" s="173"/>
      <c r="AM268" s="173"/>
      <c r="AN268" s="173"/>
      <c r="AO268" s="173"/>
      <c r="AP268" s="173"/>
      <c r="AQ268" s="173"/>
      <c r="AR268" s="173"/>
      <c r="AS268" s="172"/>
      <c r="AT268" s="172"/>
      <c r="AU268" s="172"/>
      <c r="AV268" s="172"/>
      <c r="AW268" s="172"/>
      <c r="AX268" s="172"/>
      <c r="AY268" s="172"/>
      <c r="AZ268" s="172"/>
      <c r="BA268" s="172"/>
      <c r="BB268" s="172"/>
      <c r="BC268" s="172"/>
      <c r="BD268" s="172"/>
      <c r="BE268" s="172"/>
      <c r="BF268" s="172"/>
      <c r="BG268" s="172"/>
      <c r="BH268" s="172"/>
      <c r="BI268" s="172"/>
      <c r="BJ268" s="172"/>
      <c r="BK268" s="172"/>
      <c r="BL268" s="172"/>
      <c r="BM268" s="172"/>
      <c r="BN268" s="172"/>
      <c r="BO268" s="172"/>
      <c r="BP268" s="172"/>
      <c r="BQ268" s="172"/>
      <c r="BR268" s="172"/>
      <c r="BS268" s="172"/>
      <c r="BT268" s="172"/>
      <c r="BU268" s="172"/>
      <c r="BV268" s="172"/>
      <c r="BW268" s="172"/>
      <c r="BX268" s="172"/>
      <c r="BY268" s="174"/>
      <c r="BZ268" s="172"/>
      <c r="CA268" s="172"/>
      <c r="CD268" s="194"/>
      <c r="CE268" s="194"/>
      <c r="CF268" s="194"/>
      <c r="CG268" s="194"/>
      <c r="CH268" s="195"/>
      <c r="CI268" s="194"/>
      <c r="CJ268" s="194"/>
      <c r="CK268" s="194"/>
      <c r="CL268" s="196"/>
      <c r="CM268" s="196"/>
      <c r="CN268" s="194"/>
      <c r="CO268" s="197"/>
      <c r="CP268" s="196"/>
      <c r="CQ268" s="196"/>
      <c r="CR268" s="196"/>
      <c r="CS268" s="196"/>
      <c r="CT268" s="196"/>
      <c r="CU268" s="196"/>
      <c r="CV268" s="194"/>
      <c r="CW268" s="194"/>
      <c r="CX268" s="194"/>
      <c r="CY268" s="194"/>
      <c r="CZ268" s="194"/>
      <c r="DA268" s="194"/>
      <c r="DB268" s="194"/>
      <c r="DC268" s="194"/>
      <c r="DD268" s="194"/>
      <c r="DE268" s="194"/>
      <c r="DF268" s="196"/>
      <c r="DG268" s="198"/>
      <c r="DH268" s="194"/>
      <c r="DI268" s="194"/>
    </row>
    <row r="269" spans="1:113" s="24" customFormat="1" hidden="1" x14ac:dyDescent="0.3">
      <c r="A269" s="172"/>
      <c r="B269" s="172"/>
      <c r="C269" s="172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  <c r="AG269" s="173"/>
      <c r="AH269" s="173"/>
      <c r="AI269" s="173"/>
      <c r="AJ269" s="173"/>
      <c r="AK269" s="173"/>
      <c r="AL269" s="173"/>
      <c r="AM269" s="173"/>
      <c r="AN269" s="173"/>
      <c r="AO269" s="173"/>
      <c r="AP269" s="173"/>
      <c r="AQ269" s="173"/>
      <c r="AR269" s="173"/>
      <c r="AS269" s="172"/>
      <c r="AT269" s="172"/>
      <c r="AU269" s="172"/>
      <c r="AV269" s="172"/>
      <c r="AW269" s="172"/>
      <c r="AX269" s="172"/>
      <c r="AY269" s="172"/>
      <c r="AZ269" s="172"/>
      <c r="BA269" s="172"/>
      <c r="BB269" s="172"/>
      <c r="BC269" s="172"/>
      <c r="BD269" s="172"/>
      <c r="BE269" s="172"/>
      <c r="BF269" s="172"/>
      <c r="BG269" s="172"/>
      <c r="BH269" s="172"/>
      <c r="BI269" s="172"/>
      <c r="BJ269" s="172"/>
      <c r="BK269" s="172"/>
      <c r="BL269" s="172"/>
      <c r="BM269" s="172"/>
      <c r="BN269" s="172"/>
      <c r="BO269" s="172"/>
      <c r="BP269" s="172"/>
      <c r="BQ269" s="172"/>
      <c r="BR269" s="172"/>
      <c r="BS269" s="172"/>
      <c r="BT269" s="172"/>
      <c r="BU269" s="172"/>
      <c r="BV269" s="172"/>
      <c r="BW269" s="172"/>
      <c r="BX269" s="172"/>
      <c r="BY269" s="174"/>
      <c r="BZ269" s="172"/>
      <c r="CA269" s="172"/>
      <c r="CD269" s="194"/>
      <c r="CE269" s="194"/>
      <c r="CF269" s="194"/>
      <c r="CG269" s="194"/>
      <c r="CH269" s="195"/>
      <c r="CI269" s="194"/>
      <c r="CJ269" s="194"/>
      <c r="CK269" s="194"/>
      <c r="CL269" s="196"/>
      <c r="CM269" s="196"/>
      <c r="CN269" s="194"/>
      <c r="CO269" s="197"/>
      <c r="CP269" s="196"/>
      <c r="CQ269" s="196"/>
      <c r="CR269" s="196"/>
      <c r="CS269" s="196"/>
      <c r="CT269" s="196"/>
      <c r="CU269" s="196"/>
      <c r="CV269" s="194"/>
      <c r="CW269" s="194"/>
      <c r="CX269" s="194"/>
      <c r="CY269" s="194"/>
      <c r="CZ269" s="194"/>
      <c r="DA269" s="194"/>
      <c r="DB269" s="194"/>
      <c r="DC269" s="194"/>
      <c r="DD269" s="194"/>
      <c r="DE269" s="194"/>
      <c r="DF269" s="196"/>
      <c r="DG269" s="198"/>
      <c r="DH269" s="194"/>
      <c r="DI269" s="194"/>
    </row>
    <row r="270" spans="1:113" s="24" customFormat="1" hidden="1" x14ac:dyDescent="0.3">
      <c r="A270" s="172"/>
      <c r="B270" s="172"/>
      <c r="C270" s="172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  <c r="AG270" s="173"/>
      <c r="AH270" s="173"/>
      <c r="AI270" s="173"/>
      <c r="AJ270" s="173"/>
      <c r="AK270" s="173"/>
      <c r="AL270" s="173"/>
      <c r="AM270" s="173"/>
      <c r="AN270" s="173"/>
      <c r="AO270" s="173"/>
      <c r="AP270" s="173"/>
      <c r="AQ270" s="173"/>
      <c r="AR270" s="173"/>
      <c r="AS270" s="172"/>
      <c r="AT270" s="172"/>
      <c r="AU270" s="172"/>
      <c r="AV270" s="172"/>
      <c r="AW270" s="172"/>
      <c r="AX270" s="172"/>
      <c r="AY270" s="172"/>
      <c r="AZ270" s="172"/>
      <c r="BA270" s="172"/>
      <c r="BB270" s="172"/>
      <c r="BC270" s="172"/>
      <c r="BD270" s="172"/>
      <c r="BE270" s="172"/>
      <c r="BF270" s="172"/>
      <c r="BG270" s="172"/>
      <c r="BH270" s="172"/>
      <c r="BI270" s="172"/>
      <c r="BJ270" s="172"/>
      <c r="BK270" s="172"/>
      <c r="BL270" s="172"/>
      <c r="BM270" s="172"/>
      <c r="BN270" s="172"/>
      <c r="BO270" s="172"/>
      <c r="BP270" s="172"/>
      <c r="BQ270" s="172"/>
      <c r="BR270" s="172"/>
      <c r="BS270" s="172"/>
      <c r="BT270" s="172"/>
      <c r="BU270" s="172"/>
      <c r="BV270" s="172"/>
      <c r="BW270" s="172"/>
      <c r="BX270" s="172"/>
      <c r="BY270" s="174"/>
      <c r="BZ270" s="172"/>
      <c r="CA270" s="172"/>
      <c r="CD270" s="194"/>
      <c r="CE270" s="194"/>
      <c r="CF270" s="194"/>
      <c r="CG270" s="194"/>
      <c r="CH270" s="195"/>
      <c r="CI270" s="194"/>
      <c r="CJ270" s="194"/>
      <c r="CK270" s="194"/>
      <c r="CL270" s="196"/>
      <c r="CM270" s="196"/>
      <c r="CN270" s="194"/>
      <c r="CO270" s="197"/>
      <c r="CP270" s="196"/>
      <c r="CQ270" s="196"/>
      <c r="CR270" s="196"/>
      <c r="CS270" s="196"/>
      <c r="CT270" s="196"/>
      <c r="CU270" s="196"/>
      <c r="CV270" s="194"/>
      <c r="CW270" s="194"/>
      <c r="CX270" s="194"/>
      <c r="CY270" s="194"/>
      <c r="CZ270" s="194"/>
      <c r="DA270" s="194"/>
      <c r="DB270" s="194"/>
      <c r="DC270" s="194"/>
      <c r="DD270" s="194"/>
      <c r="DE270" s="194"/>
      <c r="DF270" s="196"/>
      <c r="DG270" s="198"/>
      <c r="DH270" s="194"/>
      <c r="DI270" s="194"/>
    </row>
    <row r="271" spans="1:113" s="24" customFormat="1" hidden="1" x14ac:dyDescent="0.3">
      <c r="A271" s="172"/>
      <c r="B271" s="172"/>
      <c r="C271" s="172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  <c r="AG271" s="173"/>
      <c r="AH271" s="173"/>
      <c r="AI271" s="173"/>
      <c r="AJ271" s="173"/>
      <c r="AK271" s="173"/>
      <c r="AL271" s="173"/>
      <c r="AM271" s="173"/>
      <c r="AN271" s="173"/>
      <c r="AO271" s="173"/>
      <c r="AP271" s="173"/>
      <c r="AQ271" s="173"/>
      <c r="AR271" s="173"/>
      <c r="AS271" s="172"/>
      <c r="AT271" s="172"/>
      <c r="AU271" s="172"/>
      <c r="AV271" s="172"/>
      <c r="AW271" s="172"/>
      <c r="AX271" s="172"/>
      <c r="AY271" s="172"/>
      <c r="AZ271" s="172"/>
      <c r="BA271" s="172"/>
      <c r="BB271" s="172"/>
      <c r="BC271" s="172"/>
      <c r="BD271" s="172"/>
      <c r="BE271" s="172"/>
      <c r="BF271" s="172"/>
      <c r="BG271" s="172"/>
      <c r="BH271" s="172"/>
      <c r="BI271" s="172"/>
      <c r="BJ271" s="172"/>
      <c r="BK271" s="172"/>
      <c r="BL271" s="172"/>
      <c r="BM271" s="172"/>
      <c r="BN271" s="172"/>
      <c r="BO271" s="172"/>
      <c r="BP271" s="172"/>
      <c r="BQ271" s="172"/>
      <c r="BR271" s="172"/>
      <c r="BS271" s="172"/>
      <c r="BT271" s="172"/>
      <c r="BU271" s="172"/>
      <c r="BV271" s="172"/>
      <c r="BW271" s="172"/>
      <c r="BX271" s="172"/>
      <c r="BY271" s="174"/>
      <c r="BZ271" s="172"/>
      <c r="CA271" s="172"/>
      <c r="CD271" s="194"/>
      <c r="CE271" s="194"/>
      <c r="CF271" s="194"/>
      <c r="CG271" s="194"/>
      <c r="CH271" s="195"/>
      <c r="CI271" s="194"/>
      <c r="CJ271" s="194"/>
      <c r="CK271" s="194"/>
      <c r="CL271" s="196"/>
      <c r="CM271" s="196"/>
      <c r="CN271" s="194"/>
      <c r="CO271" s="197"/>
      <c r="CP271" s="196"/>
      <c r="CQ271" s="196"/>
      <c r="CR271" s="196"/>
      <c r="CS271" s="196"/>
      <c r="CT271" s="196"/>
      <c r="CU271" s="196"/>
      <c r="CV271" s="194"/>
      <c r="CW271" s="194"/>
      <c r="CX271" s="194"/>
      <c r="CY271" s="194"/>
      <c r="CZ271" s="194"/>
      <c r="DA271" s="194"/>
      <c r="DB271" s="194"/>
      <c r="DC271" s="194"/>
      <c r="DD271" s="194"/>
      <c r="DE271" s="194"/>
      <c r="DF271" s="196"/>
      <c r="DG271" s="198"/>
      <c r="DH271" s="194"/>
      <c r="DI271" s="194"/>
    </row>
    <row r="272" spans="1:113" s="24" customFormat="1" hidden="1" x14ac:dyDescent="0.3">
      <c r="A272" s="172"/>
      <c r="B272" s="172"/>
      <c r="C272" s="172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2"/>
      <c r="AT272" s="172"/>
      <c r="AU272" s="172"/>
      <c r="AV272" s="172"/>
      <c r="AW272" s="172"/>
      <c r="AX272" s="172"/>
      <c r="AY272" s="172"/>
      <c r="AZ272" s="172"/>
      <c r="BA272" s="172"/>
      <c r="BB272" s="172"/>
      <c r="BC272" s="172"/>
      <c r="BD272" s="172"/>
      <c r="BE272" s="172"/>
      <c r="BF272" s="172"/>
      <c r="BG272" s="172"/>
      <c r="BH272" s="172"/>
      <c r="BI272" s="172"/>
      <c r="BJ272" s="172"/>
      <c r="BK272" s="172"/>
      <c r="BL272" s="172"/>
      <c r="BM272" s="172"/>
      <c r="BN272" s="172"/>
      <c r="BO272" s="172"/>
      <c r="BP272" s="172"/>
      <c r="BQ272" s="172"/>
      <c r="BR272" s="172"/>
      <c r="BS272" s="172"/>
      <c r="BT272" s="172"/>
      <c r="BU272" s="172"/>
      <c r="BV272" s="172"/>
      <c r="BW272" s="172"/>
      <c r="BX272" s="172"/>
      <c r="BY272" s="174"/>
      <c r="BZ272" s="172"/>
      <c r="CA272" s="172"/>
      <c r="CD272" s="194"/>
      <c r="CE272" s="194"/>
      <c r="CF272" s="194"/>
      <c r="CG272" s="194"/>
      <c r="CH272" s="195"/>
      <c r="CI272" s="194"/>
      <c r="CJ272" s="194"/>
      <c r="CK272" s="194"/>
      <c r="CL272" s="196"/>
      <c r="CM272" s="196"/>
      <c r="CN272" s="194"/>
      <c r="CO272" s="197"/>
      <c r="CP272" s="196"/>
      <c r="CQ272" s="196"/>
      <c r="CR272" s="196"/>
      <c r="CS272" s="196"/>
      <c r="CT272" s="196"/>
      <c r="CU272" s="196"/>
      <c r="CV272" s="194"/>
      <c r="CW272" s="194"/>
      <c r="CX272" s="194"/>
      <c r="CY272" s="194"/>
      <c r="CZ272" s="194"/>
      <c r="DA272" s="194"/>
      <c r="DB272" s="194"/>
      <c r="DC272" s="194"/>
      <c r="DD272" s="194"/>
      <c r="DE272" s="194"/>
      <c r="DF272" s="196"/>
      <c r="DG272" s="198"/>
      <c r="DH272" s="194"/>
      <c r="DI272" s="194"/>
    </row>
    <row r="273" spans="1:113" s="24" customFormat="1" hidden="1" x14ac:dyDescent="0.3">
      <c r="A273" s="172"/>
      <c r="B273" s="172"/>
      <c r="C273" s="172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  <c r="AG273" s="173"/>
      <c r="AH273" s="173"/>
      <c r="AI273" s="173"/>
      <c r="AJ273" s="173"/>
      <c r="AK273" s="173"/>
      <c r="AL273" s="173"/>
      <c r="AM273" s="173"/>
      <c r="AN273" s="173"/>
      <c r="AO273" s="173"/>
      <c r="AP273" s="173"/>
      <c r="AQ273" s="173"/>
      <c r="AR273" s="173"/>
      <c r="AS273" s="172"/>
      <c r="AT273" s="172"/>
      <c r="AU273" s="172"/>
      <c r="AV273" s="172"/>
      <c r="AW273" s="172"/>
      <c r="AX273" s="172"/>
      <c r="AY273" s="172"/>
      <c r="AZ273" s="172"/>
      <c r="BA273" s="172"/>
      <c r="BB273" s="172"/>
      <c r="BC273" s="172"/>
      <c r="BD273" s="172"/>
      <c r="BE273" s="172"/>
      <c r="BF273" s="172"/>
      <c r="BG273" s="172"/>
      <c r="BH273" s="172"/>
      <c r="BI273" s="172"/>
      <c r="BJ273" s="172"/>
      <c r="BK273" s="172"/>
      <c r="BL273" s="172"/>
      <c r="BM273" s="172"/>
      <c r="BN273" s="172"/>
      <c r="BO273" s="172"/>
      <c r="BP273" s="172"/>
      <c r="BQ273" s="172"/>
      <c r="BR273" s="172"/>
      <c r="BS273" s="172"/>
      <c r="BT273" s="172"/>
      <c r="BU273" s="172"/>
      <c r="BV273" s="172"/>
      <c r="BW273" s="172"/>
      <c r="BX273" s="172"/>
      <c r="BY273" s="174"/>
      <c r="BZ273" s="172"/>
      <c r="CA273" s="172"/>
      <c r="CD273" s="194"/>
      <c r="CE273" s="194"/>
      <c r="CF273" s="194"/>
      <c r="CG273" s="194"/>
      <c r="CH273" s="195"/>
      <c r="CI273" s="194"/>
      <c r="CJ273" s="194"/>
      <c r="CK273" s="194"/>
      <c r="CL273" s="196"/>
      <c r="CM273" s="196"/>
      <c r="CN273" s="194"/>
      <c r="CO273" s="197"/>
      <c r="CP273" s="196"/>
      <c r="CQ273" s="196"/>
      <c r="CR273" s="196"/>
      <c r="CS273" s="196"/>
      <c r="CT273" s="196"/>
      <c r="CU273" s="196"/>
      <c r="CV273" s="194"/>
      <c r="CW273" s="194"/>
      <c r="CX273" s="194"/>
      <c r="CY273" s="194"/>
      <c r="CZ273" s="194"/>
      <c r="DA273" s="194"/>
      <c r="DB273" s="194"/>
      <c r="DC273" s="194"/>
      <c r="DD273" s="194"/>
      <c r="DE273" s="194"/>
      <c r="DF273" s="196"/>
      <c r="DG273" s="198"/>
      <c r="DH273" s="194"/>
      <c r="DI273" s="194"/>
    </row>
    <row r="274" spans="1:113" s="24" customFormat="1" hidden="1" x14ac:dyDescent="0.3">
      <c r="A274" s="172"/>
      <c r="B274" s="172"/>
      <c r="C274" s="172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  <c r="AG274" s="173"/>
      <c r="AH274" s="173"/>
      <c r="AI274" s="173"/>
      <c r="AJ274" s="173"/>
      <c r="AK274" s="173"/>
      <c r="AL274" s="173"/>
      <c r="AM274" s="173"/>
      <c r="AN274" s="173"/>
      <c r="AO274" s="173"/>
      <c r="AP274" s="173"/>
      <c r="AQ274" s="173"/>
      <c r="AR274" s="173"/>
      <c r="AS274" s="172"/>
      <c r="AT274" s="172"/>
      <c r="AU274" s="172"/>
      <c r="AV274" s="172"/>
      <c r="AW274" s="172"/>
      <c r="AX274" s="172"/>
      <c r="AY274" s="172"/>
      <c r="AZ274" s="172"/>
      <c r="BA274" s="172"/>
      <c r="BB274" s="172"/>
      <c r="BC274" s="172"/>
      <c r="BD274" s="172"/>
      <c r="BE274" s="172"/>
      <c r="BF274" s="172"/>
      <c r="BG274" s="172"/>
      <c r="BH274" s="172"/>
      <c r="BI274" s="172"/>
      <c r="BJ274" s="172"/>
      <c r="BK274" s="172"/>
      <c r="BL274" s="172"/>
      <c r="BM274" s="172"/>
      <c r="BN274" s="172"/>
      <c r="BO274" s="172"/>
      <c r="BP274" s="172"/>
      <c r="BQ274" s="172"/>
      <c r="BR274" s="172"/>
      <c r="BS274" s="172"/>
      <c r="BT274" s="172"/>
      <c r="BU274" s="172"/>
      <c r="BV274" s="172"/>
      <c r="BW274" s="172"/>
      <c r="BX274" s="172"/>
      <c r="BY274" s="174"/>
      <c r="BZ274" s="172"/>
      <c r="CA274" s="172"/>
      <c r="CD274" s="194"/>
      <c r="CE274" s="194"/>
      <c r="CF274" s="194"/>
      <c r="CG274" s="194"/>
      <c r="CH274" s="195"/>
      <c r="CI274" s="194"/>
      <c r="CJ274" s="194"/>
      <c r="CK274" s="194"/>
      <c r="CL274" s="196"/>
      <c r="CM274" s="196"/>
      <c r="CN274" s="194"/>
      <c r="CO274" s="197"/>
      <c r="CP274" s="196"/>
      <c r="CQ274" s="196"/>
      <c r="CR274" s="196"/>
      <c r="CS274" s="196"/>
      <c r="CT274" s="196"/>
      <c r="CU274" s="196"/>
      <c r="CV274" s="194"/>
      <c r="CW274" s="194"/>
      <c r="CX274" s="194"/>
      <c r="CY274" s="194"/>
      <c r="CZ274" s="194"/>
      <c r="DA274" s="194"/>
      <c r="DB274" s="194"/>
      <c r="DC274" s="194"/>
      <c r="DD274" s="194"/>
      <c r="DE274" s="194"/>
      <c r="DF274" s="196"/>
      <c r="DG274" s="198"/>
      <c r="DH274" s="194"/>
      <c r="DI274" s="194"/>
    </row>
    <row r="275" spans="1:113" s="24" customFormat="1" hidden="1" x14ac:dyDescent="0.3">
      <c r="A275" s="172"/>
      <c r="B275" s="172"/>
      <c r="C275" s="172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  <c r="AG275" s="173"/>
      <c r="AH275" s="173"/>
      <c r="AI275" s="173"/>
      <c r="AJ275" s="173"/>
      <c r="AK275" s="173"/>
      <c r="AL275" s="173"/>
      <c r="AM275" s="173"/>
      <c r="AN275" s="173"/>
      <c r="AO275" s="173"/>
      <c r="AP275" s="173"/>
      <c r="AQ275" s="173"/>
      <c r="AR275" s="173"/>
      <c r="AS275" s="172"/>
      <c r="AT275" s="172"/>
      <c r="AU275" s="172"/>
      <c r="AV275" s="172"/>
      <c r="AW275" s="172"/>
      <c r="AX275" s="172"/>
      <c r="AY275" s="172"/>
      <c r="AZ275" s="172"/>
      <c r="BA275" s="172"/>
      <c r="BB275" s="172"/>
      <c r="BC275" s="172"/>
      <c r="BD275" s="172"/>
      <c r="BE275" s="172"/>
      <c r="BF275" s="172"/>
      <c r="BG275" s="172"/>
      <c r="BH275" s="172"/>
      <c r="BI275" s="172"/>
      <c r="BJ275" s="172"/>
      <c r="BK275" s="172"/>
      <c r="BL275" s="172"/>
      <c r="BM275" s="172"/>
      <c r="BN275" s="172"/>
      <c r="BO275" s="172"/>
      <c r="BP275" s="172"/>
      <c r="BQ275" s="172"/>
      <c r="BR275" s="172"/>
      <c r="BS275" s="172"/>
      <c r="BT275" s="172"/>
      <c r="BU275" s="172"/>
      <c r="BV275" s="172"/>
      <c r="BW275" s="172"/>
      <c r="BX275" s="172"/>
      <c r="BY275" s="174"/>
      <c r="BZ275" s="172"/>
      <c r="CA275" s="172"/>
      <c r="CD275" s="194"/>
      <c r="CE275" s="194"/>
      <c r="CF275" s="194"/>
      <c r="CG275" s="194"/>
      <c r="CH275" s="195"/>
      <c r="CI275" s="194"/>
      <c r="CJ275" s="194"/>
      <c r="CK275" s="194"/>
      <c r="CL275" s="196"/>
      <c r="CM275" s="196"/>
      <c r="CN275" s="194"/>
      <c r="CO275" s="197"/>
      <c r="CP275" s="196"/>
      <c r="CQ275" s="196"/>
      <c r="CR275" s="196"/>
      <c r="CS275" s="196"/>
      <c r="CT275" s="196"/>
      <c r="CU275" s="196"/>
      <c r="CV275" s="194"/>
      <c r="CW275" s="194"/>
      <c r="CX275" s="194"/>
      <c r="CY275" s="194"/>
      <c r="CZ275" s="194"/>
      <c r="DA275" s="194"/>
      <c r="DB275" s="194"/>
      <c r="DC275" s="194"/>
      <c r="DD275" s="194"/>
      <c r="DE275" s="194"/>
      <c r="DF275" s="196"/>
      <c r="DG275" s="198"/>
      <c r="DH275" s="194"/>
      <c r="DI275" s="194"/>
    </row>
    <row r="276" spans="1:113" s="24" customFormat="1" hidden="1" x14ac:dyDescent="0.3">
      <c r="A276" s="172"/>
      <c r="B276" s="172"/>
      <c r="C276" s="172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  <c r="AG276" s="173"/>
      <c r="AH276" s="173"/>
      <c r="AI276" s="173"/>
      <c r="AJ276" s="173"/>
      <c r="AK276" s="173"/>
      <c r="AL276" s="173"/>
      <c r="AM276" s="173"/>
      <c r="AN276" s="173"/>
      <c r="AO276" s="173"/>
      <c r="AP276" s="173"/>
      <c r="AQ276" s="173"/>
      <c r="AR276" s="173"/>
      <c r="AS276" s="172"/>
      <c r="AT276" s="172"/>
      <c r="AU276" s="172"/>
      <c r="AV276" s="172"/>
      <c r="AW276" s="172"/>
      <c r="AX276" s="172"/>
      <c r="AY276" s="172"/>
      <c r="AZ276" s="172"/>
      <c r="BA276" s="172"/>
      <c r="BB276" s="172"/>
      <c r="BC276" s="172"/>
      <c r="BD276" s="172"/>
      <c r="BE276" s="172"/>
      <c r="BF276" s="172"/>
      <c r="BG276" s="172"/>
      <c r="BH276" s="172"/>
      <c r="BI276" s="172"/>
      <c r="BJ276" s="172"/>
      <c r="BK276" s="172"/>
      <c r="BL276" s="172"/>
      <c r="BM276" s="172"/>
      <c r="BN276" s="172"/>
      <c r="BO276" s="172"/>
      <c r="BP276" s="172"/>
      <c r="BQ276" s="172"/>
      <c r="BR276" s="172"/>
      <c r="BS276" s="172"/>
      <c r="BT276" s="172"/>
      <c r="BU276" s="172"/>
      <c r="BV276" s="172"/>
      <c r="BW276" s="172"/>
      <c r="BX276" s="172"/>
      <c r="BY276" s="174"/>
      <c r="BZ276" s="172"/>
      <c r="CA276" s="172"/>
      <c r="CD276" s="194"/>
      <c r="CE276" s="194"/>
      <c r="CF276" s="194"/>
      <c r="CG276" s="194"/>
      <c r="CH276" s="195"/>
      <c r="CI276" s="194"/>
      <c r="CJ276" s="194"/>
      <c r="CK276" s="194"/>
      <c r="CL276" s="196"/>
      <c r="CM276" s="196"/>
      <c r="CN276" s="194"/>
      <c r="CO276" s="197"/>
      <c r="CP276" s="196"/>
      <c r="CQ276" s="196"/>
      <c r="CR276" s="196"/>
      <c r="CS276" s="196"/>
      <c r="CT276" s="196"/>
      <c r="CU276" s="196"/>
      <c r="CV276" s="194"/>
      <c r="CW276" s="194"/>
      <c r="CX276" s="194"/>
      <c r="CY276" s="194"/>
      <c r="CZ276" s="194"/>
      <c r="DA276" s="194"/>
      <c r="DB276" s="194"/>
      <c r="DC276" s="194"/>
      <c r="DD276" s="194"/>
      <c r="DE276" s="194"/>
      <c r="DF276" s="196"/>
      <c r="DG276" s="198"/>
      <c r="DH276" s="194"/>
      <c r="DI276" s="194"/>
    </row>
    <row r="277" spans="1:113" s="24" customFormat="1" hidden="1" x14ac:dyDescent="0.3">
      <c r="A277" s="172"/>
      <c r="B277" s="172"/>
      <c r="C277" s="172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  <c r="AG277" s="173"/>
      <c r="AH277" s="173"/>
      <c r="AI277" s="173"/>
      <c r="AJ277" s="173"/>
      <c r="AK277" s="173"/>
      <c r="AL277" s="173"/>
      <c r="AM277" s="173"/>
      <c r="AN277" s="173"/>
      <c r="AO277" s="173"/>
      <c r="AP277" s="173"/>
      <c r="AQ277" s="173"/>
      <c r="AR277" s="173"/>
      <c r="AS277" s="172"/>
      <c r="AT277" s="172"/>
      <c r="AU277" s="172"/>
      <c r="AV277" s="172"/>
      <c r="AW277" s="172"/>
      <c r="AX277" s="172"/>
      <c r="AY277" s="172"/>
      <c r="AZ277" s="172"/>
      <c r="BA277" s="172"/>
      <c r="BB277" s="172"/>
      <c r="BC277" s="172"/>
      <c r="BD277" s="172"/>
      <c r="BE277" s="172"/>
      <c r="BF277" s="172"/>
      <c r="BG277" s="172"/>
      <c r="BH277" s="172"/>
      <c r="BI277" s="172"/>
      <c r="BJ277" s="172"/>
      <c r="BK277" s="172"/>
      <c r="BL277" s="172"/>
      <c r="BM277" s="172"/>
      <c r="BN277" s="172"/>
      <c r="BO277" s="172"/>
      <c r="BP277" s="172"/>
      <c r="BQ277" s="172"/>
      <c r="BR277" s="172"/>
      <c r="BS277" s="172"/>
      <c r="BT277" s="172"/>
      <c r="BU277" s="172"/>
      <c r="BV277" s="172"/>
      <c r="BW277" s="172"/>
      <c r="BX277" s="172"/>
      <c r="BY277" s="174"/>
      <c r="BZ277" s="172"/>
      <c r="CA277" s="172"/>
      <c r="CD277" s="194"/>
      <c r="CE277" s="194"/>
      <c r="CF277" s="194"/>
      <c r="CG277" s="194"/>
      <c r="CH277" s="195"/>
      <c r="CI277" s="194"/>
      <c r="CJ277" s="194"/>
      <c r="CK277" s="194"/>
      <c r="CL277" s="196"/>
      <c r="CM277" s="196"/>
      <c r="CN277" s="194"/>
      <c r="CO277" s="197"/>
      <c r="CP277" s="196"/>
      <c r="CQ277" s="196"/>
      <c r="CR277" s="196"/>
      <c r="CS277" s="196"/>
      <c r="CT277" s="196"/>
      <c r="CU277" s="196"/>
      <c r="CV277" s="194"/>
      <c r="CW277" s="194"/>
      <c r="CX277" s="194"/>
      <c r="CY277" s="194"/>
      <c r="CZ277" s="194"/>
      <c r="DA277" s="194"/>
      <c r="DB277" s="194"/>
      <c r="DC277" s="194"/>
      <c r="DD277" s="194"/>
      <c r="DE277" s="194"/>
      <c r="DF277" s="196"/>
      <c r="DG277" s="198"/>
      <c r="DH277" s="194"/>
      <c r="DI277" s="194"/>
    </row>
    <row r="278" spans="1:113" s="24" customFormat="1" hidden="1" x14ac:dyDescent="0.3">
      <c r="A278" s="172"/>
      <c r="B278" s="172"/>
      <c r="C278" s="172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2"/>
      <c r="AT278" s="172"/>
      <c r="AU278" s="172"/>
      <c r="AV278" s="172"/>
      <c r="AW278" s="172"/>
      <c r="AX278" s="172"/>
      <c r="AY278" s="172"/>
      <c r="AZ278" s="172"/>
      <c r="BA278" s="172"/>
      <c r="BB278" s="172"/>
      <c r="BC278" s="172"/>
      <c r="BD278" s="172"/>
      <c r="BE278" s="172"/>
      <c r="BF278" s="172"/>
      <c r="BG278" s="172"/>
      <c r="BH278" s="172"/>
      <c r="BI278" s="172"/>
      <c r="BJ278" s="172"/>
      <c r="BK278" s="172"/>
      <c r="BL278" s="172"/>
      <c r="BM278" s="172"/>
      <c r="BN278" s="172"/>
      <c r="BO278" s="172"/>
      <c r="BP278" s="172"/>
      <c r="BQ278" s="172"/>
      <c r="BR278" s="172"/>
      <c r="BS278" s="172"/>
      <c r="BT278" s="172"/>
      <c r="BU278" s="172"/>
      <c r="BV278" s="172"/>
      <c r="BW278" s="172"/>
      <c r="BX278" s="172"/>
      <c r="BY278" s="174"/>
      <c r="BZ278" s="172"/>
      <c r="CA278" s="172"/>
      <c r="CD278" s="194"/>
      <c r="CE278" s="194"/>
      <c r="CF278" s="194"/>
      <c r="CG278" s="194"/>
      <c r="CH278" s="195"/>
      <c r="CI278" s="194"/>
      <c r="CJ278" s="194"/>
      <c r="CK278" s="194"/>
      <c r="CL278" s="196"/>
      <c r="CM278" s="196"/>
      <c r="CN278" s="194"/>
      <c r="CO278" s="197"/>
      <c r="CP278" s="196"/>
      <c r="CQ278" s="196"/>
      <c r="CR278" s="196"/>
      <c r="CS278" s="196"/>
      <c r="CT278" s="196"/>
      <c r="CU278" s="196"/>
      <c r="CV278" s="194"/>
      <c r="CW278" s="194"/>
      <c r="CX278" s="194"/>
      <c r="CY278" s="194"/>
      <c r="CZ278" s="194"/>
      <c r="DA278" s="194"/>
      <c r="DB278" s="194"/>
      <c r="DC278" s="194"/>
      <c r="DD278" s="194"/>
      <c r="DE278" s="194"/>
      <c r="DF278" s="196"/>
      <c r="DG278" s="198"/>
      <c r="DH278" s="194"/>
      <c r="DI278" s="194"/>
    </row>
    <row r="279" spans="1:113" s="24" customFormat="1" hidden="1" x14ac:dyDescent="0.3">
      <c r="A279" s="172"/>
      <c r="B279" s="172"/>
      <c r="C279" s="172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  <c r="AG279" s="173"/>
      <c r="AH279" s="173"/>
      <c r="AI279" s="173"/>
      <c r="AJ279" s="173"/>
      <c r="AK279" s="173"/>
      <c r="AL279" s="173"/>
      <c r="AM279" s="173"/>
      <c r="AN279" s="173"/>
      <c r="AO279" s="173"/>
      <c r="AP279" s="173"/>
      <c r="AQ279" s="173"/>
      <c r="AR279" s="173"/>
      <c r="AS279" s="172"/>
      <c r="AT279" s="172"/>
      <c r="AU279" s="172"/>
      <c r="AV279" s="172"/>
      <c r="AW279" s="172"/>
      <c r="AX279" s="172"/>
      <c r="AY279" s="172"/>
      <c r="AZ279" s="172"/>
      <c r="BA279" s="172"/>
      <c r="BB279" s="172"/>
      <c r="BC279" s="172"/>
      <c r="BD279" s="172"/>
      <c r="BE279" s="172"/>
      <c r="BF279" s="172"/>
      <c r="BG279" s="172"/>
      <c r="BH279" s="172"/>
      <c r="BI279" s="172"/>
      <c r="BJ279" s="172"/>
      <c r="BK279" s="172"/>
      <c r="BL279" s="172"/>
      <c r="BM279" s="172"/>
      <c r="BN279" s="172"/>
      <c r="BO279" s="172"/>
      <c r="BP279" s="172"/>
      <c r="BQ279" s="172"/>
      <c r="BR279" s="172"/>
      <c r="BS279" s="172"/>
      <c r="BT279" s="172"/>
      <c r="BU279" s="172"/>
      <c r="BV279" s="172"/>
      <c r="BW279" s="172"/>
      <c r="BX279" s="172"/>
      <c r="BY279" s="174"/>
      <c r="BZ279" s="172"/>
      <c r="CA279" s="172"/>
      <c r="CD279" s="194"/>
      <c r="CE279" s="194"/>
      <c r="CF279" s="194"/>
      <c r="CG279" s="194"/>
      <c r="CH279" s="195"/>
      <c r="CI279" s="194"/>
      <c r="CJ279" s="194"/>
      <c r="CK279" s="194"/>
      <c r="CL279" s="196"/>
      <c r="CM279" s="196"/>
      <c r="CN279" s="194"/>
      <c r="CO279" s="197"/>
      <c r="CP279" s="196"/>
      <c r="CQ279" s="196"/>
      <c r="CR279" s="196"/>
      <c r="CS279" s="196"/>
      <c r="CT279" s="196"/>
      <c r="CU279" s="196"/>
      <c r="CV279" s="194"/>
      <c r="CW279" s="194"/>
      <c r="CX279" s="194"/>
      <c r="CY279" s="194"/>
      <c r="CZ279" s="194"/>
      <c r="DA279" s="194"/>
      <c r="DB279" s="194"/>
      <c r="DC279" s="194"/>
      <c r="DD279" s="194"/>
      <c r="DE279" s="194"/>
      <c r="DF279" s="196"/>
      <c r="DG279" s="198"/>
      <c r="DH279" s="194"/>
      <c r="DI279" s="194"/>
    </row>
    <row r="280" spans="1:113" s="24" customFormat="1" hidden="1" x14ac:dyDescent="0.3">
      <c r="A280" s="172"/>
      <c r="B280" s="172"/>
      <c r="C280" s="172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  <c r="AG280" s="173"/>
      <c r="AH280" s="173"/>
      <c r="AI280" s="173"/>
      <c r="AJ280" s="173"/>
      <c r="AK280" s="173"/>
      <c r="AL280" s="173"/>
      <c r="AM280" s="173"/>
      <c r="AN280" s="173"/>
      <c r="AO280" s="173"/>
      <c r="AP280" s="173"/>
      <c r="AQ280" s="173"/>
      <c r="AR280" s="173"/>
      <c r="AS280" s="172"/>
      <c r="AT280" s="172"/>
      <c r="AU280" s="172"/>
      <c r="AV280" s="172"/>
      <c r="AW280" s="172"/>
      <c r="AX280" s="172"/>
      <c r="AY280" s="172"/>
      <c r="AZ280" s="172"/>
      <c r="BA280" s="172"/>
      <c r="BB280" s="172"/>
      <c r="BC280" s="172"/>
      <c r="BD280" s="172"/>
      <c r="BE280" s="172"/>
      <c r="BF280" s="172"/>
      <c r="BG280" s="172"/>
      <c r="BH280" s="172"/>
      <c r="BI280" s="172"/>
      <c r="BJ280" s="172"/>
      <c r="BK280" s="172"/>
      <c r="BL280" s="172"/>
      <c r="BM280" s="172"/>
      <c r="BN280" s="172"/>
      <c r="BO280" s="172"/>
      <c r="BP280" s="172"/>
      <c r="BQ280" s="172"/>
      <c r="BR280" s="172"/>
      <c r="BS280" s="172"/>
      <c r="BT280" s="172"/>
      <c r="BU280" s="172"/>
      <c r="BV280" s="172"/>
      <c r="BW280" s="172"/>
      <c r="BX280" s="172"/>
      <c r="BY280" s="174"/>
      <c r="BZ280" s="172"/>
      <c r="CA280" s="172"/>
      <c r="CD280" s="194"/>
      <c r="CE280" s="194"/>
      <c r="CF280" s="194"/>
      <c r="CG280" s="194"/>
      <c r="CH280" s="195"/>
      <c r="CI280" s="194"/>
      <c r="CJ280" s="194"/>
      <c r="CK280" s="194"/>
      <c r="CL280" s="196"/>
      <c r="CM280" s="196"/>
      <c r="CN280" s="194"/>
      <c r="CO280" s="197"/>
      <c r="CP280" s="196"/>
      <c r="CQ280" s="196"/>
      <c r="CR280" s="196"/>
      <c r="CS280" s="196"/>
      <c r="CT280" s="196"/>
      <c r="CU280" s="196"/>
      <c r="CV280" s="194"/>
      <c r="CW280" s="194"/>
      <c r="CX280" s="194"/>
      <c r="CY280" s="194"/>
      <c r="CZ280" s="194"/>
      <c r="DA280" s="194"/>
      <c r="DB280" s="194"/>
      <c r="DC280" s="194"/>
      <c r="DD280" s="194"/>
      <c r="DE280" s="194"/>
      <c r="DF280" s="196"/>
      <c r="DG280" s="198"/>
      <c r="DH280" s="194"/>
      <c r="DI280" s="194"/>
    </row>
    <row r="281" spans="1:113" s="24" customFormat="1" hidden="1" x14ac:dyDescent="0.3">
      <c r="A281" s="172"/>
      <c r="B281" s="172"/>
      <c r="C281" s="172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  <c r="AG281" s="173"/>
      <c r="AH281" s="173"/>
      <c r="AI281" s="173"/>
      <c r="AJ281" s="173"/>
      <c r="AK281" s="173"/>
      <c r="AL281" s="173"/>
      <c r="AM281" s="173"/>
      <c r="AN281" s="173"/>
      <c r="AO281" s="173"/>
      <c r="AP281" s="173"/>
      <c r="AQ281" s="173"/>
      <c r="AR281" s="173"/>
      <c r="AS281" s="172"/>
      <c r="AT281" s="172"/>
      <c r="AU281" s="172"/>
      <c r="AV281" s="172"/>
      <c r="AW281" s="172"/>
      <c r="AX281" s="172"/>
      <c r="AY281" s="172"/>
      <c r="AZ281" s="172"/>
      <c r="BA281" s="172"/>
      <c r="BB281" s="172"/>
      <c r="BC281" s="172"/>
      <c r="BD281" s="172"/>
      <c r="BE281" s="172"/>
      <c r="BF281" s="172"/>
      <c r="BG281" s="172"/>
      <c r="BH281" s="172"/>
      <c r="BI281" s="172"/>
      <c r="BJ281" s="172"/>
      <c r="BK281" s="172"/>
      <c r="BL281" s="172"/>
      <c r="BM281" s="172"/>
      <c r="BN281" s="172"/>
      <c r="BO281" s="172"/>
      <c r="BP281" s="172"/>
      <c r="BQ281" s="172"/>
      <c r="BR281" s="172"/>
      <c r="BS281" s="172"/>
      <c r="BT281" s="172"/>
      <c r="BU281" s="172"/>
      <c r="BV281" s="172"/>
      <c r="BW281" s="172"/>
      <c r="BX281" s="172"/>
      <c r="BY281" s="174"/>
      <c r="BZ281" s="172"/>
      <c r="CA281" s="172"/>
      <c r="CD281" s="194"/>
      <c r="CE281" s="194"/>
      <c r="CF281" s="194"/>
      <c r="CG281" s="194"/>
      <c r="CH281" s="195"/>
      <c r="CI281" s="194"/>
      <c r="CJ281" s="194"/>
      <c r="CK281" s="194"/>
      <c r="CL281" s="196"/>
      <c r="CM281" s="196"/>
      <c r="CN281" s="194"/>
      <c r="CO281" s="197"/>
      <c r="CP281" s="196"/>
      <c r="CQ281" s="196"/>
      <c r="CR281" s="196"/>
      <c r="CS281" s="196"/>
      <c r="CT281" s="196"/>
      <c r="CU281" s="196"/>
      <c r="CV281" s="194"/>
      <c r="CW281" s="194"/>
      <c r="CX281" s="194"/>
      <c r="CY281" s="194"/>
      <c r="CZ281" s="194"/>
      <c r="DA281" s="194"/>
      <c r="DB281" s="194"/>
      <c r="DC281" s="194"/>
      <c r="DD281" s="194"/>
      <c r="DE281" s="194"/>
      <c r="DF281" s="196"/>
      <c r="DG281" s="198"/>
      <c r="DH281" s="194"/>
      <c r="DI281" s="194"/>
    </row>
    <row r="282" spans="1:113" s="24" customFormat="1" hidden="1" x14ac:dyDescent="0.3">
      <c r="A282" s="172"/>
      <c r="B282" s="172"/>
      <c r="C282" s="172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  <c r="AG282" s="173"/>
      <c r="AH282" s="173"/>
      <c r="AI282" s="173"/>
      <c r="AJ282" s="173"/>
      <c r="AK282" s="173"/>
      <c r="AL282" s="173"/>
      <c r="AM282" s="173"/>
      <c r="AN282" s="173"/>
      <c r="AO282" s="173"/>
      <c r="AP282" s="173"/>
      <c r="AQ282" s="173"/>
      <c r="AR282" s="173"/>
      <c r="AS282" s="172"/>
      <c r="AT282" s="172"/>
      <c r="AU282" s="172"/>
      <c r="AV282" s="172"/>
      <c r="AW282" s="172"/>
      <c r="AX282" s="172"/>
      <c r="AY282" s="172"/>
      <c r="AZ282" s="172"/>
      <c r="BA282" s="172"/>
      <c r="BB282" s="172"/>
      <c r="BC282" s="172"/>
      <c r="BD282" s="172"/>
      <c r="BE282" s="172"/>
      <c r="BF282" s="172"/>
      <c r="BG282" s="172"/>
      <c r="BH282" s="172"/>
      <c r="BI282" s="172"/>
      <c r="BJ282" s="172"/>
      <c r="BK282" s="172"/>
      <c r="BL282" s="172"/>
      <c r="BM282" s="172"/>
      <c r="BN282" s="172"/>
      <c r="BO282" s="172"/>
      <c r="BP282" s="172"/>
      <c r="BQ282" s="172"/>
      <c r="BR282" s="172"/>
      <c r="BS282" s="172"/>
      <c r="BT282" s="172"/>
      <c r="BU282" s="172"/>
      <c r="BV282" s="172"/>
      <c r="BW282" s="172"/>
      <c r="BX282" s="172"/>
      <c r="BY282" s="174"/>
      <c r="BZ282" s="172"/>
      <c r="CA282" s="172"/>
      <c r="CD282" s="194"/>
      <c r="CE282" s="194"/>
      <c r="CF282" s="194"/>
      <c r="CG282" s="194"/>
      <c r="CH282" s="195"/>
      <c r="CI282" s="194"/>
      <c r="CJ282" s="194"/>
      <c r="CK282" s="194"/>
      <c r="CL282" s="196"/>
      <c r="CM282" s="196"/>
      <c r="CN282" s="194"/>
      <c r="CO282" s="197"/>
      <c r="CP282" s="196"/>
      <c r="CQ282" s="196"/>
      <c r="CR282" s="196"/>
      <c r="CS282" s="196"/>
      <c r="CT282" s="196"/>
      <c r="CU282" s="196"/>
      <c r="CV282" s="194"/>
      <c r="CW282" s="194"/>
      <c r="CX282" s="194"/>
      <c r="CY282" s="194"/>
      <c r="CZ282" s="194"/>
      <c r="DA282" s="194"/>
      <c r="DB282" s="194"/>
      <c r="DC282" s="194"/>
      <c r="DD282" s="194"/>
      <c r="DE282" s="194"/>
      <c r="DF282" s="196"/>
      <c r="DG282" s="198"/>
      <c r="DH282" s="194"/>
      <c r="DI282" s="194"/>
    </row>
    <row r="283" spans="1:113" s="24" customFormat="1" hidden="1" x14ac:dyDescent="0.3">
      <c r="A283" s="172"/>
      <c r="B283" s="172"/>
      <c r="C283" s="172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  <c r="AG283" s="173"/>
      <c r="AH283" s="173"/>
      <c r="AI283" s="173"/>
      <c r="AJ283" s="173"/>
      <c r="AK283" s="173"/>
      <c r="AL283" s="173"/>
      <c r="AM283" s="173"/>
      <c r="AN283" s="173"/>
      <c r="AO283" s="173"/>
      <c r="AP283" s="173"/>
      <c r="AQ283" s="173"/>
      <c r="AR283" s="173"/>
      <c r="AS283" s="172"/>
      <c r="AT283" s="172"/>
      <c r="AU283" s="172"/>
      <c r="AV283" s="172"/>
      <c r="AW283" s="172"/>
      <c r="AX283" s="172"/>
      <c r="AY283" s="172"/>
      <c r="AZ283" s="172"/>
      <c r="BA283" s="172"/>
      <c r="BB283" s="172"/>
      <c r="BC283" s="172"/>
      <c r="BD283" s="172"/>
      <c r="BE283" s="172"/>
      <c r="BF283" s="172"/>
      <c r="BG283" s="172"/>
      <c r="BH283" s="172"/>
      <c r="BI283" s="172"/>
      <c r="BJ283" s="172"/>
      <c r="BK283" s="172"/>
      <c r="BL283" s="172"/>
      <c r="BM283" s="172"/>
      <c r="BN283" s="172"/>
      <c r="BO283" s="172"/>
      <c r="BP283" s="172"/>
      <c r="BQ283" s="172"/>
      <c r="BR283" s="172"/>
      <c r="BS283" s="172"/>
      <c r="BT283" s="172"/>
      <c r="BU283" s="172"/>
      <c r="BV283" s="172"/>
      <c r="BW283" s="172"/>
      <c r="BX283" s="172"/>
      <c r="BY283" s="174"/>
      <c r="BZ283" s="172"/>
      <c r="CA283" s="172"/>
      <c r="CD283" s="194"/>
      <c r="CE283" s="194"/>
      <c r="CF283" s="194"/>
      <c r="CG283" s="194"/>
      <c r="CH283" s="195"/>
      <c r="CI283" s="194"/>
      <c r="CJ283" s="194"/>
      <c r="CK283" s="194"/>
      <c r="CL283" s="196"/>
      <c r="CM283" s="196"/>
      <c r="CN283" s="194"/>
      <c r="CO283" s="197"/>
      <c r="CP283" s="196"/>
      <c r="CQ283" s="196"/>
      <c r="CR283" s="196"/>
      <c r="CS283" s="196"/>
      <c r="CT283" s="196"/>
      <c r="CU283" s="196"/>
      <c r="CV283" s="194"/>
      <c r="CW283" s="194"/>
      <c r="CX283" s="194"/>
      <c r="CY283" s="194"/>
      <c r="CZ283" s="194"/>
      <c r="DA283" s="194"/>
      <c r="DB283" s="194"/>
      <c r="DC283" s="194"/>
      <c r="DD283" s="194"/>
      <c r="DE283" s="194"/>
      <c r="DF283" s="196"/>
      <c r="DG283" s="198"/>
      <c r="DH283" s="194"/>
      <c r="DI283" s="194"/>
    </row>
    <row r="284" spans="1:113" s="24" customFormat="1" hidden="1" x14ac:dyDescent="0.3">
      <c r="A284" s="172"/>
      <c r="B284" s="172"/>
      <c r="C284" s="172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  <c r="AG284" s="173"/>
      <c r="AH284" s="173"/>
      <c r="AI284" s="173"/>
      <c r="AJ284" s="173"/>
      <c r="AK284" s="173"/>
      <c r="AL284" s="173"/>
      <c r="AM284" s="173"/>
      <c r="AN284" s="173"/>
      <c r="AO284" s="173"/>
      <c r="AP284" s="173"/>
      <c r="AQ284" s="173"/>
      <c r="AR284" s="173"/>
      <c r="AS284" s="172"/>
      <c r="AT284" s="172"/>
      <c r="AU284" s="172"/>
      <c r="AV284" s="172"/>
      <c r="AW284" s="172"/>
      <c r="AX284" s="172"/>
      <c r="AY284" s="172"/>
      <c r="AZ284" s="172"/>
      <c r="BA284" s="172"/>
      <c r="BB284" s="172"/>
      <c r="BC284" s="172"/>
      <c r="BD284" s="172"/>
      <c r="BE284" s="172"/>
      <c r="BF284" s="172"/>
      <c r="BG284" s="172"/>
      <c r="BH284" s="172"/>
      <c r="BI284" s="172"/>
      <c r="BJ284" s="172"/>
      <c r="BK284" s="172"/>
      <c r="BL284" s="172"/>
      <c r="BM284" s="172"/>
      <c r="BN284" s="172"/>
      <c r="BO284" s="172"/>
      <c r="BP284" s="172"/>
      <c r="BQ284" s="172"/>
      <c r="BR284" s="172"/>
      <c r="BS284" s="172"/>
      <c r="BT284" s="172"/>
      <c r="BU284" s="172"/>
      <c r="BV284" s="172"/>
      <c r="BW284" s="172"/>
      <c r="BX284" s="172"/>
      <c r="BY284" s="174"/>
      <c r="BZ284" s="172"/>
      <c r="CA284" s="172"/>
      <c r="CD284" s="194"/>
      <c r="CE284" s="194"/>
      <c r="CF284" s="194"/>
      <c r="CG284" s="194"/>
      <c r="CH284" s="195"/>
      <c r="CI284" s="194"/>
      <c r="CJ284" s="194"/>
      <c r="CK284" s="194"/>
      <c r="CL284" s="196"/>
      <c r="CM284" s="196"/>
      <c r="CN284" s="194"/>
      <c r="CO284" s="197"/>
      <c r="CP284" s="196"/>
      <c r="CQ284" s="196"/>
      <c r="CR284" s="196"/>
      <c r="CS284" s="196"/>
      <c r="CT284" s="196"/>
      <c r="CU284" s="196"/>
      <c r="CV284" s="194"/>
      <c r="CW284" s="194"/>
      <c r="CX284" s="194"/>
      <c r="CY284" s="194"/>
      <c r="CZ284" s="194"/>
      <c r="DA284" s="194"/>
      <c r="DB284" s="194"/>
      <c r="DC284" s="194"/>
      <c r="DD284" s="194"/>
      <c r="DE284" s="194"/>
      <c r="DF284" s="196"/>
      <c r="DG284" s="198"/>
      <c r="DH284" s="194"/>
      <c r="DI284" s="194"/>
    </row>
    <row r="285" spans="1:113" s="24" customFormat="1" hidden="1" x14ac:dyDescent="0.3">
      <c r="A285" s="172"/>
      <c r="B285" s="172"/>
      <c r="C285" s="172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2"/>
      <c r="AT285" s="172"/>
      <c r="AU285" s="172"/>
      <c r="AV285" s="172"/>
      <c r="AW285" s="172"/>
      <c r="AX285" s="172"/>
      <c r="AY285" s="172"/>
      <c r="AZ285" s="172"/>
      <c r="BA285" s="172"/>
      <c r="BB285" s="172"/>
      <c r="BC285" s="172"/>
      <c r="BD285" s="172"/>
      <c r="BE285" s="172"/>
      <c r="BF285" s="172"/>
      <c r="BG285" s="172"/>
      <c r="BH285" s="172"/>
      <c r="BI285" s="172"/>
      <c r="BJ285" s="172"/>
      <c r="BK285" s="172"/>
      <c r="BL285" s="172"/>
      <c r="BM285" s="172"/>
      <c r="BN285" s="172"/>
      <c r="BO285" s="172"/>
      <c r="BP285" s="172"/>
      <c r="BQ285" s="172"/>
      <c r="BR285" s="172"/>
      <c r="BS285" s="172"/>
      <c r="BT285" s="172"/>
      <c r="BU285" s="172"/>
      <c r="BV285" s="172"/>
      <c r="BW285" s="172"/>
      <c r="BX285" s="172"/>
      <c r="BY285" s="174"/>
      <c r="BZ285" s="172"/>
      <c r="CA285" s="172"/>
      <c r="CD285" s="194"/>
      <c r="CE285" s="194"/>
      <c r="CF285" s="194"/>
      <c r="CG285" s="194"/>
      <c r="CH285" s="195"/>
      <c r="CI285" s="194"/>
      <c r="CJ285" s="194"/>
      <c r="CK285" s="194"/>
      <c r="CL285" s="196"/>
      <c r="CM285" s="196"/>
      <c r="CN285" s="194"/>
      <c r="CO285" s="197"/>
      <c r="CP285" s="196"/>
      <c r="CQ285" s="196"/>
      <c r="CR285" s="196"/>
      <c r="CS285" s="196"/>
      <c r="CT285" s="196"/>
      <c r="CU285" s="196"/>
      <c r="CV285" s="194"/>
      <c r="CW285" s="194"/>
      <c r="CX285" s="194"/>
      <c r="CY285" s="194"/>
      <c r="CZ285" s="194"/>
      <c r="DA285" s="194"/>
      <c r="DB285" s="194"/>
      <c r="DC285" s="194"/>
      <c r="DD285" s="194"/>
      <c r="DE285" s="194"/>
      <c r="DF285" s="196"/>
      <c r="DG285" s="198"/>
      <c r="DH285" s="194"/>
      <c r="DI285" s="194"/>
    </row>
    <row r="286" spans="1:113" s="24" customFormat="1" hidden="1" x14ac:dyDescent="0.3">
      <c r="A286" s="172"/>
      <c r="B286" s="172"/>
      <c r="C286" s="172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2"/>
      <c r="AT286" s="172"/>
      <c r="AU286" s="172"/>
      <c r="AV286" s="172"/>
      <c r="AW286" s="172"/>
      <c r="AX286" s="172"/>
      <c r="AY286" s="172"/>
      <c r="AZ286" s="172"/>
      <c r="BA286" s="172"/>
      <c r="BB286" s="172"/>
      <c r="BC286" s="172"/>
      <c r="BD286" s="172"/>
      <c r="BE286" s="172"/>
      <c r="BF286" s="172"/>
      <c r="BG286" s="172"/>
      <c r="BH286" s="172"/>
      <c r="BI286" s="172"/>
      <c r="BJ286" s="172"/>
      <c r="BK286" s="172"/>
      <c r="BL286" s="172"/>
      <c r="BM286" s="172"/>
      <c r="BN286" s="172"/>
      <c r="BO286" s="172"/>
      <c r="BP286" s="172"/>
      <c r="BQ286" s="172"/>
      <c r="BR286" s="172"/>
      <c r="BS286" s="172"/>
      <c r="BT286" s="172"/>
      <c r="BU286" s="172"/>
      <c r="BV286" s="172"/>
      <c r="BW286" s="172"/>
      <c r="BX286" s="172"/>
      <c r="BY286" s="174"/>
      <c r="BZ286" s="172"/>
      <c r="CA286" s="172"/>
      <c r="CD286" s="194"/>
      <c r="CE286" s="194"/>
      <c r="CF286" s="194"/>
      <c r="CG286" s="194"/>
      <c r="CH286" s="195"/>
      <c r="CI286" s="194"/>
      <c r="CJ286" s="194"/>
      <c r="CK286" s="194"/>
      <c r="CL286" s="196"/>
      <c r="CM286" s="196"/>
      <c r="CN286" s="194"/>
      <c r="CO286" s="197"/>
      <c r="CP286" s="196"/>
      <c r="CQ286" s="196"/>
      <c r="CR286" s="196"/>
      <c r="CS286" s="196"/>
      <c r="CT286" s="196"/>
      <c r="CU286" s="196"/>
      <c r="CV286" s="194"/>
      <c r="CW286" s="194"/>
      <c r="CX286" s="194"/>
      <c r="CY286" s="194"/>
      <c r="CZ286" s="194"/>
      <c r="DA286" s="194"/>
      <c r="DB286" s="194"/>
      <c r="DC286" s="194"/>
      <c r="DD286" s="194"/>
      <c r="DE286" s="194"/>
      <c r="DF286" s="196"/>
      <c r="DG286" s="198"/>
      <c r="DH286" s="194"/>
      <c r="DI286" s="194"/>
    </row>
    <row r="287" spans="1:113" s="24" customFormat="1" hidden="1" x14ac:dyDescent="0.3">
      <c r="A287" s="172"/>
      <c r="B287" s="172"/>
      <c r="C287" s="172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  <c r="AG287" s="173"/>
      <c r="AH287" s="173"/>
      <c r="AI287" s="173"/>
      <c r="AJ287" s="173"/>
      <c r="AK287" s="173"/>
      <c r="AL287" s="173"/>
      <c r="AM287" s="173"/>
      <c r="AN287" s="173"/>
      <c r="AO287" s="173"/>
      <c r="AP287" s="173"/>
      <c r="AQ287" s="173"/>
      <c r="AR287" s="173"/>
      <c r="AS287" s="172"/>
      <c r="AT287" s="172"/>
      <c r="AU287" s="172"/>
      <c r="AV287" s="172"/>
      <c r="AW287" s="172"/>
      <c r="AX287" s="172"/>
      <c r="AY287" s="172"/>
      <c r="AZ287" s="172"/>
      <c r="BA287" s="172"/>
      <c r="BB287" s="172"/>
      <c r="BC287" s="172"/>
      <c r="BD287" s="172"/>
      <c r="BE287" s="172"/>
      <c r="BF287" s="172"/>
      <c r="BG287" s="172"/>
      <c r="BH287" s="172"/>
      <c r="BI287" s="172"/>
      <c r="BJ287" s="172"/>
      <c r="BK287" s="172"/>
      <c r="BL287" s="172"/>
      <c r="BM287" s="172"/>
      <c r="BN287" s="172"/>
      <c r="BO287" s="172"/>
      <c r="BP287" s="172"/>
      <c r="BQ287" s="172"/>
      <c r="BR287" s="172"/>
      <c r="BS287" s="172"/>
      <c r="BT287" s="172"/>
      <c r="BU287" s="172"/>
      <c r="BV287" s="172"/>
      <c r="BW287" s="172"/>
      <c r="BX287" s="172"/>
      <c r="BY287" s="174"/>
      <c r="BZ287" s="172"/>
      <c r="CA287" s="172"/>
      <c r="CD287" s="194"/>
      <c r="CE287" s="194"/>
      <c r="CF287" s="194"/>
      <c r="CG287" s="194"/>
      <c r="CH287" s="195"/>
      <c r="CI287" s="194"/>
      <c r="CJ287" s="194"/>
      <c r="CK287" s="194"/>
      <c r="CL287" s="196"/>
      <c r="CM287" s="196"/>
      <c r="CN287" s="194"/>
      <c r="CO287" s="197"/>
      <c r="CP287" s="196"/>
      <c r="CQ287" s="196"/>
      <c r="CR287" s="196"/>
      <c r="CS287" s="196"/>
      <c r="CT287" s="196"/>
      <c r="CU287" s="196"/>
      <c r="CV287" s="194"/>
      <c r="CW287" s="194"/>
      <c r="CX287" s="194"/>
      <c r="CY287" s="194"/>
      <c r="CZ287" s="194"/>
      <c r="DA287" s="194"/>
      <c r="DB287" s="194"/>
      <c r="DC287" s="194"/>
      <c r="DD287" s="194"/>
      <c r="DE287" s="194"/>
      <c r="DF287" s="196"/>
      <c r="DG287" s="198"/>
      <c r="DH287" s="194"/>
      <c r="DI287" s="194"/>
    </row>
    <row r="288" spans="1:113" s="24" customFormat="1" hidden="1" x14ac:dyDescent="0.3">
      <c r="A288" s="172"/>
      <c r="B288" s="172"/>
      <c r="C288" s="172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  <c r="AG288" s="173"/>
      <c r="AH288" s="173"/>
      <c r="AI288" s="173"/>
      <c r="AJ288" s="173"/>
      <c r="AK288" s="173"/>
      <c r="AL288" s="173"/>
      <c r="AM288" s="173"/>
      <c r="AN288" s="173"/>
      <c r="AO288" s="173"/>
      <c r="AP288" s="173"/>
      <c r="AQ288" s="173"/>
      <c r="AR288" s="173"/>
      <c r="AS288" s="172"/>
      <c r="AT288" s="172"/>
      <c r="AU288" s="172"/>
      <c r="AV288" s="172"/>
      <c r="AW288" s="172"/>
      <c r="AX288" s="172"/>
      <c r="AY288" s="172"/>
      <c r="AZ288" s="172"/>
      <c r="BA288" s="172"/>
      <c r="BB288" s="172"/>
      <c r="BC288" s="172"/>
      <c r="BD288" s="172"/>
      <c r="BE288" s="172"/>
      <c r="BF288" s="172"/>
      <c r="BG288" s="172"/>
      <c r="BH288" s="172"/>
      <c r="BI288" s="172"/>
      <c r="BJ288" s="172"/>
      <c r="BK288" s="172"/>
      <c r="BL288" s="172"/>
      <c r="BM288" s="172"/>
      <c r="BN288" s="172"/>
      <c r="BO288" s="172"/>
      <c r="BP288" s="172"/>
      <c r="BQ288" s="172"/>
      <c r="BR288" s="172"/>
      <c r="BS288" s="172"/>
      <c r="BT288" s="172"/>
      <c r="BU288" s="172"/>
      <c r="BV288" s="172"/>
      <c r="BW288" s="172"/>
      <c r="BX288" s="172"/>
      <c r="BY288" s="174"/>
      <c r="BZ288" s="172"/>
      <c r="CA288" s="172"/>
      <c r="CD288" s="194"/>
      <c r="CE288" s="194"/>
      <c r="CF288" s="194"/>
      <c r="CG288" s="194"/>
      <c r="CH288" s="195"/>
      <c r="CI288" s="194"/>
      <c r="CJ288" s="194"/>
      <c r="CK288" s="194"/>
      <c r="CL288" s="196"/>
      <c r="CM288" s="196"/>
      <c r="CN288" s="194"/>
      <c r="CO288" s="197"/>
      <c r="CP288" s="196"/>
      <c r="CQ288" s="196"/>
      <c r="CR288" s="196"/>
      <c r="CS288" s="196"/>
      <c r="CT288" s="196"/>
      <c r="CU288" s="196"/>
      <c r="CV288" s="194"/>
      <c r="CW288" s="194"/>
      <c r="CX288" s="194"/>
      <c r="CY288" s="194"/>
      <c r="CZ288" s="194"/>
      <c r="DA288" s="194"/>
      <c r="DB288" s="194"/>
      <c r="DC288" s="194"/>
      <c r="DD288" s="194"/>
      <c r="DE288" s="194"/>
      <c r="DF288" s="196"/>
      <c r="DG288" s="198"/>
      <c r="DH288" s="194"/>
      <c r="DI288" s="194"/>
    </row>
    <row r="289" spans="1:113" s="24" customFormat="1" hidden="1" x14ac:dyDescent="0.3">
      <c r="A289" s="172"/>
      <c r="B289" s="172"/>
      <c r="C289" s="172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  <c r="AG289" s="173"/>
      <c r="AH289" s="173"/>
      <c r="AI289" s="173"/>
      <c r="AJ289" s="173"/>
      <c r="AK289" s="173"/>
      <c r="AL289" s="173"/>
      <c r="AM289" s="173"/>
      <c r="AN289" s="173"/>
      <c r="AO289" s="173"/>
      <c r="AP289" s="173"/>
      <c r="AQ289" s="173"/>
      <c r="AR289" s="173"/>
      <c r="AS289" s="172"/>
      <c r="AT289" s="172"/>
      <c r="AU289" s="172"/>
      <c r="AV289" s="172"/>
      <c r="AW289" s="172"/>
      <c r="AX289" s="172"/>
      <c r="AY289" s="172"/>
      <c r="AZ289" s="172"/>
      <c r="BA289" s="172"/>
      <c r="BB289" s="172"/>
      <c r="BC289" s="172"/>
      <c r="BD289" s="172"/>
      <c r="BE289" s="172"/>
      <c r="BF289" s="172"/>
      <c r="BG289" s="172"/>
      <c r="BH289" s="172"/>
      <c r="BI289" s="172"/>
      <c r="BJ289" s="172"/>
      <c r="BK289" s="172"/>
      <c r="BL289" s="172"/>
      <c r="BM289" s="172"/>
      <c r="BN289" s="172"/>
      <c r="BO289" s="172"/>
      <c r="BP289" s="172"/>
      <c r="BQ289" s="172"/>
      <c r="BR289" s="172"/>
      <c r="BS289" s="172"/>
      <c r="BT289" s="172"/>
      <c r="BU289" s="172"/>
      <c r="BV289" s="172"/>
      <c r="BW289" s="172"/>
      <c r="BX289" s="172"/>
      <c r="BY289" s="174"/>
      <c r="BZ289" s="172"/>
      <c r="CA289" s="172"/>
      <c r="CD289" s="194"/>
      <c r="CE289" s="194"/>
      <c r="CF289" s="194"/>
      <c r="CG289" s="194"/>
      <c r="CH289" s="195"/>
      <c r="CI289" s="194"/>
      <c r="CJ289" s="194"/>
      <c r="CK289" s="194"/>
      <c r="CL289" s="196"/>
      <c r="CM289" s="196"/>
      <c r="CN289" s="194"/>
      <c r="CO289" s="197"/>
      <c r="CP289" s="196"/>
      <c r="CQ289" s="196"/>
      <c r="CR289" s="196"/>
      <c r="CS289" s="196"/>
      <c r="CT289" s="196"/>
      <c r="CU289" s="196"/>
      <c r="CV289" s="194"/>
      <c r="CW289" s="194"/>
      <c r="CX289" s="194"/>
      <c r="CY289" s="194"/>
      <c r="CZ289" s="194"/>
      <c r="DA289" s="194"/>
      <c r="DB289" s="194"/>
      <c r="DC289" s="194"/>
      <c r="DD289" s="194"/>
      <c r="DE289" s="194"/>
      <c r="DF289" s="196"/>
      <c r="DG289" s="198"/>
      <c r="DH289" s="194"/>
      <c r="DI289" s="194"/>
    </row>
    <row r="290" spans="1:113" s="24" customFormat="1" hidden="1" x14ac:dyDescent="0.3">
      <c r="A290" s="172"/>
      <c r="B290" s="172"/>
      <c r="C290" s="172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  <c r="AG290" s="173"/>
      <c r="AH290" s="173"/>
      <c r="AI290" s="173"/>
      <c r="AJ290" s="173"/>
      <c r="AK290" s="173"/>
      <c r="AL290" s="173"/>
      <c r="AM290" s="173"/>
      <c r="AN290" s="173"/>
      <c r="AO290" s="173"/>
      <c r="AP290" s="173"/>
      <c r="AQ290" s="173"/>
      <c r="AR290" s="173"/>
      <c r="AS290" s="172"/>
      <c r="AT290" s="172"/>
      <c r="AU290" s="172"/>
      <c r="AV290" s="172"/>
      <c r="AW290" s="172"/>
      <c r="AX290" s="172"/>
      <c r="AY290" s="172"/>
      <c r="AZ290" s="172"/>
      <c r="BA290" s="172"/>
      <c r="BB290" s="172"/>
      <c r="BC290" s="172"/>
      <c r="BD290" s="172"/>
      <c r="BE290" s="172"/>
      <c r="BF290" s="172"/>
      <c r="BG290" s="172"/>
      <c r="BH290" s="172"/>
      <c r="BI290" s="172"/>
      <c r="BJ290" s="172"/>
      <c r="BK290" s="172"/>
      <c r="BL290" s="172"/>
      <c r="BM290" s="172"/>
      <c r="BN290" s="172"/>
      <c r="BO290" s="172"/>
      <c r="BP290" s="172"/>
      <c r="BQ290" s="172"/>
      <c r="BR290" s="172"/>
      <c r="BS290" s="172"/>
      <c r="BT290" s="172"/>
      <c r="BU290" s="172"/>
      <c r="BV290" s="172"/>
      <c r="BW290" s="172"/>
      <c r="BX290" s="172"/>
      <c r="BY290" s="174"/>
      <c r="BZ290" s="172"/>
      <c r="CA290" s="172"/>
      <c r="CD290" s="194"/>
      <c r="CE290" s="194"/>
      <c r="CF290" s="194"/>
      <c r="CG290" s="194"/>
      <c r="CH290" s="195"/>
      <c r="CI290" s="194"/>
      <c r="CJ290" s="194"/>
      <c r="CK290" s="194"/>
      <c r="CL290" s="196"/>
      <c r="CM290" s="196"/>
      <c r="CN290" s="194"/>
      <c r="CO290" s="197"/>
      <c r="CP290" s="196"/>
      <c r="CQ290" s="196"/>
      <c r="CR290" s="196"/>
      <c r="CS290" s="196"/>
      <c r="CT290" s="196"/>
      <c r="CU290" s="196"/>
      <c r="CV290" s="194"/>
      <c r="CW290" s="194"/>
      <c r="CX290" s="194"/>
      <c r="CY290" s="194"/>
      <c r="CZ290" s="194"/>
      <c r="DA290" s="194"/>
      <c r="DB290" s="194"/>
      <c r="DC290" s="194"/>
      <c r="DD290" s="194"/>
      <c r="DE290" s="194"/>
      <c r="DF290" s="196"/>
      <c r="DG290" s="198"/>
      <c r="DH290" s="194"/>
      <c r="DI290" s="194"/>
    </row>
    <row r="291" spans="1:113" s="24" customFormat="1" hidden="1" x14ac:dyDescent="0.3">
      <c r="A291" s="172"/>
      <c r="B291" s="172"/>
      <c r="C291" s="172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  <c r="AG291" s="173"/>
      <c r="AH291" s="173"/>
      <c r="AI291" s="173"/>
      <c r="AJ291" s="173"/>
      <c r="AK291" s="173"/>
      <c r="AL291" s="173"/>
      <c r="AM291" s="173"/>
      <c r="AN291" s="173"/>
      <c r="AO291" s="173"/>
      <c r="AP291" s="173"/>
      <c r="AQ291" s="173"/>
      <c r="AR291" s="173"/>
      <c r="AS291" s="172"/>
      <c r="AT291" s="172"/>
      <c r="AU291" s="172"/>
      <c r="AV291" s="172"/>
      <c r="AW291" s="172"/>
      <c r="AX291" s="172"/>
      <c r="AY291" s="172"/>
      <c r="AZ291" s="172"/>
      <c r="BA291" s="172"/>
      <c r="BB291" s="172"/>
      <c r="BC291" s="172"/>
      <c r="BD291" s="172"/>
      <c r="BE291" s="172"/>
      <c r="BF291" s="172"/>
      <c r="BG291" s="172"/>
      <c r="BH291" s="172"/>
      <c r="BI291" s="172"/>
      <c r="BJ291" s="172"/>
      <c r="BK291" s="172"/>
      <c r="BL291" s="172"/>
      <c r="BM291" s="172"/>
      <c r="BN291" s="172"/>
      <c r="BO291" s="172"/>
      <c r="BP291" s="172"/>
      <c r="BQ291" s="172"/>
      <c r="BR291" s="172"/>
      <c r="BS291" s="172"/>
      <c r="BT291" s="172"/>
      <c r="BU291" s="172"/>
      <c r="BV291" s="172"/>
      <c r="BW291" s="172"/>
      <c r="BX291" s="172"/>
      <c r="BY291" s="174"/>
      <c r="BZ291" s="172"/>
      <c r="CA291" s="172"/>
      <c r="CD291" s="194"/>
      <c r="CE291" s="194"/>
      <c r="CF291" s="194"/>
      <c r="CG291" s="194"/>
      <c r="CH291" s="195"/>
      <c r="CI291" s="194"/>
      <c r="CJ291" s="194"/>
      <c r="CK291" s="194"/>
      <c r="CL291" s="196"/>
      <c r="CM291" s="196"/>
      <c r="CN291" s="194"/>
      <c r="CO291" s="197"/>
      <c r="CP291" s="196"/>
      <c r="CQ291" s="196"/>
      <c r="CR291" s="196"/>
      <c r="CS291" s="196"/>
      <c r="CT291" s="196"/>
      <c r="CU291" s="196"/>
      <c r="CV291" s="194"/>
      <c r="CW291" s="194"/>
      <c r="CX291" s="194"/>
      <c r="CY291" s="194"/>
      <c r="CZ291" s="194"/>
      <c r="DA291" s="194"/>
      <c r="DB291" s="194"/>
      <c r="DC291" s="194"/>
      <c r="DD291" s="194"/>
      <c r="DE291" s="194"/>
      <c r="DF291" s="196"/>
      <c r="DG291" s="198"/>
      <c r="DH291" s="194"/>
      <c r="DI291" s="194"/>
    </row>
    <row r="292" spans="1:113" s="24" customFormat="1" hidden="1" x14ac:dyDescent="0.3">
      <c r="A292" s="172"/>
      <c r="B292" s="172"/>
      <c r="C292" s="172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  <c r="AG292" s="173"/>
      <c r="AH292" s="173"/>
      <c r="AI292" s="173"/>
      <c r="AJ292" s="173"/>
      <c r="AK292" s="173"/>
      <c r="AL292" s="173"/>
      <c r="AM292" s="173"/>
      <c r="AN292" s="173"/>
      <c r="AO292" s="173"/>
      <c r="AP292" s="173"/>
      <c r="AQ292" s="173"/>
      <c r="AR292" s="173"/>
      <c r="AS292" s="172"/>
      <c r="AT292" s="172"/>
      <c r="AU292" s="172"/>
      <c r="AV292" s="172"/>
      <c r="AW292" s="172"/>
      <c r="AX292" s="172"/>
      <c r="AY292" s="172"/>
      <c r="AZ292" s="172"/>
      <c r="BA292" s="172"/>
      <c r="BB292" s="172"/>
      <c r="BC292" s="172"/>
      <c r="BD292" s="172"/>
      <c r="BE292" s="172"/>
      <c r="BF292" s="172"/>
      <c r="BG292" s="172"/>
      <c r="BH292" s="172"/>
      <c r="BI292" s="172"/>
      <c r="BJ292" s="172"/>
      <c r="BK292" s="172"/>
      <c r="BL292" s="172"/>
      <c r="BM292" s="172"/>
      <c r="BN292" s="172"/>
      <c r="BO292" s="172"/>
      <c r="BP292" s="172"/>
      <c r="BQ292" s="172"/>
      <c r="BR292" s="172"/>
      <c r="BS292" s="172"/>
      <c r="BT292" s="172"/>
      <c r="BU292" s="172"/>
      <c r="BV292" s="172"/>
      <c r="BW292" s="172"/>
      <c r="BX292" s="172"/>
      <c r="BY292" s="174"/>
      <c r="BZ292" s="172"/>
      <c r="CA292" s="172"/>
      <c r="CD292" s="194"/>
      <c r="CE292" s="194"/>
      <c r="CF292" s="194"/>
      <c r="CG292" s="194"/>
      <c r="CH292" s="195"/>
      <c r="CI292" s="194"/>
      <c r="CJ292" s="194"/>
      <c r="CK292" s="194"/>
      <c r="CL292" s="196"/>
      <c r="CM292" s="196"/>
      <c r="CN292" s="194"/>
      <c r="CO292" s="197"/>
      <c r="CP292" s="196"/>
      <c r="CQ292" s="196"/>
      <c r="CR292" s="196"/>
      <c r="CS292" s="196"/>
      <c r="CT292" s="196"/>
      <c r="CU292" s="196"/>
      <c r="CV292" s="194"/>
      <c r="CW292" s="194"/>
      <c r="CX292" s="194"/>
      <c r="CY292" s="194"/>
      <c r="CZ292" s="194"/>
      <c r="DA292" s="194"/>
      <c r="DB292" s="194"/>
      <c r="DC292" s="194"/>
      <c r="DD292" s="194"/>
      <c r="DE292" s="194"/>
      <c r="DF292" s="196"/>
      <c r="DG292" s="198"/>
      <c r="DH292" s="194"/>
      <c r="DI292" s="194"/>
    </row>
    <row r="293" spans="1:113" s="24" customFormat="1" hidden="1" x14ac:dyDescent="0.3">
      <c r="A293" s="172"/>
      <c r="B293" s="172"/>
      <c r="C293" s="172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  <c r="AG293" s="173"/>
      <c r="AH293" s="173"/>
      <c r="AI293" s="173"/>
      <c r="AJ293" s="173"/>
      <c r="AK293" s="173"/>
      <c r="AL293" s="173"/>
      <c r="AM293" s="173"/>
      <c r="AN293" s="173"/>
      <c r="AO293" s="173"/>
      <c r="AP293" s="173"/>
      <c r="AQ293" s="173"/>
      <c r="AR293" s="173"/>
      <c r="AS293" s="172"/>
      <c r="AT293" s="172"/>
      <c r="AU293" s="172"/>
      <c r="AV293" s="172"/>
      <c r="AW293" s="172"/>
      <c r="AX293" s="172"/>
      <c r="AY293" s="172"/>
      <c r="AZ293" s="172"/>
      <c r="BA293" s="172"/>
      <c r="BB293" s="172"/>
      <c r="BC293" s="172"/>
      <c r="BD293" s="172"/>
      <c r="BE293" s="172"/>
      <c r="BF293" s="172"/>
      <c r="BG293" s="172"/>
      <c r="BH293" s="172"/>
      <c r="BI293" s="172"/>
      <c r="BJ293" s="172"/>
      <c r="BK293" s="172"/>
      <c r="BL293" s="172"/>
      <c r="BM293" s="172"/>
      <c r="BN293" s="172"/>
      <c r="BO293" s="172"/>
      <c r="BP293" s="172"/>
      <c r="BQ293" s="172"/>
      <c r="BR293" s="172"/>
      <c r="BS293" s="172"/>
      <c r="BT293" s="172"/>
      <c r="BU293" s="172"/>
      <c r="BV293" s="172"/>
      <c r="BW293" s="172"/>
      <c r="BX293" s="172"/>
      <c r="BY293" s="174"/>
      <c r="BZ293" s="172"/>
      <c r="CA293" s="172"/>
      <c r="CD293" s="194"/>
      <c r="CE293" s="194"/>
      <c r="CF293" s="194"/>
      <c r="CG293" s="194"/>
      <c r="CH293" s="195"/>
      <c r="CI293" s="194"/>
      <c r="CJ293" s="194"/>
      <c r="CK293" s="194"/>
      <c r="CL293" s="196"/>
      <c r="CM293" s="196"/>
      <c r="CN293" s="194"/>
      <c r="CO293" s="197"/>
      <c r="CP293" s="196"/>
      <c r="CQ293" s="196"/>
      <c r="CR293" s="196"/>
      <c r="CS293" s="196"/>
      <c r="CT293" s="196"/>
      <c r="CU293" s="196"/>
      <c r="CV293" s="194"/>
      <c r="CW293" s="194"/>
      <c r="CX293" s="194"/>
      <c r="CY293" s="194"/>
      <c r="CZ293" s="194"/>
      <c r="DA293" s="194"/>
      <c r="DB293" s="194"/>
      <c r="DC293" s="194"/>
      <c r="DD293" s="194"/>
      <c r="DE293" s="194"/>
      <c r="DF293" s="196"/>
      <c r="DG293" s="198"/>
      <c r="DH293" s="194"/>
      <c r="DI293" s="194"/>
    </row>
    <row r="294" spans="1:113" s="24" customFormat="1" hidden="1" x14ac:dyDescent="0.3">
      <c r="A294" s="172"/>
      <c r="B294" s="172"/>
      <c r="C294" s="172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  <c r="AG294" s="173"/>
      <c r="AH294" s="173"/>
      <c r="AI294" s="173"/>
      <c r="AJ294" s="173"/>
      <c r="AK294" s="173"/>
      <c r="AL294" s="173"/>
      <c r="AM294" s="173"/>
      <c r="AN294" s="173"/>
      <c r="AO294" s="173"/>
      <c r="AP294" s="173"/>
      <c r="AQ294" s="173"/>
      <c r="AR294" s="173"/>
      <c r="AS294" s="172"/>
      <c r="AT294" s="172"/>
      <c r="AU294" s="172"/>
      <c r="AV294" s="172"/>
      <c r="AW294" s="172"/>
      <c r="AX294" s="172"/>
      <c r="AY294" s="172"/>
      <c r="AZ294" s="172"/>
      <c r="BA294" s="172"/>
      <c r="BB294" s="172"/>
      <c r="BC294" s="172"/>
      <c r="BD294" s="172"/>
      <c r="BE294" s="172"/>
      <c r="BF294" s="172"/>
      <c r="BG294" s="172"/>
      <c r="BH294" s="172"/>
      <c r="BI294" s="172"/>
      <c r="BJ294" s="172"/>
      <c r="BK294" s="172"/>
      <c r="BL294" s="172"/>
      <c r="BM294" s="172"/>
      <c r="BN294" s="172"/>
      <c r="BO294" s="172"/>
      <c r="BP294" s="172"/>
      <c r="BQ294" s="172"/>
      <c r="BR294" s="172"/>
      <c r="BS294" s="172"/>
      <c r="BT294" s="172"/>
      <c r="BU294" s="172"/>
      <c r="BV294" s="172"/>
      <c r="BW294" s="172"/>
      <c r="BX294" s="172"/>
      <c r="BY294" s="174"/>
      <c r="BZ294" s="172"/>
      <c r="CA294" s="172"/>
      <c r="CD294" s="194"/>
      <c r="CE294" s="194"/>
      <c r="CF294" s="194"/>
      <c r="CG294" s="194"/>
      <c r="CH294" s="195"/>
      <c r="CI294" s="194"/>
      <c r="CJ294" s="194"/>
      <c r="CK294" s="194"/>
      <c r="CL294" s="196"/>
      <c r="CM294" s="196"/>
      <c r="CN294" s="194"/>
      <c r="CO294" s="197"/>
      <c r="CP294" s="196"/>
      <c r="CQ294" s="196"/>
      <c r="CR294" s="196"/>
      <c r="CS294" s="196"/>
      <c r="CT294" s="196"/>
      <c r="CU294" s="196"/>
      <c r="CV294" s="194"/>
      <c r="CW294" s="194"/>
      <c r="CX294" s="194"/>
      <c r="CY294" s="194"/>
      <c r="CZ294" s="194"/>
      <c r="DA294" s="194"/>
      <c r="DB294" s="194"/>
      <c r="DC294" s="194"/>
      <c r="DD294" s="194"/>
      <c r="DE294" s="194"/>
      <c r="DF294" s="196"/>
      <c r="DG294" s="198"/>
      <c r="DH294" s="194"/>
      <c r="DI294" s="194"/>
    </row>
    <row r="295" spans="1:113" s="24" customFormat="1" hidden="1" x14ac:dyDescent="0.3">
      <c r="A295" s="172"/>
      <c r="B295" s="172"/>
      <c r="C295" s="172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2"/>
      <c r="AT295" s="172"/>
      <c r="AU295" s="172"/>
      <c r="AV295" s="172"/>
      <c r="AW295" s="172"/>
      <c r="AX295" s="172"/>
      <c r="AY295" s="172"/>
      <c r="AZ295" s="172"/>
      <c r="BA295" s="172"/>
      <c r="BB295" s="172"/>
      <c r="BC295" s="172"/>
      <c r="BD295" s="172"/>
      <c r="BE295" s="172"/>
      <c r="BF295" s="172"/>
      <c r="BG295" s="172"/>
      <c r="BH295" s="172"/>
      <c r="BI295" s="172"/>
      <c r="BJ295" s="172"/>
      <c r="BK295" s="172"/>
      <c r="BL295" s="172"/>
      <c r="BM295" s="172"/>
      <c r="BN295" s="172"/>
      <c r="BO295" s="172"/>
      <c r="BP295" s="172"/>
      <c r="BQ295" s="172"/>
      <c r="BR295" s="172"/>
      <c r="BS295" s="172"/>
      <c r="BT295" s="172"/>
      <c r="BU295" s="172"/>
      <c r="BV295" s="172"/>
      <c r="BW295" s="172"/>
      <c r="BX295" s="172"/>
      <c r="BY295" s="174"/>
      <c r="BZ295" s="172"/>
      <c r="CA295" s="172"/>
      <c r="CD295" s="194"/>
      <c r="CE295" s="194"/>
      <c r="CF295" s="194"/>
      <c r="CG295" s="194"/>
      <c r="CH295" s="195"/>
      <c r="CI295" s="194"/>
      <c r="CJ295" s="194"/>
      <c r="CK295" s="194"/>
      <c r="CL295" s="196"/>
      <c r="CM295" s="196"/>
      <c r="CN295" s="194"/>
      <c r="CO295" s="197"/>
      <c r="CP295" s="196"/>
      <c r="CQ295" s="196"/>
      <c r="CR295" s="196"/>
      <c r="CS295" s="196"/>
      <c r="CT295" s="196"/>
      <c r="CU295" s="196"/>
      <c r="CV295" s="194"/>
      <c r="CW295" s="194"/>
      <c r="CX295" s="194"/>
      <c r="CY295" s="194"/>
      <c r="CZ295" s="194"/>
      <c r="DA295" s="194"/>
      <c r="DB295" s="194"/>
      <c r="DC295" s="194"/>
      <c r="DD295" s="194"/>
      <c r="DE295" s="194"/>
      <c r="DF295" s="196"/>
      <c r="DG295" s="198"/>
      <c r="DH295" s="194"/>
      <c r="DI295" s="194"/>
    </row>
    <row r="296" spans="1:113" s="24" customFormat="1" hidden="1" x14ac:dyDescent="0.3">
      <c r="A296" s="172"/>
      <c r="B296" s="172"/>
      <c r="C296" s="172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2"/>
      <c r="AT296" s="172"/>
      <c r="AU296" s="172"/>
      <c r="AV296" s="172"/>
      <c r="AW296" s="172"/>
      <c r="AX296" s="172"/>
      <c r="AY296" s="172"/>
      <c r="AZ296" s="172"/>
      <c r="BA296" s="172"/>
      <c r="BB296" s="172"/>
      <c r="BC296" s="172"/>
      <c r="BD296" s="172"/>
      <c r="BE296" s="172"/>
      <c r="BF296" s="172"/>
      <c r="BG296" s="172"/>
      <c r="BH296" s="172"/>
      <c r="BI296" s="172"/>
      <c r="BJ296" s="172"/>
      <c r="BK296" s="172"/>
      <c r="BL296" s="172"/>
      <c r="BM296" s="172"/>
      <c r="BN296" s="172"/>
      <c r="BO296" s="172"/>
      <c r="BP296" s="172"/>
      <c r="BQ296" s="172"/>
      <c r="BR296" s="172"/>
      <c r="BS296" s="172"/>
      <c r="BT296" s="172"/>
      <c r="BU296" s="172"/>
      <c r="BV296" s="172"/>
      <c r="BW296" s="172"/>
      <c r="BX296" s="172"/>
      <c r="BY296" s="174"/>
      <c r="BZ296" s="172"/>
      <c r="CA296" s="172"/>
      <c r="CD296" s="194"/>
      <c r="CE296" s="194"/>
      <c r="CF296" s="194"/>
      <c r="CG296" s="194"/>
      <c r="CH296" s="195"/>
      <c r="CI296" s="194"/>
      <c r="CJ296" s="194"/>
      <c r="CK296" s="194"/>
      <c r="CL296" s="196"/>
      <c r="CM296" s="196"/>
      <c r="CN296" s="194"/>
      <c r="CO296" s="197"/>
      <c r="CP296" s="196"/>
      <c r="CQ296" s="196"/>
      <c r="CR296" s="196"/>
      <c r="CS296" s="196"/>
      <c r="CT296" s="196"/>
      <c r="CU296" s="196"/>
      <c r="CV296" s="194"/>
      <c r="CW296" s="194"/>
      <c r="CX296" s="194"/>
      <c r="CY296" s="194"/>
      <c r="CZ296" s="194"/>
      <c r="DA296" s="194"/>
      <c r="DB296" s="194"/>
      <c r="DC296" s="194"/>
      <c r="DD296" s="194"/>
      <c r="DE296" s="194"/>
      <c r="DF296" s="196"/>
      <c r="DG296" s="198"/>
      <c r="DH296" s="194"/>
      <c r="DI296" s="194"/>
    </row>
    <row r="297" spans="1:113" s="24" customFormat="1" hidden="1" x14ac:dyDescent="0.3">
      <c r="A297" s="172"/>
      <c r="B297" s="172"/>
      <c r="C297" s="172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  <c r="AG297" s="173"/>
      <c r="AH297" s="173"/>
      <c r="AI297" s="173"/>
      <c r="AJ297" s="173"/>
      <c r="AK297" s="173"/>
      <c r="AL297" s="173"/>
      <c r="AM297" s="173"/>
      <c r="AN297" s="173"/>
      <c r="AO297" s="173"/>
      <c r="AP297" s="173"/>
      <c r="AQ297" s="173"/>
      <c r="AR297" s="173"/>
      <c r="AS297" s="172"/>
      <c r="AT297" s="172"/>
      <c r="AU297" s="172"/>
      <c r="AV297" s="172"/>
      <c r="AW297" s="172"/>
      <c r="AX297" s="172"/>
      <c r="AY297" s="172"/>
      <c r="AZ297" s="172"/>
      <c r="BA297" s="172"/>
      <c r="BB297" s="172"/>
      <c r="BC297" s="172"/>
      <c r="BD297" s="172"/>
      <c r="BE297" s="172"/>
      <c r="BF297" s="172"/>
      <c r="BG297" s="172"/>
      <c r="BH297" s="172"/>
      <c r="BI297" s="172"/>
      <c r="BJ297" s="172"/>
      <c r="BK297" s="172"/>
      <c r="BL297" s="172"/>
      <c r="BM297" s="172"/>
      <c r="BN297" s="172"/>
      <c r="BO297" s="172"/>
      <c r="BP297" s="172"/>
      <c r="BQ297" s="172"/>
      <c r="BR297" s="172"/>
      <c r="BS297" s="172"/>
      <c r="BT297" s="172"/>
      <c r="BU297" s="172"/>
      <c r="BV297" s="172"/>
      <c r="BW297" s="172"/>
      <c r="BX297" s="172"/>
      <c r="BY297" s="174"/>
      <c r="BZ297" s="172"/>
      <c r="CA297" s="172"/>
      <c r="CD297" s="194"/>
      <c r="CE297" s="194"/>
      <c r="CF297" s="194"/>
      <c r="CG297" s="194"/>
      <c r="CH297" s="195"/>
      <c r="CI297" s="194"/>
      <c r="CJ297" s="194"/>
      <c r="CK297" s="194"/>
      <c r="CL297" s="196"/>
      <c r="CM297" s="196"/>
      <c r="CN297" s="194"/>
      <c r="CO297" s="197"/>
      <c r="CP297" s="196"/>
      <c r="CQ297" s="196"/>
      <c r="CR297" s="196"/>
      <c r="CS297" s="196"/>
      <c r="CT297" s="196"/>
      <c r="CU297" s="196"/>
      <c r="CV297" s="194"/>
      <c r="CW297" s="194"/>
      <c r="CX297" s="194"/>
      <c r="CY297" s="194"/>
      <c r="CZ297" s="194"/>
      <c r="DA297" s="194"/>
      <c r="DB297" s="194"/>
      <c r="DC297" s="194"/>
      <c r="DD297" s="194"/>
      <c r="DE297" s="194"/>
      <c r="DF297" s="196"/>
      <c r="DG297" s="198"/>
      <c r="DH297" s="194"/>
      <c r="DI297" s="194"/>
    </row>
    <row r="298" spans="1:113" s="24" customFormat="1" hidden="1" x14ac:dyDescent="0.3">
      <c r="A298" s="172"/>
      <c r="B298" s="172"/>
      <c r="C298" s="172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  <c r="AG298" s="173"/>
      <c r="AH298" s="173"/>
      <c r="AI298" s="173"/>
      <c r="AJ298" s="173"/>
      <c r="AK298" s="173"/>
      <c r="AL298" s="173"/>
      <c r="AM298" s="173"/>
      <c r="AN298" s="173"/>
      <c r="AO298" s="173"/>
      <c r="AP298" s="173"/>
      <c r="AQ298" s="173"/>
      <c r="AR298" s="173"/>
      <c r="AS298" s="172"/>
      <c r="AT298" s="172"/>
      <c r="AU298" s="172"/>
      <c r="AV298" s="172"/>
      <c r="AW298" s="172"/>
      <c r="AX298" s="172"/>
      <c r="AY298" s="172"/>
      <c r="AZ298" s="172"/>
      <c r="BA298" s="172"/>
      <c r="BB298" s="172"/>
      <c r="BC298" s="172"/>
      <c r="BD298" s="172"/>
      <c r="BE298" s="172"/>
      <c r="BF298" s="172"/>
      <c r="BG298" s="172"/>
      <c r="BH298" s="172"/>
      <c r="BI298" s="172"/>
      <c r="BJ298" s="172"/>
      <c r="BK298" s="172"/>
      <c r="BL298" s="172"/>
      <c r="BM298" s="172"/>
      <c r="BN298" s="172"/>
      <c r="BO298" s="172"/>
      <c r="BP298" s="172"/>
      <c r="BQ298" s="172"/>
      <c r="BR298" s="172"/>
      <c r="BS298" s="172"/>
      <c r="BT298" s="172"/>
      <c r="BU298" s="172"/>
      <c r="BV298" s="172"/>
      <c r="BW298" s="172"/>
      <c r="BX298" s="172"/>
      <c r="BY298" s="174"/>
      <c r="BZ298" s="172"/>
      <c r="CA298" s="172"/>
      <c r="CD298" s="194"/>
      <c r="CE298" s="194"/>
      <c r="CF298" s="194"/>
      <c r="CG298" s="194"/>
      <c r="CH298" s="195"/>
      <c r="CI298" s="194"/>
      <c r="CJ298" s="194"/>
      <c r="CK298" s="194"/>
      <c r="CL298" s="196"/>
      <c r="CM298" s="196"/>
      <c r="CN298" s="194"/>
      <c r="CO298" s="197"/>
      <c r="CP298" s="196"/>
      <c r="CQ298" s="196"/>
      <c r="CR298" s="196"/>
      <c r="CS298" s="196"/>
      <c r="CT298" s="196"/>
      <c r="CU298" s="196"/>
      <c r="CV298" s="194"/>
      <c r="CW298" s="194"/>
      <c r="CX298" s="194"/>
      <c r="CY298" s="194"/>
      <c r="CZ298" s="194"/>
      <c r="DA298" s="194"/>
      <c r="DB298" s="194"/>
      <c r="DC298" s="194"/>
      <c r="DD298" s="194"/>
      <c r="DE298" s="194"/>
      <c r="DF298" s="196"/>
      <c r="DG298" s="198"/>
      <c r="DH298" s="194"/>
      <c r="DI298" s="194"/>
    </row>
    <row r="299" spans="1:113" s="24" customFormat="1" hidden="1" x14ac:dyDescent="0.3">
      <c r="A299" s="172"/>
      <c r="B299" s="172"/>
      <c r="C299" s="172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  <c r="AG299" s="173"/>
      <c r="AH299" s="173"/>
      <c r="AI299" s="173"/>
      <c r="AJ299" s="173"/>
      <c r="AK299" s="173"/>
      <c r="AL299" s="173"/>
      <c r="AM299" s="173"/>
      <c r="AN299" s="173"/>
      <c r="AO299" s="173"/>
      <c r="AP299" s="173"/>
      <c r="AQ299" s="173"/>
      <c r="AR299" s="173"/>
      <c r="AS299" s="172"/>
      <c r="AT299" s="172"/>
      <c r="AU299" s="172"/>
      <c r="AV299" s="172"/>
      <c r="AW299" s="172"/>
      <c r="AX299" s="172"/>
      <c r="AY299" s="172"/>
      <c r="AZ299" s="172"/>
      <c r="BA299" s="172"/>
      <c r="BB299" s="172"/>
      <c r="BC299" s="172"/>
      <c r="BD299" s="172"/>
      <c r="BE299" s="172"/>
      <c r="BF299" s="172"/>
      <c r="BG299" s="172"/>
      <c r="BH299" s="172"/>
      <c r="BI299" s="172"/>
      <c r="BJ299" s="172"/>
      <c r="BK299" s="172"/>
      <c r="BL299" s="172"/>
      <c r="BM299" s="172"/>
      <c r="BN299" s="172"/>
      <c r="BO299" s="172"/>
      <c r="BP299" s="172"/>
      <c r="BQ299" s="172"/>
      <c r="BR299" s="172"/>
      <c r="BS299" s="172"/>
      <c r="BT299" s="172"/>
      <c r="BU299" s="172"/>
      <c r="BV299" s="172"/>
      <c r="BW299" s="172"/>
      <c r="BX299" s="172"/>
      <c r="BY299" s="174"/>
      <c r="BZ299" s="172"/>
      <c r="CA299" s="172"/>
      <c r="CD299" s="194"/>
      <c r="CE299" s="194"/>
      <c r="CF299" s="194"/>
      <c r="CG299" s="194"/>
      <c r="CH299" s="195"/>
      <c r="CI299" s="194"/>
      <c r="CJ299" s="194"/>
      <c r="CK299" s="194"/>
      <c r="CL299" s="196"/>
      <c r="CM299" s="196"/>
      <c r="CN299" s="194"/>
      <c r="CO299" s="197"/>
      <c r="CP299" s="196"/>
      <c r="CQ299" s="196"/>
      <c r="CR299" s="196"/>
      <c r="CS299" s="196"/>
      <c r="CT299" s="196"/>
      <c r="CU299" s="196"/>
      <c r="CV299" s="194"/>
      <c r="CW299" s="194"/>
      <c r="CX299" s="194"/>
      <c r="CY299" s="194"/>
      <c r="CZ299" s="194"/>
      <c r="DA299" s="194"/>
      <c r="DB299" s="194"/>
      <c r="DC299" s="194"/>
      <c r="DD299" s="194"/>
      <c r="DE299" s="194"/>
      <c r="DF299" s="196"/>
      <c r="DG299" s="198"/>
      <c r="DH299" s="194"/>
      <c r="DI299" s="194"/>
    </row>
    <row r="300" spans="1:113" s="24" customFormat="1" hidden="1" x14ac:dyDescent="0.3">
      <c r="A300" s="172"/>
      <c r="B300" s="172"/>
      <c r="C300" s="172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  <c r="AG300" s="173"/>
      <c r="AH300" s="173"/>
      <c r="AI300" s="173"/>
      <c r="AJ300" s="173"/>
      <c r="AK300" s="173"/>
      <c r="AL300" s="173"/>
      <c r="AM300" s="173"/>
      <c r="AN300" s="173"/>
      <c r="AO300" s="173"/>
      <c r="AP300" s="173"/>
      <c r="AQ300" s="173"/>
      <c r="AR300" s="173"/>
      <c r="AS300" s="172"/>
      <c r="AT300" s="172"/>
      <c r="AU300" s="172"/>
      <c r="AV300" s="172"/>
      <c r="AW300" s="172"/>
      <c r="AX300" s="172"/>
      <c r="AY300" s="172"/>
      <c r="AZ300" s="172"/>
      <c r="BA300" s="172"/>
      <c r="BB300" s="172"/>
      <c r="BC300" s="172"/>
      <c r="BD300" s="172"/>
      <c r="BE300" s="172"/>
      <c r="BF300" s="172"/>
      <c r="BG300" s="172"/>
      <c r="BH300" s="172"/>
      <c r="BI300" s="172"/>
      <c r="BJ300" s="172"/>
      <c r="BK300" s="172"/>
      <c r="BL300" s="172"/>
      <c r="BM300" s="172"/>
      <c r="BN300" s="172"/>
      <c r="BO300" s="172"/>
      <c r="BP300" s="172"/>
      <c r="BQ300" s="172"/>
      <c r="BR300" s="172"/>
      <c r="BS300" s="172"/>
      <c r="BT300" s="172"/>
      <c r="BU300" s="172"/>
      <c r="BV300" s="172"/>
      <c r="BW300" s="172"/>
      <c r="BX300" s="172"/>
      <c r="BY300" s="174"/>
      <c r="BZ300" s="172"/>
      <c r="CA300" s="172"/>
      <c r="CD300" s="194"/>
      <c r="CE300" s="194"/>
      <c r="CF300" s="194"/>
      <c r="CG300" s="194"/>
      <c r="CH300" s="195"/>
      <c r="CI300" s="194"/>
      <c r="CJ300" s="194"/>
      <c r="CK300" s="194"/>
      <c r="CL300" s="196"/>
      <c r="CM300" s="196"/>
      <c r="CN300" s="194"/>
      <c r="CO300" s="197"/>
      <c r="CP300" s="196"/>
      <c r="CQ300" s="196"/>
      <c r="CR300" s="196"/>
      <c r="CS300" s="196"/>
      <c r="CT300" s="196"/>
      <c r="CU300" s="196"/>
      <c r="CV300" s="194"/>
      <c r="CW300" s="194"/>
      <c r="CX300" s="194"/>
      <c r="CY300" s="194"/>
      <c r="CZ300" s="194"/>
      <c r="DA300" s="194"/>
      <c r="DB300" s="194"/>
      <c r="DC300" s="194"/>
      <c r="DD300" s="194"/>
      <c r="DE300" s="194"/>
      <c r="DF300" s="196"/>
      <c r="DG300" s="198"/>
      <c r="DH300" s="194"/>
      <c r="DI300" s="194"/>
    </row>
    <row r="301" spans="1:113" s="24" customFormat="1" hidden="1" x14ac:dyDescent="0.3">
      <c r="A301" s="172"/>
      <c r="B301" s="172"/>
      <c r="C301" s="172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  <c r="AG301" s="173"/>
      <c r="AH301" s="173"/>
      <c r="AI301" s="173"/>
      <c r="AJ301" s="173"/>
      <c r="AK301" s="173"/>
      <c r="AL301" s="173"/>
      <c r="AM301" s="173"/>
      <c r="AN301" s="173"/>
      <c r="AO301" s="173"/>
      <c r="AP301" s="173"/>
      <c r="AQ301" s="173"/>
      <c r="AR301" s="173"/>
      <c r="AS301" s="172"/>
      <c r="AT301" s="172"/>
      <c r="AU301" s="172"/>
      <c r="AV301" s="172"/>
      <c r="AW301" s="172"/>
      <c r="AX301" s="172"/>
      <c r="AY301" s="172"/>
      <c r="AZ301" s="172"/>
      <c r="BA301" s="172"/>
      <c r="BB301" s="172"/>
      <c r="BC301" s="172"/>
      <c r="BD301" s="172"/>
      <c r="BE301" s="172"/>
      <c r="BF301" s="172"/>
      <c r="BG301" s="172"/>
      <c r="BH301" s="172"/>
      <c r="BI301" s="172"/>
      <c r="BJ301" s="172"/>
      <c r="BK301" s="172"/>
      <c r="BL301" s="172"/>
      <c r="BM301" s="172"/>
      <c r="BN301" s="172"/>
      <c r="BO301" s="172"/>
      <c r="BP301" s="172"/>
      <c r="BQ301" s="172"/>
      <c r="BR301" s="172"/>
      <c r="BS301" s="172"/>
      <c r="BT301" s="172"/>
      <c r="BU301" s="172"/>
      <c r="BV301" s="172"/>
      <c r="BW301" s="172"/>
      <c r="BX301" s="172"/>
      <c r="BY301" s="174"/>
      <c r="BZ301" s="172"/>
      <c r="CA301" s="172"/>
      <c r="CD301" s="194"/>
      <c r="CE301" s="194"/>
      <c r="CF301" s="194"/>
      <c r="CG301" s="194"/>
      <c r="CH301" s="195"/>
      <c r="CI301" s="194"/>
      <c r="CJ301" s="194"/>
      <c r="CK301" s="194"/>
      <c r="CL301" s="196"/>
      <c r="CM301" s="196"/>
      <c r="CN301" s="194"/>
      <c r="CO301" s="197"/>
      <c r="CP301" s="196"/>
      <c r="CQ301" s="196"/>
      <c r="CR301" s="196"/>
      <c r="CS301" s="196"/>
      <c r="CT301" s="196"/>
      <c r="CU301" s="196"/>
      <c r="CV301" s="194"/>
      <c r="CW301" s="194"/>
      <c r="CX301" s="194"/>
      <c r="CY301" s="194"/>
      <c r="CZ301" s="194"/>
      <c r="DA301" s="194"/>
      <c r="DB301" s="194"/>
      <c r="DC301" s="194"/>
      <c r="DD301" s="194"/>
      <c r="DE301" s="194"/>
      <c r="DF301" s="196"/>
      <c r="DG301" s="198"/>
      <c r="DH301" s="194"/>
      <c r="DI301" s="194"/>
    </row>
    <row r="302" spans="1:113" s="24" customFormat="1" hidden="1" x14ac:dyDescent="0.3">
      <c r="A302" s="172"/>
      <c r="B302" s="172"/>
      <c r="C302" s="172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  <c r="AG302" s="173"/>
      <c r="AH302" s="173"/>
      <c r="AI302" s="173"/>
      <c r="AJ302" s="173"/>
      <c r="AK302" s="173"/>
      <c r="AL302" s="173"/>
      <c r="AM302" s="173"/>
      <c r="AN302" s="173"/>
      <c r="AO302" s="173"/>
      <c r="AP302" s="173"/>
      <c r="AQ302" s="173"/>
      <c r="AR302" s="173"/>
      <c r="AS302" s="172"/>
      <c r="AT302" s="172"/>
      <c r="AU302" s="172"/>
      <c r="AV302" s="172"/>
      <c r="AW302" s="172"/>
      <c r="AX302" s="172"/>
      <c r="AY302" s="172"/>
      <c r="AZ302" s="172"/>
      <c r="BA302" s="172"/>
      <c r="BB302" s="172"/>
      <c r="BC302" s="172"/>
      <c r="BD302" s="172"/>
      <c r="BE302" s="172"/>
      <c r="BF302" s="172"/>
      <c r="BG302" s="172"/>
      <c r="BH302" s="172"/>
      <c r="BI302" s="172"/>
      <c r="BJ302" s="172"/>
      <c r="BK302" s="172"/>
      <c r="BL302" s="172"/>
      <c r="BM302" s="172"/>
      <c r="BN302" s="172"/>
      <c r="BO302" s="172"/>
      <c r="BP302" s="172"/>
      <c r="BQ302" s="172"/>
      <c r="BR302" s="172"/>
      <c r="BS302" s="172"/>
      <c r="BT302" s="172"/>
      <c r="BU302" s="172"/>
      <c r="BV302" s="172"/>
      <c r="BW302" s="172"/>
      <c r="BX302" s="172"/>
      <c r="BY302" s="174"/>
      <c r="BZ302" s="172"/>
      <c r="CA302" s="172"/>
      <c r="CD302" s="194"/>
      <c r="CE302" s="194"/>
      <c r="CF302" s="194"/>
      <c r="CG302" s="194"/>
      <c r="CH302" s="195"/>
      <c r="CI302" s="194"/>
      <c r="CJ302" s="194"/>
      <c r="CK302" s="194"/>
      <c r="CL302" s="196"/>
      <c r="CM302" s="196"/>
      <c r="CN302" s="194"/>
      <c r="CO302" s="197"/>
      <c r="CP302" s="196"/>
      <c r="CQ302" s="196"/>
      <c r="CR302" s="196"/>
      <c r="CS302" s="196"/>
      <c r="CT302" s="196"/>
      <c r="CU302" s="196"/>
      <c r="CV302" s="194"/>
      <c r="CW302" s="194"/>
      <c r="CX302" s="194"/>
      <c r="CY302" s="194"/>
      <c r="CZ302" s="194"/>
      <c r="DA302" s="194"/>
      <c r="DB302" s="194"/>
      <c r="DC302" s="194"/>
      <c r="DD302" s="194"/>
      <c r="DE302" s="194"/>
      <c r="DF302" s="196"/>
      <c r="DG302" s="198"/>
      <c r="DH302" s="194"/>
      <c r="DI302" s="194"/>
    </row>
    <row r="303" spans="1:113" s="24" customFormat="1" hidden="1" x14ac:dyDescent="0.3">
      <c r="A303" s="172"/>
      <c r="B303" s="172"/>
      <c r="C303" s="172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2"/>
      <c r="AT303" s="172"/>
      <c r="AU303" s="172"/>
      <c r="AV303" s="172"/>
      <c r="AW303" s="172"/>
      <c r="AX303" s="172"/>
      <c r="AY303" s="172"/>
      <c r="AZ303" s="172"/>
      <c r="BA303" s="172"/>
      <c r="BB303" s="172"/>
      <c r="BC303" s="172"/>
      <c r="BD303" s="172"/>
      <c r="BE303" s="172"/>
      <c r="BF303" s="172"/>
      <c r="BG303" s="172"/>
      <c r="BH303" s="172"/>
      <c r="BI303" s="172"/>
      <c r="BJ303" s="172"/>
      <c r="BK303" s="172"/>
      <c r="BL303" s="172"/>
      <c r="BM303" s="172"/>
      <c r="BN303" s="172"/>
      <c r="BO303" s="172"/>
      <c r="BP303" s="172"/>
      <c r="BQ303" s="172"/>
      <c r="BR303" s="172"/>
      <c r="BS303" s="172"/>
      <c r="BT303" s="172"/>
      <c r="BU303" s="172"/>
      <c r="BV303" s="172"/>
      <c r="BW303" s="172"/>
      <c r="BX303" s="172"/>
      <c r="BY303" s="174"/>
      <c r="BZ303" s="172"/>
      <c r="CA303" s="172"/>
      <c r="CD303" s="194"/>
      <c r="CE303" s="194"/>
      <c r="CF303" s="194"/>
      <c r="CG303" s="194"/>
      <c r="CH303" s="195"/>
      <c r="CI303" s="194"/>
      <c r="CJ303" s="194"/>
      <c r="CK303" s="194"/>
      <c r="CL303" s="196"/>
      <c r="CM303" s="196"/>
      <c r="CN303" s="194"/>
      <c r="CO303" s="197"/>
      <c r="CP303" s="196"/>
      <c r="CQ303" s="196"/>
      <c r="CR303" s="196"/>
      <c r="CS303" s="196"/>
      <c r="CT303" s="196"/>
      <c r="CU303" s="196"/>
      <c r="CV303" s="194"/>
      <c r="CW303" s="194"/>
      <c r="CX303" s="194"/>
      <c r="CY303" s="194"/>
      <c r="CZ303" s="194"/>
      <c r="DA303" s="194"/>
      <c r="DB303" s="194"/>
      <c r="DC303" s="194"/>
      <c r="DD303" s="194"/>
      <c r="DE303" s="194"/>
      <c r="DF303" s="196"/>
      <c r="DG303" s="198"/>
      <c r="DH303" s="194"/>
      <c r="DI303" s="194"/>
    </row>
    <row r="304" spans="1:113" s="24" customFormat="1" hidden="1" x14ac:dyDescent="0.3">
      <c r="A304" s="172"/>
      <c r="B304" s="172"/>
      <c r="C304" s="172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2"/>
      <c r="AT304" s="172"/>
      <c r="AU304" s="172"/>
      <c r="AV304" s="172"/>
      <c r="AW304" s="172"/>
      <c r="AX304" s="172"/>
      <c r="AY304" s="172"/>
      <c r="AZ304" s="172"/>
      <c r="BA304" s="172"/>
      <c r="BB304" s="172"/>
      <c r="BC304" s="172"/>
      <c r="BD304" s="172"/>
      <c r="BE304" s="172"/>
      <c r="BF304" s="172"/>
      <c r="BG304" s="172"/>
      <c r="BH304" s="172"/>
      <c r="BI304" s="172"/>
      <c r="BJ304" s="172"/>
      <c r="BK304" s="172"/>
      <c r="BL304" s="172"/>
      <c r="BM304" s="172"/>
      <c r="BN304" s="172"/>
      <c r="BO304" s="172"/>
      <c r="BP304" s="172"/>
      <c r="BQ304" s="172"/>
      <c r="BR304" s="172"/>
      <c r="BS304" s="172"/>
      <c r="BT304" s="172"/>
      <c r="BU304" s="172"/>
      <c r="BV304" s="172"/>
      <c r="BW304" s="172"/>
      <c r="BX304" s="172"/>
      <c r="BY304" s="174"/>
      <c r="BZ304" s="172"/>
      <c r="CA304" s="172"/>
      <c r="CD304" s="194"/>
      <c r="CE304" s="194"/>
      <c r="CF304" s="194"/>
      <c r="CG304" s="194"/>
      <c r="CH304" s="195"/>
      <c r="CI304" s="194"/>
      <c r="CJ304" s="194"/>
      <c r="CK304" s="194"/>
      <c r="CL304" s="196"/>
      <c r="CM304" s="196"/>
      <c r="CN304" s="194"/>
      <c r="CO304" s="197"/>
      <c r="CP304" s="196"/>
      <c r="CQ304" s="196"/>
      <c r="CR304" s="196"/>
      <c r="CS304" s="196"/>
      <c r="CT304" s="196"/>
      <c r="CU304" s="196"/>
      <c r="CV304" s="194"/>
      <c r="CW304" s="194"/>
      <c r="CX304" s="194"/>
      <c r="CY304" s="194"/>
      <c r="CZ304" s="194"/>
      <c r="DA304" s="194"/>
      <c r="DB304" s="194"/>
      <c r="DC304" s="194"/>
      <c r="DD304" s="194"/>
      <c r="DE304" s="194"/>
      <c r="DF304" s="196"/>
      <c r="DG304" s="198"/>
      <c r="DH304" s="194"/>
      <c r="DI304" s="194"/>
    </row>
    <row r="305" spans="1:113" s="24" customFormat="1" hidden="1" x14ac:dyDescent="0.3">
      <c r="A305" s="172"/>
      <c r="B305" s="172"/>
      <c r="C305" s="172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  <c r="AG305" s="173"/>
      <c r="AH305" s="173"/>
      <c r="AI305" s="173"/>
      <c r="AJ305" s="173"/>
      <c r="AK305" s="173"/>
      <c r="AL305" s="173"/>
      <c r="AM305" s="173"/>
      <c r="AN305" s="173"/>
      <c r="AO305" s="173"/>
      <c r="AP305" s="173"/>
      <c r="AQ305" s="173"/>
      <c r="AR305" s="173"/>
      <c r="AS305" s="172"/>
      <c r="AT305" s="172"/>
      <c r="AU305" s="172"/>
      <c r="AV305" s="172"/>
      <c r="AW305" s="172"/>
      <c r="AX305" s="172"/>
      <c r="AY305" s="172"/>
      <c r="AZ305" s="172"/>
      <c r="BA305" s="172"/>
      <c r="BB305" s="172"/>
      <c r="BC305" s="172"/>
      <c r="BD305" s="172"/>
      <c r="BE305" s="172"/>
      <c r="BF305" s="172"/>
      <c r="BG305" s="172"/>
      <c r="BH305" s="172"/>
      <c r="BI305" s="172"/>
      <c r="BJ305" s="172"/>
      <c r="BK305" s="172"/>
      <c r="BL305" s="172"/>
      <c r="BM305" s="172"/>
      <c r="BN305" s="172"/>
      <c r="BO305" s="172"/>
      <c r="BP305" s="172"/>
      <c r="BQ305" s="172"/>
      <c r="BR305" s="172"/>
      <c r="BS305" s="172"/>
      <c r="BT305" s="172"/>
      <c r="BU305" s="172"/>
      <c r="BV305" s="172"/>
      <c r="BW305" s="172"/>
      <c r="BX305" s="172"/>
      <c r="BY305" s="174"/>
      <c r="BZ305" s="172"/>
      <c r="CA305" s="172"/>
      <c r="CD305" s="194"/>
      <c r="CE305" s="194"/>
      <c r="CF305" s="194"/>
      <c r="CG305" s="194"/>
      <c r="CH305" s="195"/>
      <c r="CI305" s="194"/>
      <c r="CJ305" s="194"/>
      <c r="CK305" s="194"/>
      <c r="CL305" s="196"/>
      <c r="CM305" s="196"/>
      <c r="CN305" s="194"/>
      <c r="CO305" s="197"/>
      <c r="CP305" s="196"/>
      <c r="CQ305" s="196"/>
      <c r="CR305" s="196"/>
      <c r="CS305" s="196"/>
      <c r="CT305" s="196"/>
      <c r="CU305" s="196"/>
      <c r="CV305" s="194"/>
      <c r="CW305" s="194"/>
      <c r="CX305" s="194"/>
      <c r="CY305" s="194"/>
      <c r="CZ305" s="194"/>
      <c r="DA305" s="194"/>
      <c r="DB305" s="194"/>
      <c r="DC305" s="194"/>
      <c r="DD305" s="194"/>
      <c r="DE305" s="194"/>
      <c r="DF305" s="196"/>
      <c r="DG305" s="198"/>
      <c r="DH305" s="194"/>
      <c r="DI305" s="194"/>
    </row>
    <row r="306" spans="1:113" s="24" customFormat="1" hidden="1" x14ac:dyDescent="0.3">
      <c r="A306" s="172"/>
      <c r="B306" s="172"/>
      <c r="C306" s="172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  <c r="AG306" s="173"/>
      <c r="AH306" s="173"/>
      <c r="AI306" s="173"/>
      <c r="AJ306" s="173"/>
      <c r="AK306" s="173"/>
      <c r="AL306" s="173"/>
      <c r="AM306" s="173"/>
      <c r="AN306" s="173"/>
      <c r="AO306" s="173"/>
      <c r="AP306" s="173"/>
      <c r="AQ306" s="173"/>
      <c r="AR306" s="173"/>
      <c r="AS306" s="172"/>
      <c r="AT306" s="172"/>
      <c r="AU306" s="172"/>
      <c r="AV306" s="172"/>
      <c r="AW306" s="172"/>
      <c r="AX306" s="172"/>
      <c r="AY306" s="172"/>
      <c r="AZ306" s="172"/>
      <c r="BA306" s="172"/>
      <c r="BB306" s="172"/>
      <c r="BC306" s="172"/>
      <c r="BD306" s="172"/>
      <c r="BE306" s="172"/>
      <c r="BF306" s="172"/>
      <c r="BG306" s="172"/>
      <c r="BH306" s="172"/>
      <c r="BI306" s="172"/>
      <c r="BJ306" s="172"/>
      <c r="BK306" s="172"/>
      <c r="BL306" s="172"/>
      <c r="BM306" s="172"/>
      <c r="BN306" s="172"/>
      <c r="BO306" s="172"/>
      <c r="BP306" s="172"/>
      <c r="BQ306" s="172"/>
      <c r="BR306" s="172"/>
      <c r="BS306" s="172"/>
      <c r="BT306" s="172"/>
      <c r="BU306" s="172"/>
      <c r="BV306" s="172"/>
      <c r="BW306" s="172"/>
      <c r="BX306" s="172"/>
      <c r="BY306" s="174"/>
      <c r="BZ306" s="172"/>
      <c r="CA306" s="172"/>
      <c r="CD306" s="194"/>
      <c r="CE306" s="194"/>
      <c r="CF306" s="194"/>
      <c r="CG306" s="194"/>
      <c r="CH306" s="195"/>
      <c r="CI306" s="194"/>
      <c r="CJ306" s="194"/>
      <c r="CK306" s="194"/>
      <c r="CL306" s="196"/>
      <c r="CM306" s="196"/>
      <c r="CN306" s="194"/>
      <c r="CO306" s="197"/>
      <c r="CP306" s="196"/>
      <c r="CQ306" s="196"/>
      <c r="CR306" s="196"/>
      <c r="CS306" s="196"/>
      <c r="CT306" s="196"/>
      <c r="CU306" s="196"/>
      <c r="CV306" s="194"/>
      <c r="CW306" s="194"/>
      <c r="CX306" s="194"/>
      <c r="CY306" s="194"/>
      <c r="CZ306" s="194"/>
      <c r="DA306" s="194"/>
      <c r="DB306" s="194"/>
      <c r="DC306" s="194"/>
      <c r="DD306" s="194"/>
      <c r="DE306" s="194"/>
      <c r="DF306" s="196"/>
      <c r="DG306" s="198"/>
      <c r="DH306" s="194"/>
      <c r="DI306" s="194"/>
    </row>
    <row r="307" spans="1:113" s="24" customFormat="1" hidden="1" x14ac:dyDescent="0.3">
      <c r="A307" s="172"/>
      <c r="B307" s="172"/>
      <c r="C307" s="172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  <c r="AG307" s="173"/>
      <c r="AH307" s="173"/>
      <c r="AI307" s="173"/>
      <c r="AJ307" s="173"/>
      <c r="AK307" s="173"/>
      <c r="AL307" s="173"/>
      <c r="AM307" s="173"/>
      <c r="AN307" s="173"/>
      <c r="AO307" s="173"/>
      <c r="AP307" s="173"/>
      <c r="AQ307" s="173"/>
      <c r="AR307" s="173"/>
      <c r="AS307" s="172"/>
      <c r="AT307" s="172"/>
      <c r="AU307" s="172"/>
      <c r="AV307" s="172"/>
      <c r="AW307" s="172"/>
      <c r="AX307" s="172"/>
      <c r="AY307" s="172"/>
      <c r="AZ307" s="172"/>
      <c r="BA307" s="172"/>
      <c r="BB307" s="172"/>
      <c r="BC307" s="172"/>
      <c r="BD307" s="172"/>
      <c r="BE307" s="172"/>
      <c r="BF307" s="172"/>
      <c r="BG307" s="172"/>
      <c r="BH307" s="172"/>
      <c r="BI307" s="172"/>
      <c r="BJ307" s="172"/>
      <c r="BK307" s="172"/>
      <c r="BL307" s="172"/>
      <c r="BM307" s="172"/>
      <c r="BN307" s="172"/>
      <c r="BO307" s="172"/>
      <c r="BP307" s="172"/>
      <c r="BQ307" s="172"/>
      <c r="BR307" s="172"/>
      <c r="BS307" s="172"/>
      <c r="BT307" s="172"/>
      <c r="BU307" s="172"/>
      <c r="BV307" s="172"/>
      <c r="BW307" s="172"/>
      <c r="BX307" s="172"/>
      <c r="BY307" s="174"/>
      <c r="BZ307" s="172"/>
      <c r="CA307" s="172"/>
      <c r="CD307" s="194"/>
      <c r="CE307" s="194"/>
      <c r="CF307" s="194"/>
      <c r="CG307" s="194"/>
      <c r="CH307" s="195"/>
      <c r="CI307" s="194"/>
      <c r="CJ307" s="194"/>
      <c r="CK307" s="194"/>
      <c r="CL307" s="196"/>
      <c r="CM307" s="196"/>
      <c r="CN307" s="194"/>
      <c r="CO307" s="197"/>
      <c r="CP307" s="196"/>
      <c r="CQ307" s="196"/>
      <c r="CR307" s="196"/>
      <c r="CS307" s="196"/>
      <c r="CT307" s="196"/>
      <c r="CU307" s="196"/>
      <c r="CV307" s="194"/>
      <c r="CW307" s="194"/>
      <c r="CX307" s="194"/>
      <c r="CY307" s="194"/>
      <c r="CZ307" s="194"/>
      <c r="DA307" s="194"/>
      <c r="DB307" s="194"/>
      <c r="DC307" s="194"/>
      <c r="DD307" s="194"/>
      <c r="DE307" s="194"/>
      <c r="DF307" s="196"/>
      <c r="DG307" s="198"/>
      <c r="DH307" s="194"/>
      <c r="DI307" s="194"/>
    </row>
    <row r="308" spans="1:113" s="24" customFormat="1" hidden="1" x14ac:dyDescent="0.3">
      <c r="A308" s="172"/>
      <c r="B308" s="172"/>
      <c r="C308" s="172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  <c r="AG308" s="173"/>
      <c r="AH308" s="173"/>
      <c r="AI308" s="173"/>
      <c r="AJ308" s="173"/>
      <c r="AK308" s="173"/>
      <c r="AL308" s="173"/>
      <c r="AM308" s="173"/>
      <c r="AN308" s="173"/>
      <c r="AO308" s="173"/>
      <c r="AP308" s="173"/>
      <c r="AQ308" s="173"/>
      <c r="AR308" s="173"/>
      <c r="AS308" s="172"/>
      <c r="AT308" s="172"/>
      <c r="AU308" s="172"/>
      <c r="AV308" s="172"/>
      <c r="AW308" s="172"/>
      <c r="AX308" s="172"/>
      <c r="AY308" s="172"/>
      <c r="AZ308" s="172"/>
      <c r="BA308" s="172"/>
      <c r="BB308" s="172"/>
      <c r="BC308" s="172"/>
      <c r="BD308" s="172"/>
      <c r="BE308" s="172"/>
      <c r="BF308" s="172"/>
      <c r="BG308" s="172"/>
      <c r="BH308" s="172"/>
      <c r="BI308" s="172"/>
      <c r="BJ308" s="172"/>
      <c r="BK308" s="172"/>
      <c r="BL308" s="172"/>
      <c r="BM308" s="172"/>
      <c r="BN308" s="172"/>
      <c r="BO308" s="172"/>
      <c r="BP308" s="172"/>
      <c r="BQ308" s="172"/>
      <c r="BR308" s="172"/>
      <c r="BS308" s="172"/>
      <c r="BT308" s="172"/>
      <c r="BU308" s="172"/>
      <c r="BV308" s="172"/>
      <c r="BW308" s="172"/>
      <c r="BX308" s="172"/>
      <c r="BY308" s="174"/>
      <c r="BZ308" s="172"/>
      <c r="CA308" s="172"/>
      <c r="CD308" s="194"/>
      <c r="CE308" s="194"/>
      <c r="CF308" s="194"/>
      <c r="CG308" s="194"/>
      <c r="CH308" s="195"/>
      <c r="CI308" s="194"/>
      <c r="CJ308" s="194"/>
      <c r="CK308" s="194"/>
      <c r="CL308" s="196"/>
      <c r="CM308" s="196"/>
      <c r="CN308" s="194"/>
      <c r="CO308" s="197"/>
      <c r="CP308" s="196"/>
      <c r="CQ308" s="196"/>
      <c r="CR308" s="196"/>
      <c r="CS308" s="196"/>
      <c r="CT308" s="196"/>
      <c r="CU308" s="196"/>
      <c r="CV308" s="194"/>
      <c r="CW308" s="194"/>
      <c r="CX308" s="194"/>
      <c r="CY308" s="194"/>
      <c r="CZ308" s="194"/>
      <c r="DA308" s="194"/>
      <c r="DB308" s="194"/>
      <c r="DC308" s="194"/>
      <c r="DD308" s="194"/>
      <c r="DE308" s="194"/>
      <c r="DF308" s="196"/>
      <c r="DG308" s="198"/>
      <c r="DH308" s="194"/>
      <c r="DI308" s="194"/>
    </row>
    <row r="309" spans="1:113" s="24" customFormat="1" hidden="1" x14ac:dyDescent="0.3">
      <c r="A309" s="172"/>
      <c r="B309" s="172"/>
      <c r="C309" s="172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2"/>
      <c r="AT309" s="172"/>
      <c r="AU309" s="172"/>
      <c r="AV309" s="172"/>
      <c r="AW309" s="172"/>
      <c r="AX309" s="172"/>
      <c r="AY309" s="172"/>
      <c r="AZ309" s="172"/>
      <c r="BA309" s="172"/>
      <c r="BB309" s="172"/>
      <c r="BC309" s="172"/>
      <c r="BD309" s="172"/>
      <c r="BE309" s="172"/>
      <c r="BF309" s="172"/>
      <c r="BG309" s="172"/>
      <c r="BH309" s="172"/>
      <c r="BI309" s="172"/>
      <c r="BJ309" s="172"/>
      <c r="BK309" s="172"/>
      <c r="BL309" s="172"/>
      <c r="BM309" s="172"/>
      <c r="BN309" s="172"/>
      <c r="BO309" s="172"/>
      <c r="BP309" s="172"/>
      <c r="BQ309" s="172"/>
      <c r="BR309" s="172"/>
      <c r="BS309" s="172"/>
      <c r="BT309" s="172"/>
      <c r="BU309" s="172"/>
      <c r="BV309" s="172"/>
      <c r="BW309" s="172"/>
      <c r="BX309" s="172"/>
      <c r="BY309" s="174"/>
      <c r="BZ309" s="172"/>
      <c r="CA309" s="172"/>
      <c r="CD309" s="194"/>
      <c r="CE309" s="194"/>
      <c r="CF309" s="194"/>
      <c r="CG309" s="194"/>
      <c r="CH309" s="195"/>
      <c r="CI309" s="194"/>
      <c r="CJ309" s="194"/>
      <c r="CK309" s="194"/>
      <c r="CL309" s="196"/>
      <c r="CM309" s="196"/>
      <c r="CN309" s="194"/>
      <c r="CO309" s="197"/>
      <c r="CP309" s="196"/>
      <c r="CQ309" s="196"/>
      <c r="CR309" s="196"/>
      <c r="CS309" s="196"/>
      <c r="CT309" s="196"/>
      <c r="CU309" s="196"/>
      <c r="CV309" s="194"/>
      <c r="CW309" s="194"/>
      <c r="CX309" s="194"/>
      <c r="CY309" s="194"/>
      <c r="CZ309" s="194"/>
      <c r="DA309" s="194"/>
      <c r="DB309" s="194"/>
      <c r="DC309" s="194"/>
      <c r="DD309" s="194"/>
      <c r="DE309" s="194"/>
      <c r="DF309" s="196"/>
      <c r="DG309" s="198"/>
      <c r="DH309" s="194"/>
      <c r="DI309" s="194"/>
    </row>
    <row r="310" spans="1:113" s="24" customFormat="1" hidden="1" x14ac:dyDescent="0.3">
      <c r="A310" s="172"/>
      <c r="B310" s="172"/>
      <c r="C310" s="172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  <c r="AG310" s="173"/>
      <c r="AH310" s="173"/>
      <c r="AI310" s="173"/>
      <c r="AJ310" s="173"/>
      <c r="AK310" s="173"/>
      <c r="AL310" s="173"/>
      <c r="AM310" s="173"/>
      <c r="AN310" s="173"/>
      <c r="AO310" s="173"/>
      <c r="AP310" s="173"/>
      <c r="AQ310" s="173"/>
      <c r="AR310" s="173"/>
      <c r="AS310" s="172"/>
      <c r="AT310" s="172"/>
      <c r="AU310" s="172"/>
      <c r="AV310" s="172"/>
      <c r="AW310" s="172"/>
      <c r="AX310" s="172"/>
      <c r="AY310" s="172"/>
      <c r="AZ310" s="172"/>
      <c r="BA310" s="172"/>
      <c r="BB310" s="172"/>
      <c r="BC310" s="172"/>
      <c r="BD310" s="172"/>
      <c r="BE310" s="172"/>
      <c r="BF310" s="172"/>
      <c r="BG310" s="172"/>
      <c r="BH310" s="172"/>
      <c r="BI310" s="172"/>
      <c r="BJ310" s="172"/>
      <c r="BK310" s="172"/>
      <c r="BL310" s="172"/>
      <c r="BM310" s="172"/>
      <c r="BN310" s="172"/>
      <c r="BO310" s="172"/>
      <c r="BP310" s="172"/>
      <c r="BQ310" s="172"/>
      <c r="BR310" s="172"/>
      <c r="BS310" s="172"/>
      <c r="BT310" s="172"/>
      <c r="BU310" s="172"/>
      <c r="BV310" s="172"/>
      <c r="BW310" s="172"/>
      <c r="BX310" s="172"/>
      <c r="BY310" s="174"/>
      <c r="BZ310" s="172"/>
      <c r="CA310" s="172"/>
      <c r="CD310" s="194"/>
      <c r="CE310" s="194"/>
      <c r="CF310" s="194"/>
      <c r="CG310" s="194"/>
      <c r="CH310" s="195"/>
      <c r="CI310" s="194"/>
      <c r="CJ310" s="194"/>
      <c r="CK310" s="194"/>
      <c r="CL310" s="196"/>
      <c r="CM310" s="196"/>
      <c r="CN310" s="194"/>
      <c r="CO310" s="197"/>
      <c r="CP310" s="196"/>
      <c r="CQ310" s="196"/>
      <c r="CR310" s="196"/>
      <c r="CS310" s="196"/>
      <c r="CT310" s="196"/>
      <c r="CU310" s="196"/>
      <c r="CV310" s="194"/>
      <c r="CW310" s="194"/>
      <c r="CX310" s="194"/>
      <c r="CY310" s="194"/>
      <c r="CZ310" s="194"/>
      <c r="DA310" s="194"/>
      <c r="DB310" s="194"/>
      <c r="DC310" s="194"/>
      <c r="DD310" s="194"/>
      <c r="DE310" s="194"/>
      <c r="DF310" s="196"/>
      <c r="DG310" s="198"/>
      <c r="DH310" s="194"/>
      <c r="DI310" s="194"/>
    </row>
    <row r="311" spans="1:113" s="24" customFormat="1" hidden="1" x14ac:dyDescent="0.3">
      <c r="A311" s="172"/>
      <c r="B311" s="172"/>
      <c r="C311" s="172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  <c r="AG311" s="173"/>
      <c r="AH311" s="173"/>
      <c r="AI311" s="173"/>
      <c r="AJ311" s="173"/>
      <c r="AK311" s="173"/>
      <c r="AL311" s="173"/>
      <c r="AM311" s="173"/>
      <c r="AN311" s="173"/>
      <c r="AO311" s="173"/>
      <c r="AP311" s="173"/>
      <c r="AQ311" s="173"/>
      <c r="AR311" s="173"/>
      <c r="AS311" s="172"/>
      <c r="AT311" s="172"/>
      <c r="AU311" s="172"/>
      <c r="AV311" s="172"/>
      <c r="AW311" s="172"/>
      <c r="AX311" s="172"/>
      <c r="AY311" s="172"/>
      <c r="AZ311" s="172"/>
      <c r="BA311" s="172"/>
      <c r="BB311" s="172"/>
      <c r="BC311" s="172"/>
      <c r="BD311" s="172"/>
      <c r="BE311" s="172"/>
      <c r="BF311" s="172"/>
      <c r="BG311" s="172"/>
      <c r="BH311" s="172"/>
      <c r="BI311" s="172"/>
      <c r="BJ311" s="172"/>
      <c r="BK311" s="172"/>
      <c r="BL311" s="172"/>
      <c r="BM311" s="172"/>
      <c r="BN311" s="172"/>
      <c r="BO311" s="172"/>
      <c r="BP311" s="172"/>
      <c r="BQ311" s="172"/>
      <c r="BR311" s="172"/>
      <c r="BS311" s="172"/>
      <c r="BT311" s="172"/>
      <c r="BU311" s="172"/>
      <c r="BV311" s="172"/>
      <c r="BW311" s="172"/>
      <c r="BX311" s="172"/>
      <c r="BY311" s="174"/>
      <c r="BZ311" s="172"/>
      <c r="CA311" s="172"/>
      <c r="CD311" s="194"/>
      <c r="CE311" s="194"/>
      <c r="CF311" s="194"/>
      <c r="CG311" s="194"/>
      <c r="CH311" s="195"/>
      <c r="CI311" s="194"/>
      <c r="CJ311" s="194"/>
      <c r="CK311" s="194"/>
      <c r="CL311" s="196"/>
      <c r="CM311" s="196"/>
      <c r="CN311" s="194"/>
      <c r="CO311" s="197"/>
      <c r="CP311" s="196"/>
      <c r="CQ311" s="196"/>
      <c r="CR311" s="196"/>
      <c r="CS311" s="196"/>
      <c r="CT311" s="196"/>
      <c r="CU311" s="196"/>
      <c r="CV311" s="194"/>
      <c r="CW311" s="194"/>
      <c r="CX311" s="194"/>
      <c r="CY311" s="194"/>
      <c r="CZ311" s="194"/>
      <c r="DA311" s="194"/>
      <c r="DB311" s="194"/>
      <c r="DC311" s="194"/>
      <c r="DD311" s="194"/>
      <c r="DE311" s="194"/>
      <c r="DF311" s="196"/>
      <c r="DG311" s="198"/>
      <c r="DH311" s="194"/>
      <c r="DI311" s="194"/>
    </row>
    <row r="312" spans="1:113" s="24" customFormat="1" hidden="1" x14ac:dyDescent="0.3">
      <c r="A312" s="172"/>
      <c r="B312" s="172"/>
      <c r="C312" s="172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  <c r="AG312" s="173"/>
      <c r="AH312" s="173"/>
      <c r="AI312" s="173"/>
      <c r="AJ312" s="173"/>
      <c r="AK312" s="173"/>
      <c r="AL312" s="173"/>
      <c r="AM312" s="173"/>
      <c r="AN312" s="173"/>
      <c r="AO312" s="173"/>
      <c r="AP312" s="173"/>
      <c r="AQ312" s="173"/>
      <c r="AR312" s="173"/>
      <c r="AS312" s="172"/>
      <c r="AT312" s="172"/>
      <c r="AU312" s="172"/>
      <c r="AV312" s="172"/>
      <c r="AW312" s="172"/>
      <c r="AX312" s="172"/>
      <c r="AY312" s="172"/>
      <c r="AZ312" s="172"/>
      <c r="BA312" s="172"/>
      <c r="BB312" s="172"/>
      <c r="BC312" s="172"/>
      <c r="BD312" s="172"/>
      <c r="BE312" s="172"/>
      <c r="BF312" s="172"/>
      <c r="BG312" s="172"/>
      <c r="BH312" s="172"/>
      <c r="BI312" s="172"/>
      <c r="BJ312" s="172"/>
      <c r="BK312" s="172"/>
      <c r="BL312" s="172"/>
      <c r="BM312" s="172"/>
      <c r="BN312" s="172"/>
      <c r="BO312" s="172"/>
      <c r="BP312" s="172"/>
      <c r="BQ312" s="172"/>
      <c r="BR312" s="172"/>
      <c r="BS312" s="172"/>
      <c r="BT312" s="172"/>
      <c r="BU312" s="172"/>
      <c r="BV312" s="172"/>
      <c r="BW312" s="172"/>
      <c r="BX312" s="172"/>
      <c r="BY312" s="174"/>
      <c r="BZ312" s="172"/>
      <c r="CA312" s="172"/>
      <c r="CD312" s="194"/>
      <c r="CE312" s="194"/>
      <c r="CF312" s="194"/>
      <c r="CG312" s="194"/>
      <c r="CH312" s="195"/>
      <c r="CI312" s="194"/>
      <c r="CJ312" s="194"/>
      <c r="CK312" s="194"/>
      <c r="CL312" s="196"/>
      <c r="CM312" s="196"/>
      <c r="CN312" s="194"/>
      <c r="CO312" s="197"/>
      <c r="CP312" s="196"/>
      <c r="CQ312" s="196"/>
      <c r="CR312" s="196"/>
      <c r="CS312" s="196"/>
      <c r="CT312" s="196"/>
      <c r="CU312" s="196"/>
      <c r="CV312" s="194"/>
      <c r="CW312" s="194"/>
      <c r="CX312" s="194"/>
      <c r="CY312" s="194"/>
      <c r="CZ312" s="194"/>
      <c r="DA312" s="194"/>
      <c r="DB312" s="194"/>
      <c r="DC312" s="194"/>
      <c r="DD312" s="194"/>
      <c r="DE312" s="194"/>
      <c r="DF312" s="196"/>
      <c r="DG312" s="198"/>
      <c r="DH312" s="194"/>
      <c r="DI312" s="194"/>
    </row>
    <row r="313" spans="1:113" s="24" customFormat="1" hidden="1" x14ac:dyDescent="0.3">
      <c r="A313" s="172"/>
      <c r="B313" s="172"/>
      <c r="C313" s="172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  <c r="AG313" s="173"/>
      <c r="AH313" s="173"/>
      <c r="AI313" s="173"/>
      <c r="AJ313" s="173"/>
      <c r="AK313" s="173"/>
      <c r="AL313" s="173"/>
      <c r="AM313" s="173"/>
      <c r="AN313" s="173"/>
      <c r="AO313" s="173"/>
      <c r="AP313" s="173"/>
      <c r="AQ313" s="173"/>
      <c r="AR313" s="173"/>
      <c r="AS313" s="172"/>
      <c r="AT313" s="172"/>
      <c r="AU313" s="172"/>
      <c r="AV313" s="172"/>
      <c r="AW313" s="172"/>
      <c r="AX313" s="172"/>
      <c r="AY313" s="172"/>
      <c r="AZ313" s="172"/>
      <c r="BA313" s="172"/>
      <c r="BB313" s="172"/>
      <c r="BC313" s="172"/>
      <c r="BD313" s="172"/>
      <c r="BE313" s="172"/>
      <c r="BF313" s="172"/>
      <c r="BG313" s="172"/>
      <c r="BH313" s="172"/>
      <c r="BI313" s="172"/>
      <c r="BJ313" s="172"/>
      <c r="BK313" s="172"/>
      <c r="BL313" s="172"/>
      <c r="BM313" s="172"/>
      <c r="BN313" s="172"/>
      <c r="BO313" s="172"/>
      <c r="BP313" s="172"/>
      <c r="BQ313" s="172"/>
      <c r="BR313" s="172"/>
      <c r="BS313" s="172"/>
      <c r="BT313" s="172"/>
      <c r="BU313" s="172"/>
      <c r="BV313" s="172"/>
      <c r="BW313" s="172"/>
      <c r="BX313" s="172"/>
      <c r="BY313" s="174"/>
      <c r="BZ313" s="172"/>
      <c r="CA313" s="172"/>
      <c r="CD313" s="194"/>
      <c r="CE313" s="194"/>
      <c r="CF313" s="194"/>
      <c r="CG313" s="194"/>
      <c r="CH313" s="195"/>
      <c r="CI313" s="194"/>
      <c r="CJ313" s="194"/>
      <c r="CK313" s="194"/>
      <c r="CL313" s="196"/>
      <c r="CM313" s="196"/>
      <c r="CN313" s="194"/>
      <c r="CO313" s="197"/>
      <c r="CP313" s="196"/>
      <c r="CQ313" s="196"/>
      <c r="CR313" s="196"/>
      <c r="CS313" s="196"/>
      <c r="CT313" s="196"/>
      <c r="CU313" s="196"/>
      <c r="CV313" s="194"/>
      <c r="CW313" s="194"/>
      <c r="CX313" s="194"/>
      <c r="CY313" s="194"/>
      <c r="CZ313" s="194"/>
      <c r="DA313" s="194"/>
      <c r="DB313" s="194"/>
      <c r="DC313" s="194"/>
      <c r="DD313" s="194"/>
      <c r="DE313" s="194"/>
      <c r="DF313" s="196"/>
      <c r="DG313" s="198"/>
      <c r="DH313" s="194"/>
      <c r="DI313" s="194"/>
    </row>
    <row r="314" spans="1:113" s="24" customFormat="1" hidden="1" x14ac:dyDescent="0.3">
      <c r="A314" s="172"/>
      <c r="B314" s="172"/>
      <c r="C314" s="172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  <c r="AG314" s="173"/>
      <c r="AH314" s="173"/>
      <c r="AI314" s="173"/>
      <c r="AJ314" s="173"/>
      <c r="AK314" s="173"/>
      <c r="AL314" s="173"/>
      <c r="AM314" s="173"/>
      <c r="AN314" s="173"/>
      <c r="AO314" s="173"/>
      <c r="AP314" s="173"/>
      <c r="AQ314" s="173"/>
      <c r="AR314" s="173"/>
      <c r="AS314" s="172"/>
      <c r="AT314" s="172"/>
      <c r="AU314" s="172"/>
      <c r="AV314" s="172"/>
      <c r="AW314" s="172"/>
      <c r="AX314" s="172"/>
      <c r="AY314" s="172"/>
      <c r="AZ314" s="172"/>
      <c r="BA314" s="172"/>
      <c r="BB314" s="172"/>
      <c r="BC314" s="172"/>
      <c r="BD314" s="172"/>
      <c r="BE314" s="172"/>
      <c r="BF314" s="172"/>
      <c r="BG314" s="172"/>
      <c r="BH314" s="172"/>
      <c r="BI314" s="172"/>
      <c r="BJ314" s="172"/>
      <c r="BK314" s="172"/>
      <c r="BL314" s="172"/>
      <c r="BM314" s="172"/>
      <c r="BN314" s="172"/>
      <c r="BO314" s="172"/>
      <c r="BP314" s="172"/>
      <c r="BQ314" s="172"/>
      <c r="BR314" s="172"/>
      <c r="BS314" s="172"/>
      <c r="BT314" s="172"/>
      <c r="BU314" s="172"/>
      <c r="BV314" s="172"/>
      <c r="BW314" s="172"/>
      <c r="BX314" s="172"/>
      <c r="BY314" s="174"/>
      <c r="BZ314" s="172"/>
      <c r="CA314" s="172"/>
      <c r="CD314" s="194"/>
      <c r="CE314" s="194"/>
      <c r="CF314" s="194"/>
      <c r="CG314" s="194"/>
      <c r="CH314" s="195"/>
      <c r="CI314" s="194"/>
      <c r="CJ314" s="194"/>
      <c r="CK314" s="194"/>
      <c r="CL314" s="196"/>
      <c r="CM314" s="196"/>
      <c r="CN314" s="194"/>
      <c r="CO314" s="197"/>
      <c r="CP314" s="196"/>
      <c r="CQ314" s="196"/>
      <c r="CR314" s="196"/>
      <c r="CS314" s="196"/>
      <c r="CT314" s="196"/>
      <c r="CU314" s="196"/>
      <c r="CV314" s="194"/>
      <c r="CW314" s="194"/>
      <c r="CX314" s="194"/>
      <c r="CY314" s="194"/>
      <c r="CZ314" s="194"/>
      <c r="DA314" s="194"/>
      <c r="DB314" s="194"/>
      <c r="DC314" s="194"/>
      <c r="DD314" s="194"/>
      <c r="DE314" s="194"/>
      <c r="DF314" s="196"/>
      <c r="DG314" s="198"/>
      <c r="DH314" s="194"/>
      <c r="DI314" s="194"/>
    </row>
    <row r="315" spans="1:113" s="24" customFormat="1" hidden="1" x14ac:dyDescent="0.3">
      <c r="A315" s="172"/>
      <c r="B315" s="172"/>
      <c r="C315" s="172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2"/>
      <c r="AT315" s="172"/>
      <c r="AU315" s="172"/>
      <c r="AV315" s="172"/>
      <c r="AW315" s="172"/>
      <c r="AX315" s="172"/>
      <c r="AY315" s="172"/>
      <c r="AZ315" s="172"/>
      <c r="BA315" s="172"/>
      <c r="BB315" s="172"/>
      <c r="BC315" s="172"/>
      <c r="BD315" s="172"/>
      <c r="BE315" s="172"/>
      <c r="BF315" s="172"/>
      <c r="BG315" s="172"/>
      <c r="BH315" s="172"/>
      <c r="BI315" s="172"/>
      <c r="BJ315" s="172"/>
      <c r="BK315" s="172"/>
      <c r="BL315" s="172"/>
      <c r="BM315" s="172"/>
      <c r="BN315" s="172"/>
      <c r="BO315" s="172"/>
      <c r="BP315" s="172"/>
      <c r="BQ315" s="172"/>
      <c r="BR315" s="172"/>
      <c r="BS315" s="172"/>
      <c r="BT315" s="172"/>
      <c r="BU315" s="172"/>
      <c r="BV315" s="172"/>
      <c r="BW315" s="172"/>
      <c r="BX315" s="172"/>
      <c r="BY315" s="174"/>
      <c r="BZ315" s="172"/>
      <c r="CA315" s="172"/>
      <c r="CD315" s="194"/>
      <c r="CE315" s="194"/>
      <c r="CF315" s="194"/>
      <c r="CG315" s="194"/>
      <c r="CH315" s="195"/>
      <c r="CI315" s="194"/>
      <c r="CJ315" s="194"/>
      <c r="CK315" s="194"/>
      <c r="CL315" s="196"/>
      <c r="CM315" s="196"/>
      <c r="CN315" s="194"/>
      <c r="CO315" s="197"/>
      <c r="CP315" s="196"/>
      <c r="CQ315" s="196"/>
      <c r="CR315" s="196"/>
      <c r="CS315" s="196"/>
      <c r="CT315" s="196"/>
      <c r="CU315" s="196"/>
      <c r="CV315" s="194"/>
      <c r="CW315" s="194"/>
      <c r="CX315" s="194"/>
      <c r="CY315" s="194"/>
      <c r="CZ315" s="194"/>
      <c r="DA315" s="194"/>
      <c r="DB315" s="194"/>
      <c r="DC315" s="194"/>
      <c r="DD315" s="194"/>
      <c r="DE315" s="194"/>
      <c r="DF315" s="196"/>
      <c r="DG315" s="198"/>
      <c r="DH315" s="194"/>
      <c r="DI315" s="194"/>
    </row>
    <row r="316" spans="1:113" s="24" customFormat="1" hidden="1" x14ac:dyDescent="0.3">
      <c r="A316" s="172"/>
      <c r="B316" s="172"/>
      <c r="C316" s="172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2"/>
      <c r="AT316" s="172"/>
      <c r="AU316" s="172"/>
      <c r="AV316" s="172"/>
      <c r="AW316" s="172"/>
      <c r="AX316" s="172"/>
      <c r="AY316" s="172"/>
      <c r="AZ316" s="172"/>
      <c r="BA316" s="172"/>
      <c r="BB316" s="172"/>
      <c r="BC316" s="172"/>
      <c r="BD316" s="172"/>
      <c r="BE316" s="172"/>
      <c r="BF316" s="172"/>
      <c r="BG316" s="172"/>
      <c r="BH316" s="172"/>
      <c r="BI316" s="172"/>
      <c r="BJ316" s="172"/>
      <c r="BK316" s="172"/>
      <c r="BL316" s="172"/>
      <c r="BM316" s="172"/>
      <c r="BN316" s="172"/>
      <c r="BO316" s="172"/>
      <c r="BP316" s="172"/>
      <c r="BQ316" s="172"/>
      <c r="BR316" s="172"/>
      <c r="BS316" s="172"/>
      <c r="BT316" s="172"/>
      <c r="BU316" s="172"/>
      <c r="BV316" s="172"/>
      <c r="BW316" s="172"/>
      <c r="BX316" s="172"/>
      <c r="BY316" s="174"/>
      <c r="BZ316" s="172"/>
      <c r="CA316" s="172"/>
      <c r="CD316" s="194"/>
      <c r="CE316" s="194"/>
      <c r="CF316" s="194"/>
      <c r="CG316" s="194"/>
      <c r="CH316" s="195"/>
      <c r="CI316" s="194"/>
      <c r="CJ316" s="194"/>
      <c r="CK316" s="194"/>
      <c r="CL316" s="196"/>
      <c r="CM316" s="196"/>
      <c r="CN316" s="194"/>
      <c r="CO316" s="197"/>
      <c r="CP316" s="196"/>
      <c r="CQ316" s="196"/>
      <c r="CR316" s="196"/>
      <c r="CS316" s="196"/>
      <c r="CT316" s="196"/>
      <c r="CU316" s="196"/>
      <c r="CV316" s="194"/>
      <c r="CW316" s="194"/>
      <c r="CX316" s="194"/>
      <c r="CY316" s="194"/>
      <c r="CZ316" s="194"/>
      <c r="DA316" s="194"/>
      <c r="DB316" s="194"/>
      <c r="DC316" s="194"/>
      <c r="DD316" s="194"/>
      <c r="DE316" s="194"/>
      <c r="DF316" s="196"/>
      <c r="DG316" s="198"/>
      <c r="DH316" s="194"/>
      <c r="DI316" s="194"/>
    </row>
    <row r="317" spans="1:113" s="24" customFormat="1" hidden="1" x14ac:dyDescent="0.3">
      <c r="A317" s="172"/>
      <c r="B317" s="172"/>
      <c r="C317" s="172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  <c r="AG317" s="173"/>
      <c r="AH317" s="173"/>
      <c r="AI317" s="173"/>
      <c r="AJ317" s="173"/>
      <c r="AK317" s="173"/>
      <c r="AL317" s="173"/>
      <c r="AM317" s="173"/>
      <c r="AN317" s="173"/>
      <c r="AO317" s="173"/>
      <c r="AP317" s="173"/>
      <c r="AQ317" s="173"/>
      <c r="AR317" s="173"/>
      <c r="AS317" s="172"/>
      <c r="AT317" s="172"/>
      <c r="AU317" s="172"/>
      <c r="AV317" s="172"/>
      <c r="AW317" s="172"/>
      <c r="AX317" s="172"/>
      <c r="AY317" s="172"/>
      <c r="AZ317" s="172"/>
      <c r="BA317" s="172"/>
      <c r="BB317" s="172"/>
      <c r="BC317" s="172"/>
      <c r="BD317" s="172"/>
      <c r="BE317" s="172"/>
      <c r="BF317" s="172"/>
      <c r="BG317" s="172"/>
      <c r="BH317" s="172"/>
      <c r="BI317" s="172"/>
      <c r="BJ317" s="172"/>
      <c r="BK317" s="172"/>
      <c r="BL317" s="172"/>
      <c r="BM317" s="172"/>
      <c r="BN317" s="172"/>
      <c r="BO317" s="172"/>
      <c r="BP317" s="172"/>
      <c r="BQ317" s="172"/>
      <c r="BR317" s="172"/>
      <c r="BS317" s="172"/>
      <c r="BT317" s="172"/>
      <c r="BU317" s="172"/>
      <c r="BV317" s="172"/>
      <c r="BW317" s="172"/>
      <c r="BX317" s="172"/>
      <c r="BY317" s="174"/>
      <c r="BZ317" s="172"/>
      <c r="CA317" s="172"/>
      <c r="CD317" s="194"/>
      <c r="CE317" s="194"/>
      <c r="CF317" s="194"/>
      <c r="CG317" s="194"/>
      <c r="CH317" s="195"/>
      <c r="CI317" s="194"/>
      <c r="CJ317" s="194"/>
      <c r="CK317" s="194"/>
      <c r="CL317" s="196"/>
      <c r="CM317" s="196"/>
      <c r="CN317" s="194"/>
      <c r="CO317" s="197"/>
      <c r="CP317" s="196"/>
      <c r="CQ317" s="196"/>
      <c r="CR317" s="196"/>
      <c r="CS317" s="196"/>
      <c r="CT317" s="196"/>
      <c r="CU317" s="196"/>
      <c r="CV317" s="194"/>
      <c r="CW317" s="194"/>
      <c r="CX317" s="194"/>
      <c r="CY317" s="194"/>
      <c r="CZ317" s="194"/>
      <c r="DA317" s="194"/>
      <c r="DB317" s="194"/>
      <c r="DC317" s="194"/>
      <c r="DD317" s="194"/>
      <c r="DE317" s="194"/>
      <c r="DF317" s="196"/>
      <c r="DG317" s="198"/>
      <c r="DH317" s="194"/>
      <c r="DI317" s="194"/>
    </row>
    <row r="318" spans="1:113" s="24" customFormat="1" hidden="1" x14ac:dyDescent="0.3">
      <c r="A318" s="172"/>
      <c r="B318" s="172"/>
      <c r="C318" s="172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  <c r="AG318" s="173"/>
      <c r="AH318" s="173"/>
      <c r="AI318" s="173"/>
      <c r="AJ318" s="173"/>
      <c r="AK318" s="173"/>
      <c r="AL318" s="173"/>
      <c r="AM318" s="173"/>
      <c r="AN318" s="173"/>
      <c r="AO318" s="173"/>
      <c r="AP318" s="173"/>
      <c r="AQ318" s="173"/>
      <c r="AR318" s="173"/>
      <c r="AS318" s="172"/>
      <c r="AT318" s="172"/>
      <c r="AU318" s="172"/>
      <c r="AV318" s="172"/>
      <c r="AW318" s="172"/>
      <c r="AX318" s="172"/>
      <c r="AY318" s="172"/>
      <c r="AZ318" s="172"/>
      <c r="BA318" s="172"/>
      <c r="BB318" s="172"/>
      <c r="BC318" s="172"/>
      <c r="BD318" s="172"/>
      <c r="BE318" s="172"/>
      <c r="BF318" s="172"/>
      <c r="BG318" s="172"/>
      <c r="BH318" s="172"/>
      <c r="BI318" s="172"/>
      <c r="BJ318" s="172"/>
      <c r="BK318" s="172"/>
      <c r="BL318" s="172"/>
      <c r="BM318" s="172"/>
      <c r="BN318" s="172"/>
      <c r="BO318" s="172"/>
      <c r="BP318" s="172"/>
      <c r="BQ318" s="172"/>
      <c r="BR318" s="172"/>
      <c r="BS318" s="172"/>
      <c r="BT318" s="172"/>
      <c r="BU318" s="172"/>
      <c r="BV318" s="172"/>
      <c r="BW318" s="172"/>
      <c r="BX318" s="172"/>
      <c r="BY318" s="174"/>
      <c r="BZ318" s="172"/>
      <c r="CA318" s="172"/>
      <c r="CD318" s="194"/>
      <c r="CE318" s="194"/>
      <c r="CF318" s="194"/>
      <c r="CG318" s="194"/>
      <c r="CH318" s="195"/>
      <c r="CI318" s="194"/>
      <c r="CJ318" s="194"/>
      <c r="CK318" s="194"/>
      <c r="CL318" s="196"/>
      <c r="CM318" s="196"/>
      <c r="CN318" s="194"/>
      <c r="CO318" s="197"/>
      <c r="CP318" s="196"/>
      <c r="CQ318" s="196"/>
      <c r="CR318" s="196"/>
      <c r="CS318" s="196"/>
      <c r="CT318" s="196"/>
      <c r="CU318" s="196"/>
      <c r="CV318" s="194"/>
      <c r="CW318" s="194"/>
      <c r="CX318" s="194"/>
      <c r="CY318" s="194"/>
      <c r="CZ318" s="194"/>
      <c r="DA318" s="194"/>
      <c r="DB318" s="194"/>
      <c r="DC318" s="194"/>
      <c r="DD318" s="194"/>
      <c r="DE318" s="194"/>
      <c r="DF318" s="196"/>
      <c r="DG318" s="198"/>
      <c r="DH318" s="194"/>
      <c r="DI318" s="194"/>
    </row>
    <row r="319" spans="1:113" s="24" customFormat="1" hidden="1" x14ac:dyDescent="0.3">
      <c r="A319" s="172"/>
      <c r="B319" s="172"/>
      <c r="C319" s="172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2"/>
      <c r="AT319" s="172"/>
      <c r="AU319" s="172"/>
      <c r="AV319" s="172"/>
      <c r="AW319" s="172"/>
      <c r="AX319" s="172"/>
      <c r="AY319" s="172"/>
      <c r="AZ319" s="172"/>
      <c r="BA319" s="172"/>
      <c r="BB319" s="172"/>
      <c r="BC319" s="172"/>
      <c r="BD319" s="172"/>
      <c r="BE319" s="172"/>
      <c r="BF319" s="172"/>
      <c r="BG319" s="172"/>
      <c r="BH319" s="172"/>
      <c r="BI319" s="172"/>
      <c r="BJ319" s="172"/>
      <c r="BK319" s="172"/>
      <c r="BL319" s="172"/>
      <c r="BM319" s="172"/>
      <c r="BN319" s="172"/>
      <c r="BO319" s="172"/>
      <c r="BP319" s="172"/>
      <c r="BQ319" s="172"/>
      <c r="BR319" s="172"/>
      <c r="BS319" s="172"/>
      <c r="BT319" s="172"/>
      <c r="BU319" s="172"/>
      <c r="BV319" s="172"/>
      <c r="BW319" s="172"/>
      <c r="BX319" s="172"/>
      <c r="BY319" s="174"/>
      <c r="BZ319" s="172"/>
      <c r="CA319" s="172"/>
      <c r="CD319" s="194"/>
      <c r="CE319" s="194"/>
      <c r="CF319" s="194"/>
      <c r="CG319" s="194"/>
      <c r="CH319" s="195"/>
      <c r="CI319" s="194"/>
      <c r="CJ319" s="194"/>
      <c r="CK319" s="194"/>
      <c r="CL319" s="196"/>
      <c r="CM319" s="196"/>
      <c r="CN319" s="194"/>
      <c r="CO319" s="197"/>
      <c r="CP319" s="196"/>
      <c r="CQ319" s="196"/>
      <c r="CR319" s="196"/>
      <c r="CS319" s="196"/>
      <c r="CT319" s="196"/>
      <c r="CU319" s="196"/>
      <c r="CV319" s="194"/>
      <c r="CW319" s="194"/>
      <c r="CX319" s="194"/>
      <c r="CY319" s="194"/>
      <c r="CZ319" s="194"/>
      <c r="DA319" s="194"/>
      <c r="DB319" s="194"/>
      <c r="DC319" s="194"/>
      <c r="DD319" s="194"/>
      <c r="DE319" s="194"/>
      <c r="DF319" s="196"/>
      <c r="DG319" s="198"/>
      <c r="DH319" s="194"/>
      <c r="DI319" s="194"/>
    </row>
    <row r="320" spans="1:113" s="24" customFormat="1" hidden="1" x14ac:dyDescent="0.3">
      <c r="A320" s="172"/>
      <c r="B320" s="172"/>
      <c r="C320" s="172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  <c r="AG320" s="173"/>
      <c r="AH320" s="173"/>
      <c r="AI320" s="173"/>
      <c r="AJ320" s="173"/>
      <c r="AK320" s="173"/>
      <c r="AL320" s="173"/>
      <c r="AM320" s="173"/>
      <c r="AN320" s="173"/>
      <c r="AO320" s="173"/>
      <c r="AP320" s="173"/>
      <c r="AQ320" s="173"/>
      <c r="AR320" s="173"/>
      <c r="AS320" s="172"/>
      <c r="AT320" s="172"/>
      <c r="AU320" s="172"/>
      <c r="AV320" s="172"/>
      <c r="AW320" s="172"/>
      <c r="AX320" s="172"/>
      <c r="AY320" s="172"/>
      <c r="AZ320" s="172"/>
      <c r="BA320" s="172"/>
      <c r="BB320" s="172"/>
      <c r="BC320" s="172"/>
      <c r="BD320" s="172"/>
      <c r="BE320" s="172"/>
      <c r="BF320" s="172"/>
      <c r="BG320" s="172"/>
      <c r="BH320" s="172"/>
      <c r="BI320" s="172"/>
      <c r="BJ320" s="172"/>
      <c r="BK320" s="172"/>
      <c r="BL320" s="172"/>
      <c r="BM320" s="172"/>
      <c r="BN320" s="172"/>
      <c r="BO320" s="172"/>
      <c r="BP320" s="172"/>
      <c r="BQ320" s="172"/>
      <c r="BR320" s="172"/>
      <c r="BS320" s="172"/>
      <c r="BT320" s="172"/>
      <c r="BU320" s="172"/>
      <c r="BV320" s="172"/>
      <c r="BW320" s="172"/>
      <c r="BX320" s="172"/>
      <c r="BY320" s="174"/>
      <c r="BZ320" s="172"/>
      <c r="CA320" s="172"/>
      <c r="CD320" s="194"/>
      <c r="CE320" s="194"/>
      <c r="CF320" s="194"/>
      <c r="CG320" s="194"/>
      <c r="CH320" s="195"/>
      <c r="CI320" s="194"/>
      <c r="CJ320" s="194"/>
      <c r="CK320" s="194"/>
      <c r="CL320" s="196"/>
      <c r="CM320" s="196"/>
      <c r="CN320" s="194"/>
      <c r="CO320" s="197"/>
      <c r="CP320" s="196"/>
      <c r="CQ320" s="196"/>
      <c r="CR320" s="196"/>
      <c r="CS320" s="196"/>
      <c r="CT320" s="196"/>
      <c r="CU320" s="196"/>
      <c r="CV320" s="194"/>
      <c r="CW320" s="194"/>
      <c r="CX320" s="194"/>
      <c r="CY320" s="194"/>
      <c r="CZ320" s="194"/>
      <c r="DA320" s="194"/>
      <c r="DB320" s="194"/>
      <c r="DC320" s="194"/>
      <c r="DD320" s="194"/>
      <c r="DE320" s="194"/>
      <c r="DF320" s="196"/>
      <c r="DG320" s="198"/>
      <c r="DH320" s="194"/>
      <c r="DI320" s="194"/>
    </row>
    <row r="321" spans="1:113" s="24" customFormat="1" hidden="1" x14ac:dyDescent="0.3">
      <c r="A321" s="172"/>
      <c r="B321" s="172"/>
      <c r="C321" s="172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  <c r="AG321" s="173"/>
      <c r="AH321" s="173"/>
      <c r="AI321" s="173"/>
      <c r="AJ321" s="173"/>
      <c r="AK321" s="173"/>
      <c r="AL321" s="173"/>
      <c r="AM321" s="173"/>
      <c r="AN321" s="173"/>
      <c r="AO321" s="173"/>
      <c r="AP321" s="173"/>
      <c r="AQ321" s="173"/>
      <c r="AR321" s="173"/>
      <c r="AS321" s="172"/>
      <c r="AT321" s="172"/>
      <c r="AU321" s="172"/>
      <c r="AV321" s="172"/>
      <c r="AW321" s="172"/>
      <c r="AX321" s="172"/>
      <c r="AY321" s="172"/>
      <c r="AZ321" s="172"/>
      <c r="BA321" s="172"/>
      <c r="BB321" s="172"/>
      <c r="BC321" s="172"/>
      <c r="BD321" s="172"/>
      <c r="BE321" s="172"/>
      <c r="BF321" s="172"/>
      <c r="BG321" s="172"/>
      <c r="BH321" s="172"/>
      <c r="BI321" s="172"/>
      <c r="BJ321" s="172"/>
      <c r="BK321" s="172"/>
      <c r="BL321" s="172"/>
      <c r="BM321" s="172"/>
      <c r="BN321" s="172"/>
      <c r="BO321" s="172"/>
      <c r="BP321" s="172"/>
      <c r="BQ321" s="172"/>
      <c r="BR321" s="172"/>
      <c r="BS321" s="172"/>
      <c r="BT321" s="172"/>
      <c r="BU321" s="172"/>
      <c r="BV321" s="172"/>
      <c r="BW321" s="172"/>
      <c r="BX321" s="172"/>
      <c r="BY321" s="174"/>
      <c r="BZ321" s="172"/>
      <c r="CA321" s="172"/>
      <c r="CD321" s="194"/>
      <c r="CE321" s="194"/>
      <c r="CF321" s="194"/>
      <c r="CG321" s="194"/>
      <c r="CH321" s="195"/>
      <c r="CI321" s="194"/>
      <c r="CJ321" s="194"/>
      <c r="CK321" s="194"/>
      <c r="CL321" s="196"/>
      <c r="CM321" s="196"/>
      <c r="CN321" s="194"/>
      <c r="CO321" s="197"/>
      <c r="CP321" s="196"/>
      <c r="CQ321" s="196"/>
      <c r="CR321" s="196"/>
      <c r="CS321" s="196"/>
      <c r="CT321" s="196"/>
      <c r="CU321" s="196"/>
      <c r="CV321" s="194"/>
      <c r="CW321" s="194"/>
      <c r="CX321" s="194"/>
      <c r="CY321" s="194"/>
      <c r="CZ321" s="194"/>
      <c r="DA321" s="194"/>
      <c r="DB321" s="194"/>
      <c r="DC321" s="194"/>
      <c r="DD321" s="194"/>
      <c r="DE321" s="194"/>
      <c r="DF321" s="196"/>
      <c r="DG321" s="198"/>
      <c r="DH321" s="194"/>
      <c r="DI321" s="194"/>
    </row>
    <row r="322" spans="1:113" s="24" customFormat="1" hidden="1" x14ac:dyDescent="0.3">
      <c r="A322" s="172"/>
      <c r="B322" s="172"/>
      <c r="C322" s="172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  <c r="AG322" s="173"/>
      <c r="AH322" s="173"/>
      <c r="AI322" s="173"/>
      <c r="AJ322" s="173"/>
      <c r="AK322" s="173"/>
      <c r="AL322" s="173"/>
      <c r="AM322" s="173"/>
      <c r="AN322" s="173"/>
      <c r="AO322" s="173"/>
      <c r="AP322" s="173"/>
      <c r="AQ322" s="173"/>
      <c r="AR322" s="173"/>
      <c r="AS322" s="172"/>
      <c r="AT322" s="172"/>
      <c r="AU322" s="172"/>
      <c r="AV322" s="172"/>
      <c r="AW322" s="172"/>
      <c r="AX322" s="172"/>
      <c r="AY322" s="172"/>
      <c r="AZ322" s="172"/>
      <c r="BA322" s="172"/>
      <c r="BB322" s="172"/>
      <c r="BC322" s="172"/>
      <c r="BD322" s="172"/>
      <c r="BE322" s="172"/>
      <c r="BF322" s="172"/>
      <c r="BG322" s="172"/>
      <c r="BH322" s="172"/>
      <c r="BI322" s="172"/>
      <c r="BJ322" s="172"/>
      <c r="BK322" s="172"/>
      <c r="BL322" s="172"/>
      <c r="BM322" s="172"/>
      <c r="BN322" s="172"/>
      <c r="BO322" s="172"/>
      <c r="BP322" s="172"/>
      <c r="BQ322" s="172"/>
      <c r="BR322" s="172"/>
      <c r="BS322" s="172"/>
      <c r="BT322" s="172"/>
      <c r="BU322" s="172"/>
      <c r="BV322" s="172"/>
      <c r="BW322" s="172"/>
      <c r="BX322" s="172"/>
      <c r="BY322" s="174"/>
      <c r="BZ322" s="172"/>
      <c r="CA322" s="172"/>
      <c r="CD322" s="194"/>
      <c r="CE322" s="194"/>
      <c r="CF322" s="194"/>
      <c r="CG322" s="194"/>
      <c r="CH322" s="195"/>
      <c r="CI322" s="194"/>
      <c r="CJ322" s="194"/>
      <c r="CK322" s="194"/>
      <c r="CL322" s="196"/>
      <c r="CM322" s="196"/>
      <c r="CN322" s="194"/>
      <c r="CO322" s="197"/>
      <c r="CP322" s="196"/>
      <c r="CQ322" s="196"/>
      <c r="CR322" s="196"/>
      <c r="CS322" s="196"/>
      <c r="CT322" s="196"/>
      <c r="CU322" s="196"/>
      <c r="CV322" s="194"/>
      <c r="CW322" s="194"/>
      <c r="CX322" s="194"/>
      <c r="CY322" s="194"/>
      <c r="CZ322" s="194"/>
      <c r="DA322" s="194"/>
      <c r="DB322" s="194"/>
      <c r="DC322" s="194"/>
      <c r="DD322" s="194"/>
      <c r="DE322" s="194"/>
      <c r="DF322" s="196"/>
      <c r="DG322" s="198"/>
      <c r="DH322" s="194"/>
      <c r="DI322" s="194"/>
    </row>
    <row r="323" spans="1:113" s="24" customFormat="1" hidden="1" x14ac:dyDescent="0.3">
      <c r="A323" s="172"/>
      <c r="B323" s="172"/>
      <c r="C323" s="172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  <c r="AG323" s="173"/>
      <c r="AH323" s="173"/>
      <c r="AI323" s="173"/>
      <c r="AJ323" s="173"/>
      <c r="AK323" s="173"/>
      <c r="AL323" s="173"/>
      <c r="AM323" s="173"/>
      <c r="AN323" s="173"/>
      <c r="AO323" s="173"/>
      <c r="AP323" s="173"/>
      <c r="AQ323" s="173"/>
      <c r="AR323" s="173"/>
      <c r="AS323" s="172"/>
      <c r="AT323" s="172"/>
      <c r="AU323" s="172"/>
      <c r="AV323" s="172"/>
      <c r="AW323" s="172"/>
      <c r="AX323" s="172"/>
      <c r="AY323" s="172"/>
      <c r="AZ323" s="172"/>
      <c r="BA323" s="172"/>
      <c r="BB323" s="172"/>
      <c r="BC323" s="172"/>
      <c r="BD323" s="172"/>
      <c r="BE323" s="172"/>
      <c r="BF323" s="172"/>
      <c r="BG323" s="172"/>
      <c r="BH323" s="172"/>
      <c r="BI323" s="172"/>
      <c r="BJ323" s="172"/>
      <c r="BK323" s="172"/>
      <c r="BL323" s="172"/>
      <c r="BM323" s="172"/>
      <c r="BN323" s="172"/>
      <c r="BO323" s="172"/>
      <c r="BP323" s="172"/>
      <c r="BQ323" s="172"/>
      <c r="BR323" s="172"/>
      <c r="BS323" s="172"/>
      <c r="BT323" s="172"/>
      <c r="BU323" s="172"/>
      <c r="BV323" s="172"/>
      <c r="BW323" s="172"/>
      <c r="BX323" s="172"/>
      <c r="BY323" s="174"/>
      <c r="BZ323" s="172"/>
      <c r="CA323" s="172"/>
      <c r="CD323" s="194"/>
      <c r="CE323" s="194"/>
      <c r="CF323" s="194"/>
      <c r="CG323" s="194"/>
      <c r="CH323" s="195"/>
      <c r="CI323" s="194"/>
      <c r="CJ323" s="194"/>
      <c r="CK323" s="194"/>
      <c r="CL323" s="196"/>
      <c r="CM323" s="196"/>
      <c r="CN323" s="194"/>
      <c r="CO323" s="197"/>
      <c r="CP323" s="196"/>
      <c r="CQ323" s="196"/>
      <c r="CR323" s="196"/>
      <c r="CS323" s="196"/>
      <c r="CT323" s="196"/>
      <c r="CU323" s="196"/>
      <c r="CV323" s="194"/>
      <c r="CW323" s="194"/>
      <c r="CX323" s="194"/>
      <c r="CY323" s="194"/>
      <c r="CZ323" s="194"/>
      <c r="DA323" s="194"/>
      <c r="DB323" s="194"/>
      <c r="DC323" s="194"/>
      <c r="DD323" s="194"/>
      <c r="DE323" s="194"/>
      <c r="DF323" s="196"/>
      <c r="DG323" s="198"/>
      <c r="DH323" s="194"/>
      <c r="DI323" s="194"/>
    </row>
    <row r="324" spans="1:113" s="24" customFormat="1" hidden="1" x14ac:dyDescent="0.3">
      <c r="A324" s="172"/>
      <c r="B324" s="172"/>
      <c r="C324" s="172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  <c r="AG324" s="173"/>
      <c r="AH324" s="173"/>
      <c r="AI324" s="173"/>
      <c r="AJ324" s="173"/>
      <c r="AK324" s="173"/>
      <c r="AL324" s="173"/>
      <c r="AM324" s="173"/>
      <c r="AN324" s="173"/>
      <c r="AO324" s="173"/>
      <c r="AP324" s="173"/>
      <c r="AQ324" s="173"/>
      <c r="AR324" s="173"/>
      <c r="AS324" s="172"/>
      <c r="AT324" s="172"/>
      <c r="AU324" s="172"/>
      <c r="AV324" s="172"/>
      <c r="AW324" s="172"/>
      <c r="AX324" s="172"/>
      <c r="AY324" s="172"/>
      <c r="AZ324" s="172"/>
      <c r="BA324" s="172"/>
      <c r="BB324" s="172"/>
      <c r="BC324" s="172"/>
      <c r="BD324" s="172"/>
      <c r="BE324" s="172"/>
      <c r="BF324" s="172"/>
      <c r="BG324" s="172"/>
      <c r="BH324" s="172"/>
      <c r="BI324" s="172"/>
      <c r="BJ324" s="172"/>
      <c r="BK324" s="172"/>
      <c r="BL324" s="172"/>
      <c r="BM324" s="172"/>
      <c r="BN324" s="172"/>
      <c r="BO324" s="172"/>
      <c r="BP324" s="172"/>
      <c r="BQ324" s="172"/>
      <c r="BR324" s="172"/>
      <c r="BS324" s="172"/>
      <c r="BT324" s="172"/>
      <c r="BU324" s="172"/>
      <c r="BV324" s="172"/>
      <c r="BW324" s="172"/>
      <c r="BX324" s="172"/>
      <c r="BY324" s="174"/>
      <c r="BZ324" s="172"/>
      <c r="CA324" s="172"/>
      <c r="CD324" s="194"/>
      <c r="CE324" s="194"/>
      <c r="CF324" s="194"/>
      <c r="CG324" s="194"/>
      <c r="CH324" s="195"/>
      <c r="CI324" s="194"/>
      <c r="CJ324" s="194"/>
      <c r="CK324" s="194"/>
      <c r="CL324" s="196"/>
      <c r="CM324" s="196"/>
      <c r="CN324" s="194"/>
      <c r="CO324" s="197"/>
      <c r="CP324" s="196"/>
      <c r="CQ324" s="196"/>
      <c r="CR324" s="196"/>
      <c r="CS324" s="196"/>
      <c r="CT324" s="196"/>
      <c r="CU324" s="196"/>
      <c r="CV324" s="194"/>
      <c r="CW324" s="194"/>
      <c r="CX324" s="194"/>
      <c r="CY324" s="194"/>
      <c r="CZ324" s="194"/>
      <c r="DA324" s="194"/>
      <c r="DB324" s="194"/>
      <c r="DC324" s="194"/>
      <c r="DD324" s="194"/>
      <c r="DE324" s="194"/>
      <c r="DF324" s="196"/>
      <c r="DG324" s="198"/>
      <c r="DH324" s="194"/>
      <c r="DI324" s="194"/>
    </row>
    <row r="325" spans="1:113" s="24" customFormat="1" hidden="1" x14ac:dyDescent="0.3">
      <c r="A325" s="172"/>
      <c r="B325" s="172"/>
      <c r="C325" s="172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  <c r="AG325" s="173"/>
      <c r="AH325" s="173"/>
      <c r="AI325" s="173"/>
      <c r="AJ325" s="173"/>
      <c r="AK325" s="173"/>
      <c r="AL325" s="173"/>
      <c r="AM325" s="173"/>
      <c r="AN325" s="173"/>
      <c r="AO325" s="173"/>
      <c r="AP325" s="173"/>
      <c r="AQ325" s="173"/>
      <c r="AR325" s="173"/>
      <c r="AS325" s="172"/>
      <c r="AT325" s="172"/>
      <c r="AU325" s="172"/>
      <c r="AV325" s="172"/>
      <c r="AW325" s="172"/>
      <c r="AX325" s="172"/>
      <c r="AY325" s="172"/>
      <c r="AZ325" s="172"/>
      <c r="BA325" s="172"/>
      <c r="BB325" s="172"/>
      <c r="BC325" s="172"/>
      <c r="BD325" s="172"/>
      <c r="BE325" s="172"/>
      <c r="BF325" s="172"/>
      <c r="BG325" s="172"/>
      <c r="BH325" s="172"/>
      <c r="BI325" s="172"/>
      <c r="BJ325" s="172"/>
      <c r="BK325" s="172"/>
      <c r="BL325" s="172"/>
      <c r="BM325" s="172"/>
      <c r="BN325" s="172"/>
      <c r="BO325" s="172"/>
      <c r="BP325" s="172"/>
      <c r="BQ325" s="172"/>
      <c r="BR325" s="172"/>
      <c r="BS325" s="172"/>
      <c r="BT325" s="172"/>
      <c r="BU325" s="172"/>
      <c r="BV325" s="172"/>
      <c r="BW325" s="172"/>
      <c r="BX325" s="172"/>
      <c r="BY325" s="174"/>
      <c r="BZ325" s="172"/>
      <c r="CA325" s="172"/>
      <c r="CD325" s="194"/>
      <c r="CE325" s="194"/>
      <c r="CF325" s="194"/>
      <c r="CG325" s="194"/>
      <c r="CH325" s="195"/>
      <c r="CI325" s="194"/>
      <c r="CJ325" s="194"/>
      <c r="CK325" s="194"/>
      <c r="CL325" s="196"/>
      <c r="CM325" s="196"/>
      <c r="CN325" s="194"/>
      <c r="CO325" s="197"/>
      <c r="CP325" s="196"/>
      <c r="CQ325" s="196"/>
      <c r="CR325" s="196"/>
      <c r="CS325" s="196"/>
      <c r="CT325" s="196"/>
      <c r="CU325" s="196"/>
      <c r="CV325" s="194"/>
      <c r="CW325" s="194"/>
      <c r="CX325" s="194"/>
      <c r="CY325" s="194"/>
      <c r="CZ325" s="194"/>
      <c r="DA325" s="194"/>
      <c r="DB325" s="194"/>
      <c r="DC325" s="194"/>
      <c r="DD325" s="194"/>
      <c r="DE325" s="194"/>
      <c r="DF325" s="196"/>
      <c r="DG325" s="198"/>
      <c r="DH325" s="194"/>
      <c r="DI325" s="194"/>
    </row>
    <row r="326" spans="1:113" s="24" customFormat="1" hidden="1" x14ac:dyDescent="0.3">
      <c r="A326" s="172"/>
      <c r="B326" s="172"/>
      <c r="C326" s="172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  <c r="AG326" s="173"/>
      <c r="AH326" s="173"/>
      <c r="AI326" s="173"/>
      <c r="AJ326" s="173"/>
      <c r="AK326" s="173"/>
      <c r="AL326" s="173"/>
      <c r="AM326" s="173"/>
      <c r="AN326" s="173"/>
      <c r="AO326" s="173"/>
      <c r="AP326" s="173"/>
      <c r="AQ326" s="173"/>
      <c r="AR326" s="173"/>
      <c r="AS326" s="172"/>
      <c r="AT326" s="172"/>
      <c r="AU326" s="172"/>
      <c r="AV326" s="172"/>
      <c r="AW326" s="172"/>
      <c r="AX326" s="172"/>
      <c r="AY326" s="172"/>
      <c r="AZ326" s="172"/>
      <c r="BA326" s="172"/>
      <c r="BB326" s="172"/>
      <c r="BC326" s="172"/>
      <c r="BD326" s="172"/>
      <c r="BE326" s="172"/>
      <c r="BF326" s="172"/>
      <c r="BG326" s="172"/>
      <c r="BH326" s="172"/>
      <c r="BI326" s="172"/>
      <c r="BJ326" s="172"/>
      <c r="BK326" s="172"/>
      <c r="BL326" s="172"/>
      <c r="BM326" s="172"/>
      <c r="BN326" s="172"/>
      <c r="BO326" s="172"/>
      <c r="BP326" s="172"/>
      <c r="BQ326" s="172"/>
      <c r="BR326" s="172"/>
      <c r="BS326" s="172"/>
      <c r="BT326" s="172"/>
      <c r="BU326" s="172"/>
      <c r="BV326" s="172"/>
      <c r="BW326" s="172"/>
      <c r="BX326" s="172"/>
      <c r="BY326" s="174"/>
      <c r="BZ326" s="172"/>
      <c r="CA326" s="172"/>
      <c r="CD326" s="194"/>
      <c r="CE326" s="194"/>
      <c r="CF326" s="194"/>
      <c r="CG326" s="194"/>
      <c r="CH326" s="195"/>
      <c r="CI326" s="194"/>
      <c r="CJ326" s="194"/>
      <c r="CK326" s="194"/>
      <c r="CL326" s="196"/>
      <c r="CM326" s="196"/>
      <c r="CN326" s="194"/>
      <c r="CO326" s="197"/>
      <c r="CP326" s="196"/>
      <c r="CQ326" s="196"/>
      <c r="CR326" s="196"/>
      <c r="CS326" s="196"/>
      <c r="CT326" s="196"/>
      <c r="CU326" s="196"/>
      <c r="CV326" s="194"/>
      <c r="CW326" s="194"/>
      <c r="CX326" s="194"/>
      <c r="CY326" s="194"/>
      <c r="CZ326" s="194"/>
      <c r="DA326" s="194"/>
      <c r="DB326" s="194"/>
      <c r="DC326" s="194"/>
      <c r="DD326" s="194"/>
      <c r="DE326" s="194"/>
      <c r="DF326" s="196"/>
      <c r="DG326" s="198"/>
      <c r="DH326" s="194"/>
      <c r="DI326" s="194"/>
    </row>
    <row r="327" spans="1:113" s="24" customFormat="1" hidden="1" x14ac:dyDescent="0.3">
      <c r="A327" s="172"/>
      <c r="B327" s="172"/>
      <c r="C327" s="172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  <c r="AG327" s="173"/>
      <c r="AH327" s="173"/>
      <c r="AI327" s="173"/>
      <c r="AJ327" s="173"/>
      <c r="AK327" s="173"/>
      <c r="AL327" s="173"/>
      <c r="AM327" s="173"/>
      <c r="AN327" s="173"/>
      <c r="AO327" s="173"/>
      <c r="AP327" s="173"/>
      <c r="AQ327" s="173"/>
      <c r="AR327" s="173"/>
      <c r="AS327" s="172"/>
      <c r="AT327" s="172"/>
      <c r="AU327" s="172"/>
      <c r="AV327" s="172"/>
      <c r="AW327" s="172"/>
      <c r="AX327" s="172"/>
      <c r="AY327" s="172"/>
      <c r="AZ327" s="172"/>
      <c r="BA327" s="172"/>
      <c r="BB327" s="172"/>
      <c r="BC327" s="172"/>
      <c r="BD327" s="172"/>
      <c r="BE327" s="172"/>
      <c r="BF327" s="172"/>
      <c r="BG327" s="172"/>
      <c r="BH327" s="172"/>
      <c r="BI327" s="172"/>
      <c r="BJ327" s="172"/>
      <c r="BK327" s="172"/>
      <c r="BL327" s="172"/>
      <c r="BM327" s="172"/>
      <c r="BN327" s="172"/>
      <c r="BO327" s="172"/>
      <c r="BP327" s="172"/>
      <c r="BQ327" s="172"/>
      <c r="BR327" s="172"/>
      <c r="BS327" s="172"/>
      <c r="BT327" s="172"/>
      <c r="BU327" s="172"/>
      <c r="BV327" s="172"/>
      <c r="BW327" s="172"/>
      <c r="BX327" s="172"/>
      <c r="BY327" s="174"/>
      <c r="BZ327" s="172"/>
      <c r="CA327" s="172"/>
      <c r="CD327" s="194"/>
      <c r="CE327" s="194"/>
      <c r="CF327" s="194"/>
      <c r="CG327" s="194"/>
      <c r="CH327" s="195"/>
      <c r="CI327" s="194"/>
      <c r="CJ327" s="194"/>
      <c r="CK327" s="194"/>
      <c r="CL327" s="196"/>
      <c r="CM327" s="196"/>
      <c r="CN327" s="194"/>
      <c r="CO327" s="197"/>
      <c r="CP327" s="196"/>
      <c r="CQ327" s="196"/>
      <c r="CR327" s="196"/>
      <c r="CS327" s="196"/>
      <c r="CT327" s="196"/>
      <c r="CU327" s="196"/>
      <c r="CV327" s="194"/>
      <c r="CW327" s="194"/>
      <c r="CX327" s="194"/>
      <c r="CY327" s="194"/>
      <c r="CZ327" s="194"/>
      <c r="DA327" s="194"/>
      <c r="DB327" s="194"/>
      <c r="DC327" s="194"/>
      <c r="DD327" s="194"/>
      <c r="DE327" s="194"/>
      <c r="DF327" s="196"/>
      <c r="DG327" s="198"/>
      <c r="DH327" s="194"/>
      <c r="DI327" s="194"/>
    </row>
    <row r="328" spans="1:113" s="24" customFormat="1" hidden="1" x14ac:dyDescent="0.3">
      <c r="A328" s="172"/>
      <c r="B328" s="172"/>
      <c r="C328" s="172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  <c r="AG328" s="173"/>
      <c r="AH328" s="173"/>
      <c r="AI328" s="173"/>
      <c r="AJ328" s="173"/>
      <c r="AK328" s="173"/>
      <c r="AL328" s="173"/>
      <c r="AM328" s="173"/>
      <c r="AN328" s="173"/>
      <c r="AO328" s="173"/>
      <c r="AP328" s="173"/>
      <c r="AQ328" s="173"/>
      <c r="AR328" s="173"/>
      <c r="AS328" s="172"/>
      <c r="AT328" s="172"/>
      <c r="AU328" s="172"/>
      <c r="AV328" s="172"/>
      <c r="AW328" s="172"/>
      <c r="AX328" s="172"/>
      <c r="AY328" s="172"/>
      <c r="AZ328" s="172"/>
      <c r="BA328" s="172"/>
      <c r="BB328" s="172"/>
      <c r="BC328" s="172"/>
      <c r="BD328" s="172"/>
      <c r="BE328" s="172"/>
      <c r="BF328" s="172"/>
      <c r="BG328" s="172"/>
      <c r="BH328" s="172"/>
      <c r="BI328" s="172"/>
      <c r="BJ328" s="172"/>
      <c r="BK328" s="172"/>
      <c r="BL328" s="172"/>
      <c r="BM328" s="172"/>
      <c r="BN328" s="172"/>
      <c r="BO328" s="172"/>
      <c r="BP328" s="172"/>
      <c r="BQ328" s="172"/>
      <c r="BR328" s="172"/>
      <c r="BS328" s="172"/>
      <c r="BT328" s="172"/>
      <c r="BU328" s="172"/>
      <c r="BV328" s="172"/>
      <c r="BW328" s="172"/>
      <c r="BX328" s="172"/>
      <c r="BY328" s="174"/>
      <c r="BZ328" s="172"/>
      <c r="CA328" s="172"/>
      <c r="CD328" s="194"/>
      <c r="CE328" s="194"/>
      <c r="CF328" s="194"/>
      <c r="CG328" s="194"/>
      <c r="CH328" s="195"/>
      <c r="CI328" s="194"/>
      <c r="CJ328" s="194"/>
      <c r="CK328" s="194"/>
      <c r="CL328" s="196"/>
      <c r="CM328" s="196"/>
      <c r="CN328" s="194"/>
      <c r="CO328" s="197"/>
      <c r="CP328" s="196"/>
      <c r="CQ328" s="196"/>
      <c r="CR328" s="196"/>
      <c r="CS328" s="196"/>
      <c r="CT328" s="196"/>
      <c r="CU328" s="196"/>
      <c r="CV328" s="194"/>
      <c r="CW328" s="194"/>
      <c r="CX328" s="194"/>
      <c r="CY328" s="194"/>
      <c r="CZ328" s="194"/>
      <c r="DA328" s="194"/>
      <c r="DB328" s="194"/>
      <c r="DC328" s="194"/>
      <c r="DD328" s="194"/>
      <c r="DE328" s="194"/>
      <c r="DF328" s="196"/>
      <c r="DG328" s="198"/>
      <c r="DH328" s="194"/>
      <c r="DI328" s="194"/>
    </row>
    <row r="329" spans="1:113" s="24" customFormat="1" hidden="1" x14ac:dyDescent="0.3">
      <c r="A329" s="172"/>
      <c r="B329" s="172"/>
      <c r="C329" s="172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  <c r="AG329" s="173"/>
      <c r="AH329" s="173"/>
      <c r="AI329" s="173"/>
      <c r="AJ329" s="173"/>
      <c r="AK329" s="173"/>
      <c r="AL329" s="173"/>
      <c r="AM329" s="173"/>
      <c r="AN329" s="173"/>
      <c r="AO329" s="173"/>
      <c r="AP329" s="173"/>
      <c r="AQ329" s="173"/>
      <c r="AR329" s="173"/>
      <c r="AS329" s="172"/>
      <c r="AT329" s="172"/>
      <c r="AU329" s="172"/>
      <c r="AV329" s="172"/>
      <c r="AW329" s="172"/>
      <c r="AX329" s="172"/>
      <c r="AY329" s="172"/>
      <c r="AZ329" s="172"/>
      <c r="BA329" s="172"/>
      <c r="BB329" s="172"/>
      <c r="BC329" s="172"/>
      <c r="BD329" s="172"/>
      <c r="BE329" s="172"/>
      <c r="BF329" s="172"/>
      <c r="BG329" s="172"/>
      <c r="BH329" s="172"/>
      <c r="BI329" s="172"/>
      <c r="BJ329" s="172"/>
      <c r="BK329" s="172"/>
      <c r="BL329" s="172"/>
      <c r="BM329" s="172"/>
      <c r="BN329" s="172"/>
      <c r="BO329" s="172"/>
      <c r="BP329" s="172"/>
      <c r="BQ329" s="172"/>
      <c r="BR329" s="172"/>
      <c r="BS329" s="172"/>
      <c r="BT329" s="172"/>
      <c r="BU329" s="172"/>
      <c r="BV329" s="172"/>
      <c r="BW329" s="172"/>
      <c r="BX329" s="172"/>
      <c r="BY329" s="174"/>
      <c r="BZ329" s="172"/>
      <c r="CA329" s="172"/>
      <c r="CD329" s="194"/>
      <c r="CE329" s="194"/>
      <c r="CF329" s="194"/>
      <c r="CG329" s="194"/>
      <c r="CH329" s="195"/>
      <c r="CI329" s="194"/>
      <c r="CJ329" s="194"/>
      <c r="CK329" s="194"/>
      <c r="CL329" s="196"/>
      <c r="CM329" s="196"/>
      <c r="CN329" s="194"/>
      <c r="CO329" s="197"/>
      <c r="CP329" s="196"/>
      <c r="CQ329" s="196"/>
      <c r="CR329" s="196"/>
      <c r="CS329" s="196"/>
      <c r="CT329" s="196"/>
      <c r="CU329" s="196"/>
      <c r="CV329" s="194"/>
      <c r="CW329" s="194"/>
      <c r="CX329" s="194"/>
      <c r="CY329" s="194"/>
      <c r="CZ329" s="194"/>
      <c r="DA329" s="194"/>
      <c r="DB329" s="194"/>
      <c r="DC329" s="194"/>
      <c r="DD329" s="194"/>
      <c r="DE329" s="194"/>
      <c r="DF329" s="196"/>
      <c r="DG329" s="198"/>
      <c r="DH329" s="194"/>
      <c r="DI329" s="194"/>
    </row>
    <row r="330" spans="1:113" s="24" customFormat="1" hidden="1" x14ac:dyDescent="0.3">
      <c r="A330" s="172"/>
      <c r="B330" s="172"/>
      <c r="C330" s="172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  <c r="AG330" s="173"/>
      <c r="AH330" s="173"/>
      <c r="AI330" s="173"/>
      <c r="AJ330" s="173"/>
      <c r="AK330" s="173"/>
      <c r="AL330" s="173"/>
      <c r="AM330" s="173"/>
      <c r="AN330" s="173"/>
      <c r="AO330" s="173"/>
      <c r="AP330" s="173"/>
      <c r="AQ330" s="173"/>
      <c r="AR330" s="173"/>
      <c r="AS330" s="172"/>
      <c r="AT330" s="172"/>
      <c r="AU330" s="172"/>
      <c r="AV330" s="172"/>
      <c r="AW330" s="172"/>
      <c r="AX330" s="172"/>
      <c r="AY330" s="172"/>
      <c r="AZ330" s="172"/>
      <c r="BA330" s="172"/>
      <c r="BB330" s="172"/>
      <c r="BC330" s="172"/>
      <c r="BD330" s="172"/>
      <c r="BE330" s="172"/>
      <c r="BF330" s="172"/>
      <c r="BG330" s="172"/>
      <c r="BH330" s="172"/>
      <c r="BI330" s="172"/>
      <c r="BJ330" s="172"/>
      <c r="BK330" s="172"/>
      <c r="BL330" s="172"/>
      <c r="BM330" s="172"/>
      <c r="BN330" s="172"/>
      <c r="BO330" s="172"/>
      <c r="BP330" s="172"/>
      <c r="BQ330" s="172"/>
      <c r="BR330" s="172"/>
      <c r="BS330" s="172"/>
      <c r="BT330" s="172"/>
      <c r="BU330" s="172"/>
      <c r="BV330" s="172"/>
      <c r="BW330" s="172"/>
      <c r="BX330" s="172"/>
      <c r="BY330" s="174"/>
      <c r="BZ330" s="172"/>
      <c r="CA330" s="172"/>
      <c r="CD330" s="194"/>
      <c r="CE330" s="194"/>
      <c r="CF330" s="194"/>
      <c r="CG330" s="194"/>
      <c r="CH330" s="195"/>
      <c r="CI330" s="194"/>
      <c r="CJ330" s="194"/>
      <c r="CK330" s="194"/>
      <c r="CL330" s="196"/>
      <c r="CM330" s="196"/>
      <c r="CN330" s="194"/>
      <c r="CO330" s="197"/>
      <c r="CP330" s="196"/>
      <c r="CQ330" s="196"/>
      <c r="CR330" s="196"/>
      <c r="CS330" s="196"/>
      <c r="CT330" s="196"/>
      <c r="CU330" s="196"/>
      <c r="CV330" s="194"/>
      <c r="CW330" s="194"/>
      <c r="CX330" s="194"/>
      <c r="CY330" s="194"/>
      <c r="CZ330" s="194"/>
      <c r="DA330" s="194"/>
      <c r="DB330" s="194"/>
      <c r="DC330" s="194"/>
      <c r="DD330" s="194"/>
      <c r="DE330" s="194"/>
      <c r="DF330" s="196"/>
      <c r="DG330" s="198"/>
      <c r="DH330" s="194"/>
      <c r="DI330" s="194"/>
    </row>
    <row r="331" spans="1:113" s="24" customFormat="1" hidden="1" x14ac:dyDescent="0.3">
      <c r="A331" s="172"/>
      <c r="B331" s="172"/>
      <c r="C331" s="172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  <c r="AG331" s="173"/>
      <c r="AH331" s="173"/>
      <c r="AI331" s="173"/>
      <c r="AJ331" s="173"/>
      <c r="AK331" s="173"/>
      <c r="AL331" s="173"/>
      <c r="AM331" s="173"/>
      <c r="AN331" s="173"/>
      <c r="AO331" s="173"/>
      <c r="AP331" s="173"/>
      <c r="AQ331" s="173"/>
      <c r="AR331" s="173"/>
      <c r="AS331" s="172"/>
      <c r="AT331" s="172"/>
      <c r="AU331" s="172"/>
      <c r="AV331" s="172"/>
      <c r="AW331" s="172"/>
      <c r="AX331" s="172"/>
      <c r="AY331" s="172"/>
      <c r="AZ331" s="172"/>
      <c r="BA331" s="172"/>
      <c r="BB331" s="172"/>
      <c r="BC331" s="172"/>
      <c r="BD331" s="172"/>
      <c r="BE331" s="172"/>
      <c r="BF331" s="172"/>
      <c r="BG331" s="172"/>
      <c r="BH331" s="172"/>
      <c r="BI331" s="172"/>
      <c r="BJ331" s="172"/>
      <c r="BK331" s="172"/>
      <c r="BL331" s="172"/>
      <c r="BM331" s="172"/>
      <c r="BN331" s="172"/>
      <c r="BO331" s="172"/>
      <c r="BP331" s="172"/>
      <c r="BQ331" s="172"/>
      <c r="BR331" s="172"/>
      <c r="BS331" s="172"/>
      <c r="BT331" s="172"/>
      <c r="BU331" s="172"/>
      <c r="BV331" s="172"/>
      <c r="BW331" s="172"/>
      <c r="BX331" s="172"/>
      <c r="BY331" s="174"/>
      <c r="BZ331" s="172"/>
      <c r="CA331" s="172"/>
      <c r="CD331" s="194"/>
      <c r="CE331" s="194"/>
      <c r="CF331" s="194"/>
      <c r="CG331" s="194"/>
      <c r="CH331" s="195"/>
      <c r="CI331" s="194"/>
      <c r="CJ331" s="194"/>
      <c r="CK331" s="194"/>
      <c r="CL331" s="196"/>
      <c r="CM331" s="196"/>
      <c r="CN331" s="194"/>
      <c r="CO331" s="197"/>
      <c r="CP331" s="196"/>
      <c r="CQ331" s="196"/>
      <c r="CR331" s="196"/>
      <c r="CS331" s="196"/>
      <c r="CT331" s="196"/>
      <c r="CU331" s="196"/>
      <c r="CV331" s="194"/>
      <c r="CW331" s="194"/>
      <c r="CX331" s="194"/>
      <c r="CY331" s="194"/>
      <c r="CZ331" s="194"/>
      <c r="DA331" s="194"/>
      <c r="DB331" s="194"/>
      <c r="DC331" s="194"/>
      <c r="DD331" s="194"/>
      <c r="DE331" s="194"/>
      <c r="DF331" s="196"/>
      <c r="DG331" s="198"/>
      <c r="DH331" s="194"/>
      <c r="DI331" s="194"/>
    </row>
    <row r="332" spans="1:113" s="24" customFormat="1" hidden="1" x14ac:dyDescent="0.3">
      <c r="A332" s="172"/>
      <c r="B332" s="172"/>
      <c r="C332" s="172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  <c r="AG332" s="173"/>
      <c r="AH332" s="173"/>
      <c r="AI332" s="173"/>
      <c r="AJ332" s="173"/>
      <c r="AK332" s="173"/>
      <c r="AL332" s="173"/>
      <c r="AM332" s="173"/>
      <c r="AN332" s="173"/>
      <c r="AO332" s="173"/>
      <c r="AP332" s="173"/>
      <c r="AQ332" s="173"/>
      <c r="AR332" s="173"/>
      <c r="AS332" s="172"/>
      <c r="AT332" s="172"/>
      <c r="AU332" s="172"/>
      <c r="AV332" s="172"/>
      <c r="AW332" s="172"/>
      <c r="AX332" s="172"/>
      <c r="AY332" s="172"/>
      <c r="AZ332" s="172"/>
      <c r="BA332" s="172"/>
      <c r="BB332" s="172"/>
      <c r="BC332" s="172"/>
      <c r="BD332" s="172"/>
      <c r="BE332" s="172"/>
      <c r="BF332" s="172"/>
      <c r="BG332" s="172"/>
      <c r="BH332" s="172"/>
      <c r="BI332" s="172"/>
      <c r="BJ332" s="172"/>
      <c r="BK332" s="172"/>
      <c r="BL332" s="172"/>
      <c r="BM332" s="172"/>
      <c r="BN332" s="172"/>
      <c r="BO332" s="172"/>
      <c r="BP332" s="172"/>
      <c r="BQ332" s="172"/>
      <c r="BR332" s="172"/>
      <c r="BS332" s="172"/>
      <c r="BT332" s="172"/>
      <c r="BU332" s="172"/>
      <c r="BV332" s="172"/>
      <c r="BW332" s="172"/>
      <c r="BX332" s="172"/>
      <c r="BY332" s="174"/>
      <c r="BZ332" s="172"/>
      <c r="CA332" s="172"/>
      <c r="CD332" s="194"/>
      <c r="CE332" s="194"/>
      <c r="CF332" s="194"/>
      <c r="CG332" s="194"/>
      <c r="CH332" s="195"/>
      <c r="CI332" s="194"/>
      <c r="CJ332" s="194"/>
      <c r="CK332" s="194"/>
      <c r="CL332" s="196"/>
      <c r="CM332" s="196"/>
      <c r="CN332" s="194"/>
      <c r="CO332" s="197"/>
      <c r="CP332" s="196"/>
      <c r="CQ332" s="196"/>
      <c r="CR332" s="196"/>
      <c r="CS332" s="196"/>
      <c r="CT332" s="196"/>
      <c r="CU332" s="196"/>
      <c r="CV332" s="194"/>
      <c r="CW332" s="194"/>
      <c r="CX332" s="194"/>
      <c r="CY332" s="194"/>
      <c r="CZ332" s="194"/>
      <c r="DA332" s="194"/>
      <c r="DB332" s="194"/>
      <c r="DC332" s="194"/>
      <c r="DD332" s="194"/>
      <c r="DE332" s="194"/>
      <c r="DF332" s="196"/>
      <c r="DG332" s="198"/>
      <c r="DH332" s="194"/>
      <c r="DI332" s="194"/>
    </row>
    <row r="333" spans="1:113" s="24" customFormat="1" hidden="1" x14ac:dyDescent="0.3">
      <c r="A333" s="172"/>
      <c r="B333" s="172"/>
      <c r="C333" s="172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  <c r="AG333" s="173"/>
      <c r="AH333" s="173"/>
      <c r="AI333" s="173"/>
      <c r="AJ333" s="173"/>
      <c r="AK333" s="173"/>
      <c r="AL333" s="173"/>
      <c r="AM333" s="173"/>
      <c r="AN333" s="173"/>
      <c r="AO333" s="173"/>
      <c r="AP333" s="173"/>
      <c r="AQ333" s="173"/>
      <c r="AR333" s="173"/>
      <c r="AS333" s="172"/>
      <c r="AT333" s="172"/>
      <c r="AU333" s="172"/>
      <c r="AV333" s="172"/>
      <c r="AW333" s="172"/>
      <c r="AX333" s="172"/>
      <c r="AY333" s="172"/>
      <c r="AZ333" s="172"/>
      <c r="BA333" s="172"/>
      <c r="BB333" s="172"/>
      <c r="BC333" s="172"/>
      <c r="BD333" s="172"/>
      <c r="BE333" s="172"/>
      <c r="BF333" s="172"/>
      <c r="BG333" s="172"/>
      <c r="BH333" s="172"/>
      <c r="BI333" s="172"/>
      <c r="BJ333" s="172"/>
      <c r="BK333" s="172"/>
      <c r="BL333" s="172"/>
      <c r="BM333" s="172"/>
      <c r="BN333" s="172"/>
      <c r="BO333" s="172"/>
      <c r="BP333" s="172"/>
      <c r="BQ333" s="172"/>
      <c r="BR333" s="172"/>
      <c r="BS333" s="172"/>
      <c r="BT333" s="172"/>
      <c r="BU333" s="172"/>
      <c r="BV333" s="172"/>
      <c r="BW333" s="172"/>
      <c r="BX333" s="172"/>
      <c r="BY333" s="174"/>
      <c r="BZ333" s="172"/>
      <c r="CA333" s="172"/>
      <c r="CD333" s="194"/>
      <c r="CE333" s="194"/>
      <c r="CF333" s="194"/>
      <c r="CG333" s="194"/>
      <c r="CH333" s="195"/>
      <c r="CI333" s="194"/>
      <c r="CJ333" s="194"/>
      <c r="CK333" s="194"/>
      <c r="CL333" s="196"/>
      <c r="CM333" s="196"/>
      <c r="CN333" s="194"/>
      <c r="CO333" s="197"/>
      <c r="CP333" s="196"/>
      <c r="CQ333" s="196"/>
      <c r="CR333" s="196"/>
      <c r="CS333" s="196"/>
      <c r="CT333" s="196"/>
      <c r="CU333" s="196"/>
      <c r="CV333" s="194"/>
      <c r="CW333" s="194"/>
      <c r="CX333" s="194"/>
      <c r="CY333" s="194"/>
      <c r="CZ333" s="194"/>
      <c r="DA333" s="194"/>
      <c r="DB333" s="194"/>
      <c r="DC333" s="194"/>
      <c r="DD333" s="194"/>
      <c r="DE333" s="194"/>
      <c r="DF333" s="196"/>
      <c r="DG333" s="198"/>
      <c r="DH333" s="194"/>
      <c r="DI333" s="194"/>
    </row>
    <row r="334" spans="1:113" s="24" customFormat="1" hidden="1" x14ac:dyDescent="0.3">
      <c r="A334" s="172"/>
      <c r="B334" s="172"/>
      <c r="C334" s="172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  <c r="AG334" s="173"/>
      <c r="AH334" s="173"/>
      <c r="AI334" s="173"/>
      <c r="AJ334" s="173"/>
      <c r="AK334" s="173"/>
      <c r="AL334" s="173"/>
      <c r="AM334" s="173"/>
      <c r="AN334" s="173"/>
      <c r="AO334" s="173"/>
      <c r="AP334" s="173"/>
      <c r="AQ334" s="173"/>
      <c r="AR334" s="173"/>
      <c r="AS334" s="172"/>
      <c r="AT334" s="172"/>
      <c r="AU334" s="172"/>
      <c r="AV334" s="172"/>
      <c r="AW334" s="172"/>
      <c r="AX334" s="172"/>
      <c r="AY334" s="172"/>
      <c r="AZ334" s="172"/>
      <c r="BA334" s="172"/>
      <c r="BB334" s="172"/>
      <c r="BC334" s="172"/>
      <c r="BD334" s="172"/>
      <c r="BE334" s="172"/>
      <c r="BF334" s="172"/>
      <c r="BG334" s="172"/>
      <c r="BH334" s="172"/>
      <c r="BI334" s="172"/>
      <c r="BJ334" s="172"/>
      <c r="BK334" s="172"/>
      <c r="BL334" s="172"/>
      <c r="BM334" s="172"/>
      <c r="BN334" s="172"/>
      <c r="BO334" s="172"/>
      <c r="BP334" s="172"/>
      <c r="BQ334" s="172"/>
      <c r="BR334" s="172"/>
      <c r="BS334" s="172"/>
      <c r="BT334" s="172"/>
      <c r="BU334" s="172"/>
      <c r="BV334" s="172"/>
      <c r="BW334" s="172"/>
      <c r="BX334" s="172"/>
      <c r="BY334" s="174"/>
      <c r="BZ334" s="172"/>
      <c r="CA334" s="172"/>
      <c r="CD334" s="194"/>
      <c r="CE334" s="194"/>
      <c r="CF334" s="194"/>
      <c r="CG334" s="194"/>
      <c r="CH334" s="195"/>
      <c r="CI334" s="194"/>
      <c r="CJ334" s="194"/>
      <c r="CK334" s="194"/>
      <c r="CL334" s="196"/>
      <c r="CM334" s="196"/>
      <c r="CN334" s="194"/>
      <c r="CO334" s="197"/>
      <c r="CP334" s="196"/>
      <c r="CQ334" s="196"/>
      <c r="CR334" s="196"/>
      <c r="CS334" s="196"/>
      <c r="CT334" s="196"/>
      <c r="CU334" s="196"/>
      <c r="CV334" s="194"/>
      <c r="CW334" s="194"/>
      <c r="CX334" s="194"/>
      <c r="CY334" s="194"/>
      <c r="CZ334" s="194"/>
      <c r="DA334" s="194"/>
      <c r="DB334" s="194"/>
      <c r="DC334" s="194"/>
      <c r="DD334" s="194"/>
      <c r="DE334" s="194"/>
      <c r="DF334" s="196"/>
      <c r="DG334" s="198"/>
      <c r="DH334" s="194"/>
      <c r="DI334" s="194"/>
    </row>
    <row r="335" spans="1:113" s="24" customFormat="1" hidden="1" x14ac:dyDescent="0.3">
      <c r="A335" s="172"/>
      <c r="B335" s="172"/>
      <c r="C335" s="172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  <c r="AG335" s="173"/>
      <c r="AH335" s="173"/>
      <c r="AI335" s="173"/>
      <c r="AJ335" s="173"/>
      <c r="AK335" s="173"/>
      <c r="AL335" s="173"/>
      <c r="AM335" s="173"/>
      <c r="AN335" s="173"/>
      <c r="AO335" s="173"/>
      <c r="AP335" s="173"/>
      <c r="AQ335" s="173"/>
      <c r="AR335" s="173"/>
      <c r="AS335" s="172"/>
      <c r="AT335" s="172"/>
      <c r="AU335" s="172"/>
      <c r="AV335" s="172"/>
      <c r="AW335" s="172"/>
      <c r="AX335" s="172"/>
      <c r="AY335" s="172"/>
      <c r="AZ335" s="172"/>
      <c r="BA335" s="172"/>
      <c r="BB335" s="172"/>
      <c r="BC335" s="172"/>
      <c r="BD335" s="172"/>
      <c r="BE335" s="172"/>
      <c r="BF335" s="172"/>
      <c r="BG335" s="172"/>
      <c r="BH335" s="172"/>
      <c r="BI335" s="172"/>
      <c r="BJ335" s="172"/>
      <c r="BK335" s="172"/>
      <c r="BL335" s="172"/>
      <c r="BM335" s="172"/>
      <c r="BN335" s="172"/>
      <c r="BO335" s="172"/>
      <c r="BP335" s="172"/>
      <c r="BQ335" s="172"/>
      <c r="BR335" s="172"/>
      <c r="BS335" s="172"/>
      <c r="BT335" s="172"/>
      <c r="BU335" s="172"/>
      <c r="BV335" s="172"/>
      <c r="BW335" s="172"/>
      <c r="BX335" s="172"/>
      <c r="BY335" s="174"/>
      <c r="BZ335" s="172"/>
      <c r="CA335" s="172"/>
      <c r="CD335" s="194"/>
      <c r="CE335" s="194"/>
      <c r="CF335" s="194"/>
      <c r="CG335" s="194"/>
      <c r="CH335" s="195"/>
      <c r="CI335" s="194"/>
      <c r="CJ335" s="194"/>
      <c r="CK335" s="194"/>
      <c r="CL335" s="196"/>
      <c r="CM335" s="196"/>
      <c r="CN335" s="194"/>
      <c r="CO335" s="197"/>
      <c r="CP335" s="196"/>
      <c r="CQ335" s="196"/>
      <c r="CR335" s="196"/>
      <c r="CS335" s="196"/>
      <c r="CT335" s="196"/>
      <c r="CU335" s="196"/>
      <c r="CV335" s="194"/>
      <c r="CW335" s="194"/>
      <c r="CX335" s="194"/>
      <c r="CY335" s="194"/>
      <c r="CZ335" s="194"/>
      <c r="DA335" s="194"/>
      <c r="DB335" s="194"/>
      <c r="DC335" s="194"/>
      <c r="DD335" s="194"/>
      <c r="DE335" s="194"/>
      <c r="DF335" s="196"/>
      <c r="DG335" s="198"/>
      <c r="DH335" s="194"/>
      <c r="DI335" s="194"/>
    </row>
    <row r="336" spans="1:113" s="24" customFormat="1" hidden="1" x14ac:dyDescent="0.3">
      <c r="A336" s="172"/>
      <c r="B336" s="172"/>
      <c r="C336" s="172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  <c r="AG336" s="173"/>
      <c r="AH336" s="173"/>
      <c r="AI336" s="173"/>
      <c r="AJ336" s="173"/>
      <c r="AK336" s="173"/>
      <c r="AL336" s="173"/>
      <c r="AM336" s="173"/>
      <c r="AN336" s="173"/>
      <c r="AO336" s="173"/>
      <c r="AP336" s="173"/>
      <c r="AQ336" s="173"/>
      <c r="AR336" s="173"/>
      <c r="AS336" s="172"/>
      <c r="AT336" s="172"/>
      <c r="AU336" s="172"/>
      <c r="AV336" s="172"/>
      <c r="AW336" s="172"/>
      <c r="AX336" s="172"/>
      <c r="AY336" s="172"/>
      <c r="AZ336" s="172"/>
      <c r="BA336" s="172"/>
      <c r="BB336" s="172"/>
      <c r="BC336" s="172"/>
      <c r="BD336" s="172"/>
      <c r="BE336" s="172"/>
      <c r="BF336" s="172"/>
      <c r="BG336" s="172"/>
      <c r="BH336" s="172"/>
      <c r="BI336" s="172"/>
      <c r="BJ336" s="172"/>
      <c r="BK336" s="172"/>
      <c r="BL336" s="172"/>
      <c r="BM336" s="172"/>
      <c r="BN336" s="172"/>
      <c r="BO336" s="172"/>
      <c r="BP336" s="172"/>
      <c r="BQ336" s="172"/>
      <c r="BR336" s="172"/>
      <c r="BS336" s="172"/>
      <c r="BT336" s="172"/>
      <c r="BU336" s="172"/>
      <c r="BV336" s="172"/>
      <c r="BW336" s="172"/>
      <c r="BX336" s="172"/>
      <c r="BY336" s="174"/>
      <c r="BZ336" s="172"/>
      <c r="CA336" s="172"/>
      <c r="CD336" s="194"/>
      <c r="CE336" s="194"/>
      <c r="CF336" s="194"/>
      <c r="CG336" s="194"/>
      <c r="CH336" s="195"/>
      <c r="CI336" s="194"/>
      <c r="CJ336" s="194"/>
      <c r="CK336" s="194"/>
      <c r="CL336" s="196"/>
      <c r="CM336" s="196"/>
      <c r="CN336" s="194"/>
      <c r="CO336" s="197"/>
      <c r="CP336" s="196"/>
      <c r="CQ336" s="196"/>
      <c r="CR336" s="196"/>
      <c r="CS336" s="196"/>
      <c r="CT336" s="196"/>
      <c r="CU336" s="196"/>
      <c r="CV336" s="194"/>
      <c r="CW336" s="194"/>
      <c r="CX336" s="194"/>
      <c r="CY336" s="194"/>
      <c r="CZ336" s="194"/>
      <c r="DA336" s="194"/>
      <c r="DB336" s="194"/>
      <c r="DC336" s="194"/>
      <c r="DD336" s="194"/>
      <c r="DE336" s="194"/>
      <c r="DF336" s="196"/>
      <c r="DG336" s="198"/>
      <c r="DH336" s="194"/>
      <c r="DI336" s="194"/>
    </row>
    <row r="337" spans="1:113" s="24" customFormat="1" hidden="1" x14ac:dyDescent="0.3">
      <c r="A337" s="172"/>
      <c r="B337" s="172"/>
      <c r="C337" s="172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  <c r="AG337" s="173"/>
      <c r="AH337" s="173"/>
      <c r="AI337" s="173"/>
      <c r="AJ337" s="173"/>
      <c r="AK337" s="173"/>
      <c r="AL337" s="173"/>
      <c r="AM337" s="173"/>
      <c r="AN337" s="173"/>
      <c r="AO337" s="173"/>
      <c r="AP337" s="173"/>
      <c r="AQ337" s="173"/>
      <c r="AR337" s="173"/>
      <c r="AS337" s="172"/>
      <c r="AT337" s="172"/>
      <c r="AU337" s="172"/>
      <c r="AV337" s="172"/>
      <c r="AW337" s="172"/>
      <c r="AX337" s="172"/>
      <c r="AY337" s="172"/>
      <c r="AZ337" s="172"/>
      <c r="BA337" s="172"/>
      <c r="BB337" s="172"/>
      <c r="BC337" s="172"/>
      <c r="BD337" s="172"/>
      <c r="BE337" s="172"/>
      <c r="BF337" s="172"/>
      <c r="BG337" s="172"/>
      <c r="BH337" s="172"/>
      <c r="BI337" s="172"/>
      <c r="BJ337" s="172"/>
      <c r="BK337" s="172"/>
      <c r="BL337" s="172"/>
      <c r="BM337" s="172"/>
      <c r="BN337" s="172"/>
      <c r="BO337" s="172"/>
      <c r="BP337" s="172"/>
      <c r="BQ337" s="172"/>
      <c r="BR337" s="172"/>
      <c r="BS337" s="172"/>
      <c r="BT337" s="172"/>
      <c r="BU337" s="172"/>
      <c r="BV337" s="172"/>
      <c r="BW337" s="172"/>
      <c r="BX337" s="172"/>
      <c r="BY337" s="174"/>
      <c r="BZ337" s="172"/>
      <c r="CA337" s="172"/>
      <c r="CD337" s="194"/>
      <c r="CE337" s="194"/>
      <c r="CF337" s="194"/>
      <c r="CG337" s="194"/>
      <c r="CH337" s="195"/>
      <c r="CI337" s="194"/>
      <c r="CJ337" s="194"/>
      <c r="CK337" s="194"/>
      <c r="CL337" s="196"/>
      <c r="CM337" s="196"/>
      <c r="CN337" s="194"/>
      <c r="CO337" s="197"/>
      <c r="CP337" s="196"/>
      <c r="CQ337" s="196"/>
      <c r="CR337" s="196"/>
      <c r="CS337" s="196"/>
      <c r="CT337" s="196"/>
      <c r="CU337" s="196"/>
      <c r="CV337" s="194"/>
      <c r="CW337" s="194"/>
      <c r="CX337" s="194"/>
      <c r="CY337" s="194"/>
      <c r="CZ337" s="194"/>
      <c r="DA337" s="194"/>
      <c r="DB337" s="194"/>
      <c r="DC337" s="194"/>
      <c r="DD337" s="194"/>
      <c r="DE337" s="194"/>
      <c r="DF337" s="196"/>
      <c r="DG337" s="198"/>
      <c r="DH337" s="194"/>
      <c r="DI337" s="194"/>
    </row>
    <row r="338" spans="1:113" s="24" customFormat="1" hidden="1" x14ac:dyDescent="0.3">
      <c r="A338" s="172"/>
      <c r="B338" s="172"/>
      <c r="C338" s="172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  <c r="AG338" s="173"/>
      <c r="AH338" s="173"/>
      <c r="AI338" s="173"/>
      <c r="AJ338" s="173"/>
      <c r="AK338" s="173"/>
      <c r="AL338" s="173"/>
      <c r="AM338" s="173"/>
      <c r="AN338" s="173"/>
      <c r="AO338" s="173"/>
      <c r="AP338" s="173"/>
      <c r="AQ338" s="173"/>
      <c r="AR338" s="173"/>
      <c r="AS338" s="172"/>
      <c r="AT338" s="172"/>
      <c r="AU338" s="172"/>
      <c r="AV338" s="172"/>
      <c r="AW338" s="172"/>
      <c r="AX338" s="172"/>
      <c r="AY338" s="172"/>
      <c r="AZ338" s="172"/>
      <c r="BA338" s="172"/>
      <c r="BB338" s="172"/>
      <c r="BC338" s="172"/>
      <c r="BD338" s="172"/>
      <c r="BE338" s="172"/>
      <c r="BF338" s="172"/>
      <c r="BG338" s="172"/>
      <c r="BH338" s="172"/>
      <c r="BI338" s="172"/>
      <c r="BJ338" s="172"/>
      <c r="BK338" s="172"/>
      <c r="BL338" s="172"/>
      <c r="BM338" s="172"/>
      <c r="BN338" s="172"/>
      <c r="BO338" s="172"/>
      <c r="BP338" s="172"/>
      <c r="BQ338" s="172"/>
      <c r="BR338" s="172"/>
      <c r="BS338" s="172"/>
      <c r="BT338" s="172"/>
      <c r="BU338" s="172"/>
      <c r="BV338" s="172"/>
      <c r="BW338" s="172"/>
      <c r="BX338" s="172"/>
      <c r="BY338" s="174"/>
      <c r="BZ338" s="172"/>
      <c r="CA338" s="172"/>
      <c r="CD338" s="194"/>
      <c r="CE338" s="194"/>
      <c r="CF338" s="194"/>
      <c r="CG338" s="194"/>
      <c r="CH338" s="195"/>
      <c r="CI338" s="194"/>
      <c r="CJ338" s="194"/>
      <c r="CK338" s="194"/>
      <c r="CL338" s="196"/>
      <c r="CM338" s="196"/>
      <c r="CN338" s="194"/>
      <c r="CO338" s="197"/>
      <c r="CP338" s="196"/>
      <c r="CQ338" s="196"/>
      <c r="CR338" s="196"/>
      <c r="CS338" s="196"/>
      <c r="CT338" s="196"/>
      <c r="CU338" s="196"/>
      <c r="CV338" s="194"/>
      <c r="CW338" s="194"/>
      <c r="CX338" s="194"/>
      <c r="CY338" s="194"/>
      <c r="CZ338" s="194"/>
      <c r="DA338" s="194"/>
      <c r="DB338" s="194"/>
      <c r="DC338" s="194"/>
      <c r="DD338" s="194"/>
      <c r="DE338" s="194"/>
      <c r="DF338" s="196"/>
      <c r="DG338" s="198"/>
      <c r="DH338" s="194"/>
      <c r="DI338" s="194"/>
    </row>
    <row r="339" spans="1:113" s="24" customFormat="1" hidden="1" x14ac:dyDescent="0.3">
      <c r="A339" s="172"/>
      <c r="B339" s="172"/>
      <c r="C339" s="172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  <c r="AG339" s="173"/>
      <c r="AH339" s="173"/>
      <c r="AI339" s="173"/>
      <c r="AJ339" s="173"/>
      <c r="AK339" s="173"/>
      <c r="AL339" s="173"/>
      <c r="AM339" s="173"/>
      <c r="AN339" s="173"/>
      <c r="AO339" s="173"/>
      <c r="AP339" s="173"/>
      <c r="AQ339" s="173"/>
      <c r="AR339" s="173"/>
      <c r="AS339" s="172"/>
      <c r="AT339" s="172"/>
      <c r="AU339" s="172"/>
      <c r="AV339" s="172"/>
      <c r="AW339" s="172"/>
      <c r="AX339" s="172"/>
      <c r="AY339" s="172"/>
      <c r="AZ339" s="172"/>
      <c r="BA339" s="172"/>
      <c r="BB339" s="172"/>
      <c r="BC339" s="172"/>
      <c r="BD339" s="172"/>
      <c r="BE339" s="172"/>
      <c r="BF339" s="172"/>
      <c r="BG339" s="172"/>
      <c r="BH339" s="172"/>
      <c r="BI339" s="172"/>
      <c r="BJ339" s="172"/>
      <c r="BK339" s="172"/>
      <c r="BL339" s="172"/>
      <c r="BM339" s="172"/>
      <c r="BN339" s="172"/>
      <c r="BO339" s="172"/>
      <c r="BP339" s="172"/>
      <c r="BQ339" s="172"/>
      <c r="BR339" s="172"/>
      <c r="BS339" s="172"/>
      <c r="BT339" s="172"/>
      <c r="BU339" s="172"/>
      <c r="BV339" s="172"/>
      <c r="BW339" s="172"/>
      <c r="BX339" s="172"/>
      <c r="BY339" s="174"/>
      <c r="BZ339" s="172"/>
      <c r="CA339" s="172"/>
      <c r="CD339" s="194"/>
      <c r="CE339" s="194"/>
      <c r="CF339" s="194"/>
      <c r="CG339" s="194"/>
      <c r="CH339" s="195"/>
      <c r="CI339" s="194"/>
      <c r="CJ339" s="194"/>
      <c r="CK339" s="194"/>
      <c r="CL339" s="196"/>
      <c r="CM339" s="196"/>
      <c r="CN339" s="194"/>
      <c r="CO339" s="197"/>
      <c r="CP339" s="196"/>
      <c r="CQ339" s="196"/>
      <c r="CR339" s="196"/>
      <c r="CS339" s="196"/>
      <c r="CT339" s="196"/>
      <c r="CU339" s="196"/>
      <c r="CV339" s="194"/>
      <c r="CW339" s="194"/>
      <c r="CX339" s="194"/>
      <c r="CY339" s="194"/>
      <c r="CZ339" s="194"/>
      <c r="DA339" s="194"/>
      <c r="DB339" s="194"/>
      <c r="DC339" s="194"/>
      <c r="DD339" s="194"/>
      <c r="DE339" s="194"/>
      <c r="DF339" s="196"/>
      <c r="DG339" s="198"/>
      <c r="DH339" s="194"/>
      <c r="DI339" s="194"/>
    </row>
    <row r="340" spans="1:113" s="24" customFormat="1" hidden="1" x14ac:dyDescent="0.3">
      <c r="A340" s="172"/>
      <c r="B340" s="172"/>
      <c r="C340" s="172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  <c r="AG340" s="173"/>
      <c r="AH340" s="173"/>
      <c r="AI340" s="173"/>
      <c r="AJ340" s="173"/>
      <c r="AK340" s="173"/>
      <c r="AL340" s="173"/>
      <c r="AM340" s="173"/>
      <c r="AN340" s="173"/>
      <c r="AO340" s="173"/>
      <c r="AP340" s="173"/>
      <c r="AQ340" s="173"/>
      <c r="AR340" s="173"/>
      <c r="AS340" s="172"/>
      <c r="AT340" s="172"/>
      <c r="AU340" s="172"/>
      <c r="AV340" s="172"/>
      <c r="AW340" s="172"/>
      <c r="AX340" s="172"/>
      <c r="AY340" s="172"/>
      <c r="AZ340" s="172"/>
      <c r="BA340" s="172"/>
      <c r="BB340" s="172"/>
      <c r="BC340" s="172"/>
      <c r="BD340" s="172"/>
      <c r="BE340" s="172"/>
      <c r="BF340" s="172"/>
      <c r="BG340" s="172"/>
      <c r="BH340" s="172"/>
      <c r="BI340" s="172"/>
      <c r="BJ340" s="172"/>
      <c r="BK340" s="172"/>
      <c r="BL340" s="172"/>
      <c r="BM340" s="172"/>
      <c r="BN340" s="172"/>
      <c r="BO340" s="172"/>
      <c r="BP340" s="172"/>
      <c r="BQ340" s="172"/>
      <c r="BR340" s="172"/>
      <c r="BS340" s="172"/>
      <c r="BT340" s="172"/>
      <c r="BU340" s="172"/>
      <c r="BV340" s="172"/>
      <c r="BW340" s="172"/>
      <c r="BX340" s="172"/>
      <c r="BY340" s="174"/>
      <c r="BZ340" s="172"/>
      <c r="CA340" s="172"/>
      <c r="CD340" s="194"/>
      <c r="CE340" s="194"/>
      <c r="CF340" s="194"/>
      <c r="CG340" s="194"/>
      <c r="CH340" s="195"/>
      <c r="CI340" s="194"/>
      <c r="CJ340" s="194"/>
      <c r="CK340" s="194"/>
      <c r="CL340" s="196"/>
      <c r="CM340" s="196"/>
      <c r="CN340" s="194"/>
      <c r="CO340" s="197"/>
      <c r="CP340" s="196"/>
      <c r="CQ340" s="196"/>
      <c r="CR340" s="196"/>
      <c r="CS340" s="196"/>
      <c r="CT340" s="196"/>
      <c r="CU340" s="196"/>
      <c r="CV340" s="194"/>
      <c r="CW340" s="194"/>
      <c r="CX340" s="194"/>
      <c r="CY340" s="194"/>
      <c r="CZ340" s="194"/>
      <c r="DA340" s="194"/>
      <c r="DB340" s="194"/>
      <c r="DC340" s="194"/>
      <c r="DD340" s="194"/>
      <c r="DE340" s="194"/>
      <c r="DF340" s="196"/>
      <c r="DG340" s="198"/>
      <c r="DH340" s="194"/>
      <c r="DI340" s="194"/>
    </row>
    <row r="341" spans="1:113" s="24" customFormat="1" hidden="1" x14ac:dyDescent="0.3">
      <c r="A341" s="172"/>
      <c r="B341" s="172"/>
      <c r="C341" s="172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  <c r="AG341" s="173"/>
      <c r="AH341" s="173"/>
      <c r="AI341" s="173"/>
      <c r="AJ341" s="173"/>
      <c r="AK341" s="173"/>
      <c r="AL341" s="173"/>
      <c r="AM341" s="173"/>
      <c r="AN341" s="173"/>
      <c r="AO341" s="173"/>
      <c r="AP341" s="173"/>
      <c r="AQ341" s="173"/>
      <c r="AR341" s="173"/>
      <c r="AS341" s="172"/>
      <c r="AT341" s="172"/>
      <c r="AU341" s="172"/>
      <c r="AV341" s="172"/>
      <c r="AW341" s="172"/>
      <c r="AX341" s="172"/>
      <c r="AY341" s="172"/>
      <c r="AZ341" s="172"/>
      <c r="BA341" s="172"/>
      <c r="BB341" s="172"/>
      <c r="BC341" s="172"/>
      <c r="BD341" s="172"/>
      <c r="BE341" s="172"/>
      <c r="BF341" s="172"/>
      <c r="BG341" s="172"/>
      <c r="BH341" s="172"/>
      <c r="BI341" s="172"/>
      <c r="BJ341" s="172"/>
      <c r="BK341" s="172"/>
      <c r="BL341" s="172"/>
      <c r="BM341" s="172"/>
      <c r="BN341" s="172"/>
      <c r="BO341" s="172"/>
      <c r="BP341" s="172"/>
      <c r="BQ341" s="172"/>
      <c r="BR341" s="172"/>
      <c r="BS341" s="172"/>
      <c r="BT341" s="172"/>
      <c r="BU341" s="172"/>
      <c r="BV341" s="172"/>
      <c r="BW341" s="172"/>
      <c r="BX341" s="172"/>
      <c r="BY341" s="174"/>
      <c r="BZ341" s="172"/>
      <c r="CA341" s="172"/>
      <c r="CD341" s="194"/>
      <c r="CE341" s="194"/>
      <c r="CF341" s="194"/>
      <c r="CG341" s="194"/>
      <c r="CH341" s="195"/>
      <c r="CI341" s="194"/>
      <c r="CJ341" s="194"/>
      <c r="CK341" s="194"/>
      <c r="CL341" s="196"/>
      <c r="CM341" s="196"/>
      <c r="CN341" s="194"/>
      <c r="CO341" s="197"/>
      <c r="CP341" s="196"/>
      <c r="CQ341" s="196"/>
      <c r="CR341" s="196"/>
      <c r="CS341" s="196"/>
      <c r="CT341" s="196"/>
      <c r="CU341" s="196"/>
      <c r="CV341" s="194"/>
      <c r="CW341" s="194"/>
      <c r="CX341" s="194"/>
      <c r="CY341" s="194"/>
      <c r="CZ341" s="194"/>
      <c r="DA341" s="194"/>
      <c r="DB341" s="194"/>
      <c r="DC341" s="194"/>
      <c r="DD341" s="194"/>
      <c r="DE341" s="194"/>
      <c r="DF341" s="196"/>
      <c r="DG341" s="198"/>
      <c r="DH341" s="194"/>
      <c r="DI341" s="194"/>
    </row>
    <row r="342" spans="1:113" s="24" customFormat="1" hidden="1" x14ac:dyDescent="0.3">
      <c r="A342" s="172"/>
      <c r="B342" s="172"/>
      <c r="C342" s="172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  <c r="AG342" s="173"/>
      <c r="AH342" s="173"/>
      <c r="AI342" s="173"/>
      <c r="AJ342" s="173"/>
      <c r="AK342" s="173"/>
      <c r="AL342" s="173"/>
      <c r="AM342" s="173"/>
      <c r="AN342" s="173"/>
      <c r="AO342" s="173"/>
      <c r="AP342" s="173"/>
      <c r="AQ342" s="173"/>
      <c r="AR342" s="173"/>
      <c r="AS342" s="172"/>
      <c r="AT342" s="172"/>
      <c r="AU342" s="172"/>
      <c r="AV342" s="172"/>
      <c r="AW342" s="172"/>
      <c r="AX342" s="172"/>
      <c r="AY342" s="172"/>
      <c r="AZ342" s="172"/>
      <c r="BA342" s="172"/>
      <c r="BB342" s="172"/>
      <c r="BC342" s="172"/>
      <c r="BD342" s="172"/>
      <c r="BE342" s="172"/>
      <c r="BF342" s="172"/>
      <c r="BG342" s="172"/>
      <c r="BH342" s="172"/>
      <c r="BI342" s="172"/>
      <c r="BJ342" s="172"/>
      <c r="BK342" s="172"/>
      <c r="BL342" s="172"/>
      <c r="BM342" s="172"/>
      <c r="BN342" s="172"/>
      <c r="BO342" s="172"/>
      <c r="BP342" s="172"/>
      <c r="BQ342" s="172"/>
      <c r="BR342" s="172"/>
      <c r="BS342" s="172"/>
      <c r="BT342" s="172"/>
      <c r="BU342" s="172"/>
      <c r="BV342" s="172"/>
      <c r="BW342" s="172"/>
      <c r="BX342" s="172"/>
      <c r="BY342" s="174"/>
      <c r="BZ342" s="172"/>
      <c r="CA342" s="172"/>
      <c r="CD342" s="194"/>
      <c r="CE342" s="194"/>
      <c r="CF342" s="194"/>
      <c r="CG342" s="194"/>
      <c r="CH342" s="195"/>
      <c r="CI342" s="194"/>
      <c r="CJ342" s="194"/>
      <c r="CK342" s="194"/>
      <c r="CL342" s="196"/>
      <c r="CM342" s="196"/>
      <c r="CN342" s="194"/>
      <c r="CO342" s="197"/>
      <c r="CP342" s="196"/>
      <c r="CQ342" s="196"/>
      <c r="CR342" s="196"/>
      <c r="CS342" s="196"/>
      <c r="CT342" s="196"/>
      <c r="CU342" s="196"/>
      <c r="CV342" s="194"/>
      <c r="CW342" s="194"/>
      <c r="CX342" s="194"/>
      <c r="CY342" s="194"/>
      <c r="CZ342" s="194"/>
      <c r="DA342" s="194"/>
      <c r="DB342" s="194"/>
      <c r="DC342" s="194"/>
      <c r="DD342" s="194"/>
      <c r="DE342" s="194"/>
      <c r="DF342" s="196"/>
      <c r="DG342" s="198"/>
      <c r="DH342" s="194"/>
      <c r="DI342" s="194"/>
    </row>
    <row r="343" spans="1:113" s="24" customFormat="1" hidden="1" x14ac:dyDescent="0.3">
      <c r="A343" s="172"/>
      <c r="B343" s="172"/>
      <c r="C343" s="172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  <c r="AG343" s="173"/>
      <c r="AH343" s="173"/>
      <c r="AI343" s="173"/>
      <c r="AJ343" s="173"/>
      <c r="AK343" s="173"/>
      <c r="AL343" s="173"/>
      <c r="AM343" s="173"/>
      <c r="AN343" s="173"/>
      <c r="AO343" s="173"/>
      <c r="AP343" s="173"/>
      <c r="AQ343" s="173"/>
      <c r="AR343" s="173"/>
      <c r="AS343" s="172"/>
      <c r="AT343" s="172"/>
      <c r="AU343" s="172"/>
      <c r="AV343" s="172"/>
      <c r="AW343" s="172"/>
      <c r="AX343" s="172"/>
      <c r="AY343" s="172"/>
      <c r="AZ343" s="172"/>
      <c r="BA343" s="172"/>
      <c r="BB343" s="172"/>
      <c r="BC343" s="172"/>
      <c r="BD343" s="172"/>
      <c r="BE343" s="172"/>
      <c r="BF343" s="172"/>
      <c r="BG343" s="172"/>
      <c r="BH343" s="172"/>
      <c r="BI343" s="172"/>
      <c r="BJ343" s="172"/>
      <c r="BK343" s="172"/>
      <c r="BL343" s="172"/>
      <c r="BM343" s="172"/>
      <c r="BN343" s="172"/>
      <c r="BO343" s="172"/>
      <c r="BP343" s="172"/>
      <c r="BQ343" s="172"/>
      <c r="BR343" s="172"/>
      <c r="BS343" s="172"/>
      <c r="BT343" s="172"/>
      <c r="BU343" s="172"/>
      <c r="BV343" s="172"/>
      <c r="BW343" s="172"/>
      <c r="BX343" s="172"/>
      <c r="BY343" s="174"/>
      <c r="BZ343" s="172"/>
      <c r="CA343" s="172"/>
      <c r="CD343" s="194"/>
      <c r="CE343" s="194"/>
      <c r="CF343" s="194"/>
      <c r="CG343" s="194"/>
      <c r="CH343" s="195"/>
      <c r="CI343" s="194"/>
      <c r="CJ343" s="194"/>
      <c r="CK343" s="194"/>
      <c r="CL343" s="196"/>
      <c r="CM343" s="196"/>
      <c r="CN343" s="194"/>
      <c r="CO343" s="197"/>
      <c r="CP343" s="196"/>
      <c r="CQ343" s="196"/>
      <c r="CR343" s="196"/>
      <c r="CS343" s="196"/>
      <c r="CT343" s="196"/>
      <c r="CU343" s="196"/>
      <c r="CV343" s="194"/>
      <c r="CW343" s="194"/>
      <c r="CX343" s="194"/>
      <c r="CY343" s="194"/>
      <c r="CZ343" s="194"/>
      <c r="DA343" s="194"/>
      <c r="DB343" s="194"/>
      <c r="DC343" s="194"/>
      <c r="DD343" s="194"/>
      <c r="DE343" s="194"/>
      <c r="DF343" s="196"/>
      <c r="DG343" s="198"/>
      <c r="DH343" s="194"/>
      <c r="DI343" s="194"/>
    </row>
    <row r="344" spans="1:113" s="24" customFormat="1" hidden="1" x14ac:dyDescent="0.3">
      <c r="A344" s="172"/>
      <c r="B344" s="172"/>
      <c r="C344" s="172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  <c r="AG344" s="173"/>
      <c r="AH344" s="173"/>
      <c r="AI344" s="173"/>
      <c r="AJ344" s="173"/>
      <c r="AK344" s="173"/>
      <c r="AL344" s="173"/>
      <c r="AM344" s="173"/>
      <c r="AN344" s="173"/>
      <c r="AO344" s="173"/>
      <c r="AP344" s="173"/>
      <c r="AQ344" s="173"/>
      <c r="AR344" s="173"/>
      <c r="AS344" s="172"/>
      <c r="AT344" s="172"/>
      <c r="AU344" s="172"/>
      <c r="AV344" s="172"/>
      <c r="AW344" s="172"/>
      <c r="AX344" s="172"/>
      <c r="AY344" s="172"/>
      <c r="AZ344" s="172"/>
      <c r="BA344" s="172"/>
      <c r="BB344" s="172"/>
      <c r="BC344" s="172"/>
      <c r="BD344" s="172"/>
      <c r="BE344" s="172"/>
      <c r="BF344" s="172"/>
      <c r="BG344" s="172"/>
      <c r="BH344" s="172"/>
      <c r="BI344" s="172"/>
      <c r="BJ344" s="172"/>
      <c r="BK344" s="172"/>
      <c r="BL344" s="172"/>
      <c r="BM344" s="172"/>
      <c r="BN344" s="172"/>
      <c r="BO344" s="172"/>
      <c r="BP344" s="172"/>
      <c r="BQ344" s="172"/>
      <c r="BR344" s="172"/>
      <c r="BS344" s="172"/>
      <c r="BT344" s="172"/>
      <c r="BU344" s="172"/>
      <c r="BV344" s="172"/>
      <c r="BW344" s="172"/>
      <c r="BX344" s="172"/>
      <c r="BY344" s="174"/>
      <c r="BZ344" s="172"/>
      <c r="CA344" s="172"/>
      <c r="CD344" s="194"/>
      <c r="CE344" s="194"/>
      <c r="CF344" s="194"/>
      <c r="CG344" s="194"/>
      <c r="CH344" s="195"/>
      <c r="CI344" s="194"/>
      <c r="CJ344" s="194"/>
      <c r="CK344" s="194"/>
      <c r="CL344" s="196"/>
      <c r="CM344" s="196"/>
      <c r="CN344" s="194"/>
      <c r="CO344" s="197"/>
      <c r="CP344" s="196"/>
      <c r="CQ344" s="196"/>
      <c r="CR344" s="196"/>
      <c r="CS344" s="196"/>
      <c r="CT344" s="196"/>
      <c r="CU344" s="196"/>
      <c r="CV344" s="194"/>
      <c r="CW344" s="194"/>
      <c r="CX344" s="194"/>
      <c r="CY344" s="194"/>
      <c r="CZ344" s="194"/>
      <c r="DA344" s="194"/>
      <c r="DB344" s="194"/>
      <c r="DC344" s="194"/>
      <c r="DD344" s="194"/>
      <c r="DE344" s="194"/>
      <c r="DF344" s="196"/>
      <c r="DG344" s="198"/>
      <c r="DH344" s="194"/>
      <c r="DI344" s="194"/>
    </row>
    <row r="345" spans="1:113" s="24" customFormat="1" hidden="1" x14ac:dyDescent="0.3">
      <c r="A345" s="172"/>
      <c r="B345" s="172"/>
      <c r="C345" s="172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  <c r="AG345" s="173"/>
      <c r="AH345" s="173"/>
      <c r="AI345" s="173"/>
      <c r="AJ345" s="173"/>
      <c r="AK345" s="173"/>
      <c r="AL345" s="173"/>
      <c r="AM345" s="173"/>
      <c r="AN345" s="173"/>
      <c r="AO345" s="173"/>
      <c r="AP345" s="173"/>
      <c r="AQ345" s="173"/>
      <c r="AR345" s="173"/>
      <c r="AS345" s="172"/>
      <c r="AT345" s="172"/>
      <c r="AU345" s="172"/>
      <c r="AV345" s="172"/>
      <c r="AW345" s="172"/>
      <c r="AX345" s="172"/>
      <c r="AY345" s="172"/>
      <c r="AZ345" s="172"/>
      <c r="BA345" s="172"/>
      <c r="BB345" s="172"/>
      <c r="BC345" s="172"/>
      <c r="BD345" s="172"/>
      <c r="BE345" s="172"/>
      <c r="BF345" s="172"/>
      <c r="BG345" s="172"/>
      <c r="BH345" s="172"/>
      <c r="BI345" s="172"/>
      <c r="BJ345" s="172"/>
      <c r="BK345" s="172"/>
      <c r="BL345" s="172"/>
      <c r="BM345" s="172"/>
      <c r="BN345" s="172"/>
      <c r="BO345" s="172"/>
      <c r="BP345" s="172"/>
      <c r="BQ345" s="172"/>
      <c r="BR345" s="172"/>
      <c r="BS345" s="172"/>
      <c r="BT345" s="172"/>
      <c r="BU345" s="172"/>
      <c r="BV345" s="172"/>
      <c r="BW345" s="172"/>
      <c r="BX345" s="172"/>
      <c r="BY345" s="174"/>
      <c r="BZ345" s="172"/>
      <c r="CA345" s="172"/>
      <c r="CD345" s="194"/>
      <c r="CE345" s="194"/>
      <c r="CF345" s="194"/>
      <c r="CG345" s="194"/>
      <c r="CH345" s="195"/>
      <c r="CI345" s="194"/>
      <c r="CJ345" s="194"/>
      <c r="CK345" s="194"/>
      <c r="CL345" s="196"/>
      <c r="CM345" s="196"/>
      <c r="CN345" s="194"/>
      <c r="CO345" s="197"/>
      <c r="CP345" s="196"/>
      <c r="CQ345" s="196"/>
      <c r="CR345" s="196"/>
      <c r="CS345" s="196"/>
      <c r="CT345" s="196"/>
      <c r="CU345" s="196"/>
      <c r="CV345" s="194"/>
      <c r="CW345" s="194"/>
      <c r="CX345" s="194"/>
      <c r="CY345" s="194"/>
      <c r="CZ345" s="194"/>
      <c r="DA345" s="194"/>
      <c r="DB345" s="194"/>
      <c r="DC345" s="194"/>
      <c r="DD345" s="194"/>
      <c r="DE345" s="194"/>
      <c r="DF345" s="196"/>
      <c r="DG345" s="198"/>
      <c r="DH345" s="194"/>
      <c r="DI345" s="194"/>
    </row>
    <row r="346" spans="1:113" s="24" customFormat="1" hidden="1" x14ac:dyDescent="0.3">
      <c r="A346" s="172"/>
      <c r="B346" s="172"/>
      <c r="C346" s="172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  <c r="AG346" s="173"/>
      <c r="AH346" s="173"/>
      <c r="AI346" s="173"/>
      <c r="AJ346" s="173"/>
      <c r="AK346" s="173"/>
      <c r="AL346" s="173"/>
      <c r="AM346" s="173"/>
      <c r="AN346" s="173"/>
      <c r="AO346" s="173"/>
      <c r="AP346" s="173"/>
      <c r="AQ346" s="173"/>
      <c r="AR346" s="173"/>
      <c r="AS346" s="172"/>
      <c r="AT346" s="172"/>
      <c r="AU346" s="172"/>
      <c r="AV346" s="172"/>
      <c r="AW346" s="172"/>
      <c r="AX346" s="172"/>
      <c r="AY346" s="172"/>
      <c r="AZ346" s="172"/>
      <c r="BA346" s="172"/>
      <c r="BB346" s="172"/>
      <c r="BC346" s="172"/>
      <c r="BD346" s="172"/>
      <c r="BE346" s="172"/>
      <c r="BF346" s="172"/>
      <c r="BG346" s="172"/>
      <c r="BH346" s="172"/>
      <c r="BI346" s="172"/>
      <c r="BJ346" s="172"/>
      <c r="BK346" s="172"/>
      <c r="BL346" s="172"/>
      <c r="BM346" s="172"/>
      <c r="BN346" s="172"/>
      <c r="BO346" s="172"/>
      <c r="BP346" s="172"/>
      <c r="BQ346" s="172"/>
      <c r="BR346" s="172"/>
      <c r="BS346" s="172"/>
      <c r="BT346" s="172"/>
      <c r="BU346" s="172"/>
      <c r="BV346" s="172"/>
      <c r="BW346" s="172"/>
      <c r="BX346" s="172"/>
      <c r="BY346" s="174"/>
      <c r="BZ346" s="172"/>
      <c r="CA346" s="172"/>
      <c r="CD346" s="194"/>
      <c r="CE346" s="194"/>
      <c r="CF346" s="194"/>
      <c r="CG346" s="194"/>
      <c r="CH346" s="195"/>
      <c r="CI346" s="194"/>
      <c r="CJ346" s="194"/>
      <c r="CK346" s="194"/>
      <c r="CL346" s="196"/>
      <c r="CM346" s="196"/>
      <c r="CN346" s="194"/>
      <c r="CO346" s="197"/>
      <c r="CP346" s="196"/>
      <c r="CQ346" s="196"/>
      <c r="CR346" s="196"/>
      <c r="CS346" s="196"/>
      <c r="CT346" s="196"/>
      <c r="CU346" s="196"/>
      <c r="CV346" s="194"/>
      <c r="CW346" s="194"/>
      <c r="CX346" s="194"/>
      <c r="CY346" s="194"/>
      <c r="CZ346" s="194"/>
      <c r="DA346" s="194"/>
      <c r="DB346" s="194"/>
      <c r="DC346" s="194"/>
      <c r="DD346" s="194"/>
      <c r="DE346" s="194"/>
      <c r="DF346" s="196"/>
      <c r="DG346" s="198"/>
      <c r="DH346" s="194"/>
      <c r="DI346" s="194"/>
    </row>
    <row r="347" spans="1:113" s="24" customFormat="1" hidden="1" x14ac:dyDescent="0.3">
      <c r="A347" s="172"/>
      <c r="B347" s="172"/>
      <c r="C347" s="172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  <c r="AG347" s="173"/>
      <c r="AH347" s="173"/>
      <c r="AI347" s="173"/>
      <c r="AJ347" s="173"/>
      <c r="AK347" s="173"/>
      <c r="AL347" s="173"/>
      <c r="AM347" s="173"/>
      <c r="AN347" s="173"/>
      <c r="AO347" s="173"/>
      <c r="AP347" s="173"/>
      <c r="AQ347" s="173"/>
      <c r="AR347" s="173"/>
      <c r="AS347" s="172"/>
      <c r="AT347" s="172"/>
      <c r="AU347" s="172"/>
      <c r="AV347" s="172"/>
      <c r="AW347" s="172"/>
      <c r="AX347" s="172"/>
      <c r="AY347" s="172"/>
      <c r="AZ347" s="172"/>
      <c r="BA347" s="172"/>
      <c r="BB347" s="172"/>
      <c r="BC347" s="172"/>
      <c r="BD347" s="172"/>
      <c r="BE347" s="172"/>
      <c r="BF347" s="172"/>
      <c r="BG347" s="172"/>
      <c r="BH347" s="172"/>
      <c r="BI347" s="172"/>
      <c r="BJ347" s="172"/>
      <c r="BK347" s="172"/>
      <c r="BL347" s="172"/>
      <c r="BM347" s="172"/>
      <c r="BN347" s="172"/>
      <c r="BO347" s="172"/>
      <c r="BP347" s="172"/>
      <c r="BQ347" s="172"/>
      <c r="BR347" s="172"/>
      <c r="BS347" s="172"/>
      <c r="BT347" s="172"/>
      <c r="BU347" s="172"/>
      <c r="BV347" s="172"/>
      <c r="BW347" s="172"/>
      <c r="BX347" s="172"/>
      <c r="BY347" s="174"/>
      <c r="BZ347" s="172"/>
      <c r="CA347" s="172"/>
      <c r="CD347" s="194"/>
      <c r="CE347" s="194"/>
      <c r="CF347" s="194"/>
      <c r="CG347" s="194"/>
      <c r="CH347" s="195"/>
      <c r="CI347" s="194"/>
      <c r="CJ347" s="194"/>
      <c r="CK347" s="194"/>
      <c r="CL347" s="196"/>
      <c r="CM347" s="196"/>
      <c r="CN347" s="194"/>
      <c r="CO347" s="197"/>
      <c r="CP347" s="196"/>
      <c r="CQ347" s="196"/>
      <c r="CR347" s="196"/>
      <c r="CS347" s="196"/>
      <c r="CT347" s="196"/>
      <c r="CU347" s="196"/>
      <c r="CV347" s="194"/>
      <c r="CW347" s="194"/>
      <c r="CX347" s="194"/>
      <c r="CY347" s="194"/>
      <c r="CZ347" s="194"/>
      <c r="DA347" s="194"/>
      <c r="DB347" s="194"/>
      <c r="DC347" s="194"/>
      <c r="DD347" s="194"/>
      <c r="DE347" s="194"/>
      <c r="DF347" s="196"/>
      <c r="DG347" s="198"/>
      <c r="DH347" s="194"/>
      <c r="DI347" s="194"/>
    </row>
    <row r="348" spans="1:113" s="24" customFormat="1" hidden="1" x14ac:dyDescent="0.3">
      <c r="A348" s="172"/>
      <c r="B348" s="172"/>
      <c r="C348" s="172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  <c r="AG348" s="173"/>
      <c r="AH348" s="173"/>
      <c r="AI348" s="173"/>
      <c r="AJ348" s="173"/>
      <c r="AK348" s="173"/>
      <c r="AL348" s="173"/>
      <c r="AM348" s="173"/>
      <c r="AN348" s="173"/>
      <c r="AO348" s="173"/>
      <c r="AP348" s="173"/>
      <c r="AQ348" s="173"/>
      <c r="AR348" s="173"/>
      <c r="AS348" s="172"/>
      <c r="AT348" s="172"/>
      <c r="AU348" s="172"/>
      <c r="AV348" s="172"/>
      <c r="AW348" s="172"/>
      <c r="AX348" s="172"/>
      <c r="AY348" s="172"/>
      <c r="AZ348" s="172"/>
      <c r="BA348" s="172"/>
      <c r="BB348" s="172"/>
      <c r="BC348" s="172"/>
      <c r="BD348" s="172"/>
      <c r="BE348" s="172"/>
      <c r="BF348" s="172"/>
      <c r="BG348" s="172"/>
      <c r="BH348" s="172"/>
      <c r="BI348" s="172"/>
      <c r="BJ348" s="172"/>
      <c r="BK348" s="172"/>
      <c r="BL348" s="172"/>
      <c r="BM348" s="172"/>
      <c r="BN348" s="172"/>
      <c r="BO348" s="172"/>
      <c r="BP348" s="172"/>
      <c r="BQ348" s="172"/>
      <c r="BR348" s="172"/>
      <c r="BS348" s="172"/>
      <c r="BT348" s="172"/>
      <c r="BU348" s="172"/>
      <c r="BV348" s="172"/>
      <c r="BW348" s="172"/>
      <c r="BX348" s="172"/>
      <c r="BY348" s="174"/>
      <c r="BZ348" s="172"/>
      <c r="CA348" s="172"/>
      <c r="CD348" s="194"/>
      <c r="CE348" s="194"/>
      <c r="CF348" s="194"/>
      <c r="CG348" s="194"/>
      <c r="CH348" s="195"/>
      <c r="CI348" s="194"/>
      <c r="CJ348" s="194"/>
      <c r="CK348" s="194"/>
      <c r="CL348" s="196"/>
      <c r="CM348" s="196"/>
      <c r="CN348" s="194"/>
      <c r="CO348" s="197"/>
      <c r="CP348" s="196"/>
      <c r="CQ348" s="196"/>
      <c r="CR348" s="196"/>
      <c r="CS348" s="196"/>
      <c r="CT348" s="196"/>
      <c r="CU348" s="196"/>
      <c r="CV348" s="194"/>
      <c r="CW348" s="194"/>
      <c r="CX348" s="194"/>
      <c r="CY348" s="194"/>
      <c r="CZ348" s="194"/>
      <c r="DA348" s="194"/>
      <c r="DB348" s="194"/>
      <c r="DC348" s="194"/>
      <c r="DD348" s="194"/>
      <c r="DE348" s="194"/>
      <c r="DF348" s="196"/>
      <c r="DG348" s="198"/>
      <c r="DH348" s="194"/>
      <c r="DI348" s="194"/>
    </row>
    <row r="349" spans="1:113" s="24" customFormat="1" hidden="1" x14ac:dyDescent="0.3">
      <c r="A349" s="172"/>
      <c r="B349" s="172"/>
      <c r="C349" s="172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  <c r="AG349" s="173"/>
      <c r="AH349" s="173"/>
      <c r="AI349" s="173"/>
      <c r="AJ349" s="173"/>
      <c r="AK349" s="173"/>
      <c r="AL349" s="173"/>
      <c r="AM349" s="173"/>
      <c r="AN349" s="173"/>
      <c r="AO349" s="173"/>
      <c r="AP349" s="173"/>
      <c r="AQ349" s="173"/>
      <c r="AR349" s="173"/>
      <c r="AS349" s="172"/>
      <c r="AT349" s="172"/>
      <c r="AU349" s="172"/>
      <c r="AV349" s="172"/>
      <c r="AW349" s="172"/>
      <c r="AX349" s="172"/>
      <c r="AY349" s="172"/>
      <c r="AZ349" s="172"/>
      <c r="BA349" s="172"/>
      <c r="BB349" s="172"/>
      <c r="BC349" s="172"/>
      <c r="BD349" s="172"/>
      <c r="BE349" s="172"/>
      <c r="BF349" s="172"/>
      <c r="BG349" s="172"/>
      <c r="BH349" s="172"/>
      <c r="BI349" s="172"/>
      <c r="BJ349" s="172"/>
      <c r="BK349" s="172"/>
      <c r="BL349" s="172"/>
      <c r="BM349" s="172"/>
      <c r="BN349" s="172"/>
      <c r="BO349" s="172"/>
      <c r="BP349" s="172"/>
      <c r="BQ349" s="172"/>
      <c r="BR349" s="172"/>
      <c r="BS349" s="172"/>
      <c r="BT349" s="172"/>
      <c r="BU349" s="172"/>
      <c r="BV349" s="172"/>
      <c r="BW349" s="172"/>
      <c r="BX349" s="172"/>
      <c r="BY349" s="174"/>
      <c r="BZ349" s="172"/>
      <c r="CA349" s="172"/>
      <c r="CD349" s="194"/>
      <c r="CE349" s="194"/>
      <c r="CF349" s="194"/>
      <c r="CG349" s="194"/>
      <c r="CH349" s="195"/>
      <c r="CI349" s="194"/>
      <c r="CJ349" s="194"/>
      <c r="CK349" s="194"/>
      <c r="CL349" s="196"/>
      <c r="CM349" s="196"/>
      <c r="CN349" s="194"/>
      <c r="CO349" s="197"/>
      <c r="CP349" s="196"/>
      <c r="CQ349" s="196"/>
      <c r="CR349" s="196"/>
      <c r="CS349" s="196"/>
      <c r="CT349" s="196"/>
      <c r="CU349" s="196"/>
      <c r="CV349" s="194"/>
      <c r="CW349" s="194"/>
      <c r="CX349" s="194"/>
      <c r="CY349" s="194"/>
      <c r="CZ349" s="194"/>
      <c r="DA349" s="194"/>
      <c r="DB349" s="194"/>
      <c r="DC349" s="194"/>
      <c r="DD349" s="194"/>
      <c r="DE349" s="194"/>
      <c r="DF349" s="196"/>
      <c r="DG349" s="198"/>
      <c r="DH349" s="194"/>
      <c r="DI349" s="194"/>
    </row>
    <row r="350" spans="1:113" s="24" customFormat="1" hidden="1" x14ac:dyDescent="0.3">
      <c r="A350" s="172"/>
      <c r="B350" s="172"/>
      <c r="C350" s="172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  <c r="AG350" s="173"/>
      <c r="AH350" s="173"/>
      <c r="AI350" s="173"/>
      <c r="AJ350" s="173"/>
      <c r="AK350" s="173"/>
      <c r="AL350" s="173"/>
      <c r="AM350" s="173"/>
      <c r="AN350" s="173"/>
      <c r="AO350" s="173"/>
      <c r="AP350" s="173"/>
      <c r="AQ350" s="173"/>
      <c r="AR350" s="173"/>
      <c r="AS350" s="172"/>
      <c r="AT350" s="172"/>
      <c r="AU350" s="172"/>
      <c r="AV350" s="172"/>
      <c r="AW350" s="172"/>
      <c r="AX350" s="172"/>
      <c r="AY350" s="172"/>
      <c r="AZ350" s="172"/>
      <c r="BA350" s="172"/>
      <c r="BB350" s="172"/>
      <c r="BC350" s="172"/>
      <c r="BD350" s="172"/>
      <c r="BE350" s="172"/>
      <c r="BF350" s="172"/>
      <c r="BG350" s="172"/>
      <c r="BH350" s="172"/>
      <c r="BI350" s="172"/>
      <c r="BJ350" s="172"/>
      <c r="BK350" s="172"/>
      <c r="BL350" s="172"/>
      <c r="BM350" s="172"/>
      <c r="BN350" s="172"/>
      <c r="BO350" s="172"/>
      <c r="BP350" s="172"/>
      <c r="BQ350" s="172"/>
      <c r="BR350" s="172"/>
      <c r="BS350" s="172"/>
      <c r="BT350" s="172"/>
      <c r="BU350" s="172"/>
      <c r="BV350" s="172"/>
      <c r="BW350" s="172"/>
      <c r="BX350" s="172"/>
      <c r="BY350" s="174"/>
      <c r="BZ350" s="172"/>
      <c r="CA350" s="172"/>
      <c r="CD350" s="194"/>
      <c r="CE350" s="194"/>
      <c r="CF350" s="194"/>
      <c r="CG350" s="194"/>
      <c r="CH350" s="195"/>
      <c r="CI350" s="194"/>
      <c r="CJ350" s="194"/>
      <c r="CK350" s="194"/>
      <c r="CL350" s="196"/>
      <c r="CM350" s="196"/>
      <c r="CN350" s="194"/>
      <c r="CO350" s="197"/>
      <c r="CP350" s="196"/>
      <c r="CQ350" s="196"/>
      <c r="CR350" s="196"/>
      <c r="CS350" s="196"/>
      <c r="CT350" s="196"/>
      <c r="CU350" s="196"/>
      <c r="CV350" s="194"/>
      <c r="CW350" s="194"/>
      <c r="CX350" s="194"/>
      <c r="CY350" s="194"/>
      <c r="CZ350" s="194"/>
      <c r="DA350" s="194"/>
      <c r="DB350" s="194"/>
      <c r="DC350" s="194"/>
      <c r="DD350" s="194"/>
      <c r="DE350" s="194"/>
      <c r="DF350" s="196"/>
      <c r="DG350" s="198"/>
      <c r="DH350" s="194"/>
      <c r="DI350" s="194"/>
    </row>
    <row r="351" spans="1:113" s="24" customFormat="1" hidden="1" x14ac:dyDescent="0.3">
      <c r="A351" s="172"/>
      <c r="B351" s="172"/>
      <c r="C351" s="172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  <c r="AG351" s="173"/>
      <c r="AH351" s="173"/>
      <c r="AI351" s="173"/>
      <c r="AJ351" s="173"/>
      <c r="AK351" s="173"/>
      <c r="AL351" s="173"/>
      <c r="AM351" s="173"/>
      <c r="AN351" s="173"/>
      <c r="AO351" s="173"/>
      <c r="AP351" s="173"/>
      <c r="AQ351" s="173"/>
      <c r="AR351" s="173"/>
      <c r="AS351" s="172"/>
      <c r="AT351" s="172"/>
      <c r="AU351" s="172"/>
      <c r="AV351" s="172"/>
      <c r="AW351" s="172"/>
      <c r="AX351" s="172"/>
      <c r="AY351" s="172"/>
      <c r="AZ351" s="172"/>
      <c r="BA351" s="172"/>
      <c r="BB351" s="172"/>
      <c r="BC351" s="172"/>
      <c r="BD351" s="172"/>
      <c r="BE351" s="172"/>
      <c r="BF351" s="172"/>
      <c r="BG351" s="172"/>
      <c r="BH351" s="172"/>
      <c r="BI351" s="172"/>
      <c r="BJ351" s="172"/>
      <c r="BK351" s="172"/>
      <c r="BL351" s="172"/>
      <c r="BM351" s="172"/>
      <c r="BN351" s="172"/>
      <c r="BO351" s="172"/>
      <c r="BP351" s="172"/>
      <c r="BQ351" s="172"/>
      <c r="BR351" s="172"/>
      <c r="BS351" s="172"/>
      <c r="BT351" s="172"/>
      <c r="BU351" s="172"/>
      <c r="BV351" s="172"/>
      <c r="BW351" s="172"/>
      <c r="BX351" s="172"/>
      <c r="BY351" s="174"/>
      <c r="BZ351" s="172"/>
      <c r="CA351" s="172"/>
      <c r="CD351" s="194"/>
      <c r="CE351" s="194"/>
      <c r="CF351" s="194"/>
      <c r="CG351" s="194"/>
      <c r="CH351" s="195"/>
      <c r="CI351" s="194"/>
      <c r="CJ351" s="194"/>
      <c r="CK351" s="194"/>
      <c r="CL351" s="196"/>
      <c r="CM351" s="196"/>
      <c r="CN351" s="194"/>
      <c r="CO351" s="197"/>
      <c r="CP351" s="196"/>
      <c r="CQ351" s="196"/>
      <c r="CR351" s="196"/>
      <c r="CS351" s="196"/>
      <c r="CT351" s="196"/>
      <c r="CU351" s="196"/>
      <c r="CV351" s="194"/>
      <c r="CW351" s="194"/>
      <c r="CX351" s="194"/>
      <c r="CY351" s="194"/>
      <c r="CZ351" s="194"/>
      <c r="DA351" s="194"/>
      <c r="DB351" s="194"/>
      <c r="DC351" s="194"/>
      <c r="DD351" s="194"/>
      <c r="DE351" s="194"/>
      <c r="DF351" s="196"/>
      <c r="DG351" s="198"/>
      <c r="DH351" s="194"/>
      <c r="DI351" s="194"/>
    </row>
    <row r="352" spans="1:113" s="24" customFormat="1" hidden="1" x14ac:dyDescent="0.3">
      <c r="A352" s="172"/>
      <c r="B352" s="172"/>
      <c r="C352" s="172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  <c r="AG352" s="173"/>
      <c r="AH352" s="173"/>
      <c r="AI352" s="173"/>
      <c r="AJ352" s="173"/>
      <c r="AK352" s="173"/>
      <c r="AL352" s="173"/>
      <c r="AM352" s="173"/>
      <c r="AN352" s="173"/>
      <c r="AO352" s="173"/>
      <c r="AP352" s="173"/>
      <c r="AQ352" s="173"/>
      <c r="AR352" s="173"/>
      <c r="AS352" s="172"/>
      <c r="AT352" s="172"/>
      <c r="AU352" s="172"/>
      <c r="AV352" s="172"/>
      <c r="AW352" s="172"/>
      <c r="AX352" s="172"/>
      <c r="AY352" s="172"/>
      <c r="AZ352" s="172"/>
      <c r="BA352" s="172"/>
      <c r="BB352" s="172"/>
      <c r="BC352" s="172"/>
      <c r="BD352" s="172"/>
      <c r="BE352" s="172"/>
      <c r="BF352" s="172"/>
      <c r="BG352" s="172"/>
      <c r="BH352" s="172"/>
      <c r="BI352" s="172"/>
      <c r="BJ352" s="172"/>
      <c r="BK352" s="172"/>
      <c r="BL352" s="172"/>
      <c r="BM352" s="172"/>
      <c r="BN352" s="172"/>
      <c r="BO352" s="172"/>
      <c r="BP352" s="172"/>
      <c r="BQ352" s="172"/>
      <c r="BR352" s="172"/>
      <c r="BS352" s="172"/>
      <c r="BT352" s="172"/>
      <c r="BU352" s="172"/>
      <c r="BV352" s="172"/>
      <c r="BW352" s="172"/>
      <c r="BX352" s="172"/>
      <c r="BY352" s="174"/>
      <c r="BZ352" s="172"/>
      <c r="CA352" s="172"/>
      <c r="CD352" s="194"/>
      <c r="CE352" s="194"/>
      <c r="CF352" s="194"/>
      <c r="CG352" s="194"/>
      <c r="CH352" s="195"/>
      <c r="CI352" s="194"/>
      <c r="CJ352" s="194"/>
      <c r="CK352" s="194"/>
      <c r="CL352" s="196"/>
      <c r="CM352" s="196"/>
      <c r="CN352" s="194"/>
      <c r="CO352" s="197"/>
      <c r="CP352" s="196"/>
      <c r="CQ352" s="196"/>
      <c r="CR352" s="196"/>
      <c r="CS352" s="196"/>
      <c r="CT352" s="196"/>
      <c r="CU352" s="196"/>
      <c r="CV352" s="194"/>
      <c r="CW352" s="194"/>
      <c r="CX352" s="194"/>
      <c r="CY352" s="194"/>
      <c r="CZ352" s="194"/>
      <c r="DA352" s="194"/>
      <c r="DB352" s="194"/>
      <c r="DC352" s="194"/>
      <c r="DD352" s="194"/>
      <c r="DE352" s="194"/>
      <c r="DF352" s="196"/>
      <c r="DG352" s="198"/>
      <c r="DH352" s="194"/>
      <c r="DI352" s="194"/>
    </row>
    <row r="353" spans="1:113" s="24" customFormat="1" hidden="1" x14ac:dyDescent="0.3">
      <c r="A353" s="172"/>
      <c r="B353" s="172"/>
      <c r="C353" s="172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  <c r="AG353" s="173"/>
      <c r="AH353" s="173"/>
      <c r="AI353" s="173"/>
      <c r="AJ353" s="173"/>
      <c r="AK353" s="173"/>
      <c r="AL353" s="173"/>
      <c r="AM353" s="173"/>
      <c r="AN353" s="173"/>
      <c r="AO353" s="173"/>
      <c r="AP353" s="173"/>
      <c r="AQ353" s="173"/>
      <c r="AR353" s="173"/>
      <c r="AS353" s="172"/>
      <c r="AT353" s="172"/>
      <c r="AU353" s="172"/>
      <c r="AV353" s="172"/>
      <c r="AW353" s="172"/>
      <c r="AX353" s="172"/>
      <c r="AY353" s="172"/>
      <c r="AZ353" s="172"/>
      <c r="BA353" s="172"/>
      <c r="BB353" s="172"/>
      <c r="BC353" s="172"/>
      <c r="BD353" s="172"/>
      <c r="BE353" s="172"/>
      <c r="BF353" s="172"/>
      <c r="BG353" s="172"/>
      <c r="BH353" s="172"/>
      <c r="BI353" s="172"/>
      <c r="BJ353" s="172"/>
      <c r="BK353" s="172"/>
      <c r="BL353" s="172"/>
      <c r="BM353" s="172"/>
      <c r="BN353" s="172"/>
      <c r="BO353" s="172"/>
      <c r="BP353" s="172"/>
      <c r="BQ353" s="172"/>
      <c r="BR353" s="172"/>
      <c r="BS353" s="172"/>
      <c r="BT353" s="172"/>
      <c r="BU353" s="172"/>
      <c r="BV353" s="172"/>
      <c r="BW353" s="172"/>
      <c r="BX353" s="172"/>
      <c r="BY353" s="174"/>
      <c r="BZ353" s="172"/>
      <c r="CA353" s="172"/>
      <c r="CD353" s="194"/>
      <c r="CE353" s="194"/>
      <c r="CF353" s="194"/>
      <c r="CG353" s="194"/>
      <c r="CH353" s="195"/>
      <c r="CI353" s="194"/>
      <c r="CJ353" s="194"/>
      <c r="CK353" s="194"/>
      <c r="CL353" s="196"/>
      <c r="CM353" s="196"/>
      <c r="CN353" s="194"/>
      <c r="CO353" s="197"/>
      <c r="CP353" s="196"/>
      <c r="CQ353" s="196"/>
      <c r="CR353" s="196"/>
      <c r="CS353" s="196"/>
      <c r="CT353" s="196"/>
      <c r="CU353" s="196"/>
      <c r="CV353" s="194"/>
      <c r="CW353" s="194"/>
      <c r="CX353" s="194"/>
      <c r="CY353" s="194"/>
      <c r="CZ353" s="194"/>
      <c r="DA353" s="194"/>
      <c r="DB353" s="194"/>
      <c r="DC353" s="194"/>
      <c r="DD353" s="194"/>
      <c r="DE353" s="194"/>
      <c r="DF353" s="196"/>
      <c r="DG353" s="198"/>
      <c r="DH353" s="194"/>
      <c r="DI353" s="194"/>
    </row>
    <row r="354" spans="1:113" s="24" customFormat="1" hidden="1" x14ac:dyDescent="0.3">
      <c r="A354" s="172"/>
      <c r="B354" s="172"/>
      <c r="C354" s="172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  <c r="AG354" s="173"/>
      <c r="AH354" s="173"/>
      <c r="AI354" s="173"/>
      <c r="AJ354" s="173"/>
      <c r="AK354" s="173"/>
      <c r="AL354" s="173"/>
      <c r="AM354" s="173"/>
      <c r="AN354" s="173"/>
      <c r="AO354" s="173"/>
      <c r="AP354" s="173"/>
      <c r="AQ354" s="173"/>
      <c r="AR354" s="173"/>
      <c r="AS354" s="172"/>
      <c r="AT354" s="172"/>
      <c r="AU354" s="172"/>
      <c r="AV354" s="172"/>
      <c r="AW354" s="172"/>
      <c r="AX354" s="172"/>
      <c r="AY354" s="172"/>
      <c r="AZ354" s="172"/>
      <c r="BA354" s="172"/>
      <c r="BB354" s="172"/>
      <c r="BC354" s="172"/>
      <c r="BD354" s="172"/>
      <c r="BE354" s="172"/>
      <c r="BF354" s="172"/>
      <c r="BG354" s="172"/>
      <c r="BH354" s="172"/>
      <c r="BI354" s="172"/>
      <c r="BJ354" s="172"/>
      <c r="BK354" s="172"/>
      <c r="BL354" s="172"/>
      <c r="BM354" s="172"/>
      <c r="BN354" s="172"/>
      <c r="BO354" s="172"/>
      <c r="BP354" s="172"/>
      <c r="BQ354" s="172"/>
      <c r="BR354" s="172"/>
      <c r="BS354" s="172"/>
      <c r="BT354" s="172"/>
      <c r="BU354" s="172"/>
      <c r="BV354" s="172"/>
      <c r="BW354" s="172"/>
      <c r="BX354" s="172"/>
      <c r="BY354" s="174"/>
      <c r="BZ354" s="172"/>
      <c r="CA354" s="172"/>
      <c r="CD354" s="194"/>
      <c r="CE354" s="194"/>
      <c r="CF354" s="194"/>
      <c r="CG354" s="194"/>
      <c r="CH354" s="195"/>
      <c r="CI354" s="194"/>
      <c r="CJ354" s="194"/>
      <c r="CK354" s="194"/>
      <c r="CL354" s="196"/>
      <c r="CM354" s="196"/>
      <c r="CN354" s="194"/>
      <c r="CO354" s="197"/>
      <c r="CP354" s="196"/>
      <c r="CQ354" s="196"/>
      <c r="CR354" s="196"/>
      <c r="CS354" s="196"/>
      <c r="CT354" s="196"/>
      <c r="CU354" s="196"/>
      <c r="CV354" s="194"/>
      <c r="CW354" s="194"/>
      <c r="CX354" s="194"/>
      <c r="CY354" s="194"/>
      <c r="CZ354" s="194"/>
      <c r="DA354" s="194"/>
      <c r="DB354" s="194"/>
      <c r="DC354" s="194"/>
      <c r="DD354" s="194"/>
      <c r="DE354" s="194"/>
      <c r="DF354" s="196"/>
      <c r="DG354" s="198"/>
      <c r="DH354" s="194"/>
      <c r="DI354" s="194"/>
    </row>
    <row r="355" spans="1:113" s="24" customFormat="1" hidden="1" x14ac:dyDescent="0.3">
      <c r="A355" s="172"/>
      <c r="B355" s="172"/>
      <c r="C355" s="172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  <c r="AG355" s="173"/>
      <c r="AH355" s="173"/>
      <c r="AI355" s="173"/>
      <c r="AJ355" s="173"/>
      <c r="AK355" s="173"/>
      <c r="AL355" s="173"/>
      <c r="AM355" s="173"/>
      <c r="AN355" s="173"/>
      <c r="AO355" s="173"/>
      <c r="AP355" s="173"/>
      <c r="AQ355" s="173"/>
      <c r="AR355" s="173"/>
      <c r="AS355" s="172"/>
      <c r="AT355" s="172"/>
      <c r="AU355" s="172"/>
      <c r="AV355" s="172"/>
      <c r="AW355" s="172"/>
      <c r="AX355" s="172"/>
      <c r="AY355" s="172"/>
      <c r="AZ355" s="172"/>
      <c r="BA355" s="172"/>
      <c r="BB355" s="172"/>
      <c r="BC355" s="172"/>
      <c r="BD355" s="172"/>
      <c r="BE355" s="172"/>
      <c r="BF355" s="172"/>
      <c r="BG355" s="172"/>
      <c r="BH355" s="172"/>
      <c r="BI355" s="172"/>
      <c r="BJ355" s="172"/>
      <c r="BK355" s="172"/>
      <c r="BL355" s="172"/>
      <c r="BM355" s="172"/>
      <c r="BN355" s="172"/>
      <c r="BO355" s="172"/>
      <c r="BP355" s="172"/>
      <c r="BQ355" s="172"/>
      <c r="BR355" s="172"/>
      <c r="BS355" s="172"/>
      <c r="BT355" s="172"/>
      <c r="BU355" s="172"/>
      <c r="BV355" s="172"/>
      <c r="BW355" s="172"/>
      <c r="BX355" s="172"/>
      <c r="BY355" s="174"/>
      <c r="BZ355" s="172"/>
      <c r="CA355" s="172"/>
      <c r="CD355" s="194"/>
      <c r="CE355" s="194"/>
      <c r="CF355" s="194"/>
      <c r="CG355" s="194"/>
      <c r="CH355" s="195"/>
      <c r="CI355" s="194"/>
      <c r="CJ355" s="194"/>
      <c r="CK355" s="194"/>
      <c r="CL355" s="196"/>
      <c r="CM355" s="196"/>
      <c r="CN355" s="194"/>
      <c r="CO355" s="197"/>
      <c r="CP355" s="196"/>
      <c r="CQ355" s="196"/>
      <c r="CR355" s="196"/>
      <c r="CS355" s="196"/>
      <c r="CT355" s="196"/>
      <c r="CU355" s="196"/>
      <c r="CV355" s="194"/>
      <c r="CW355" s="194"/>
      <c r="CX355" s="194"/>
      <c r="CY355" s="194"/>
      <c r="CZ355" s="194"/>
      <c r="DA355" s="194"/>
      <c r="DB355" s="194"/>
      <c r="DC355" s="194"/>
      <c r="DD355" s="194"/>
      <c r="DE355" s="194"/>
      <c r="DF355" s="196"/>
      <c r="DG355" s="198"/>
      <c r="DH355" s="194"/>
      <c r="DI355" s="194"/>
    </row>
    <row r="356" spans="1:113" s="24" customFormat="1" hidden="1" x14ac:dyDescent="0.3">
      <c r="A356" s="172"/>
      <c r="B356" s="172"/>
      <c r="C356" s="172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  <c r="AG356" s="173"/>
      <c r="AH356" s="173"/>
      <c r="AI356" s="173"/>
      <c r="AJ356" s="173"/>
      <c r="AK356" s="173"/>
      <c r="AL356" s="173"/>
      <c r="AM356" s="173"/>
      <c r="AN356" s="173"/>
      <c r="AO356" s="173"/>
      <c r="AP356" s="173"/>
      <c r="AQ356" s="173"/>
      <c r="AR356" s="173"/>
      <c r="AS356" s="172"/>
      <c r="AT356" s="172"/>
      <c r="AU356" s="172"/>
      <c r="AV356" s="172"/>
      <c r="AW356" s="172"/>
      <c r="AX356" s="172"/>
      <c r="AY356" s="172"/>
      <c r="AZ356" s="172"/>
      <c r="BA356" s="172"/>
      <c r="BB356" s="172"/>
      <c r="BC356" s="172"/>
      <c r="BD356" s="172"/>
      <c r="BE356" s="172"/>
      <c r="BF356" s="172"/>
      <c r="BG356" s="172"/>
      <c r="BH356" s="172"/>
      <c r="BI356" s="172"/>
      <c r="BJ356" s="172"/>
      <c r="BK356" s="172"/>
      <c r="BL356" s="172"/>
      <c r="BM356" s="172"/>
      <c r="BN356" s="172"/>
      <c r="BO356" s="172"/>
      <c r="BP356" s="172"/>
      <c r="BQ356" s="172"/>
      <c r="BR356" s="172"/>
      <c r="BS356" s="172"/>
      <c r="BT356" s="172"/>
      <c r="BU356" s="172"/>
      <c r="BV356" s="172"/>
      <c r="BW356" s="172"/>
      <c r="BX356" s="172"/>
      <c r="BY356" s="174"/>
      <c r="BZ356" s="172"/>
      <c r="CA356" s="172"/>
      <c r="CD356" s="194"/>
      <c r="CE356" s="194"/>
      <c r="CF356" s="194"/>
      <c r="CG356" s="194"/>
      <c r="CH356" s="195"/>
      <c r="CI356" s="194"/>
      <c r="CJ356" s="194"/>
      <c r="CK356" s="194"/>
      <c r="CL356" s="196"/>
      <c r="CM356" s="196"/>
      <c r="CN356" s="194"/>
      <c r="CO356" s="197"/>
      <c r="CP356" s="196"/>
      <c r="CQ356" s="196"/>
      <c r="CR356" s="196"/>
      <c r="CS356" s="196"/>
      <c r="CT356" s="196"/>
      <c r="CU356" s="196"/>
      <c r="CV356" s="194"/>
      <c r="CW356" s="194"/>
      <c r="CX356" s="194"/>
      <c r="CY356" s="194"/>
      <c r="CZ356" s="194"/>
      <c r="DA356" s="194"/>
      <c r="DB356" s="194"/>
      <c r="DC356" s="194"/>
      <c r="DD356" s="194"/>
      <c r="DE356" s="194"/>
      <c r="DF356" s="196"/>
      <c r="DG356" s="198"/>
      <c r="DH356" s="194"/>
      <c r="DI356" s="194"/>
    </row>
    <row r="357" spans="1:113" s="24" customFormat="1" hidden="1" x14ac:dyDescent="0.3">
      <c r="A357" s="172"/>
      <c r="B357" s="172"/>
      <c r="C357" s="172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  <c r="AG357" s="173"/>
      <c r="AH357" s="173"/>
      <c r="AI357" s="173"/>
      <c r="AJ357" s="173"/>
      <c r="AK357" s="173"/>
      <c r="AL357" s="173"/>
      <c r="AM357" s="173"/>
      <c r="AN357" s="173"/>
      <c r="AO357" s="173"/>
      <c r="AP357" s="173"/>
      <c r="AQ357" s="173"/>
      <c r="AR357" s="173"/>
      <c r="AS357" s="172"/>
      <c r="AT357" s="172"/>
      <c r="AU357" s="172"/>
      <c r="AV357" s="172"/>
      <c r="AW357" s="172"/>
      <c r="AX357" s="172"/>
      <c r="AY357" s="172"/>
      <c r="AZ357" s="172"/>
      <c r="BA357" s="172"/>
      <c r="BB357" s="172"/>
      <c r="BC357" s="172"/>
      <c r="BD357" s="172"/>
      <c r="BE357" s="172"/>
      <c r="BF357" s="172"/>
      <c r="BG357" s="172"/>
      <c r="BH357" s="172"/>
      <c r="BI357" s="172"/>
      <c r="BJ357" s="172"/>
      <c r="BK357" s="172"/>
      <c r="BL357" s="172"/>
      <c r="BM357" s="172"/>
      <c r="BN357" s="172"/>
      <c r="BO357" s="172"/>
      <c r="BP357" s="172"/>
      <c r="BQ357" s="172"/>
      <c r="BR357" s="172"/>
      <c r="BS357" s="172"/>
      <c r="BT357" s="172"/>
      <c r="BU357" s="172"/>
      <c r="BV357" s="172"/>
      <c r="BW357" s="172"/>
      <c r="BX357" s="172"/>
      <c r="BY357" s="174"/>
      <c r="BZ357" s="172"/>
      <c r="CA357" s="172"/>
      <c r="CD357" s="194"/>
      <c r="CE357" s="194"/>
      <c r="CF357" s="194"/>
      <c r="CG357" s="194"/>
      <c r="CH357" s="195"/>
      <c r="CI357" s="194"/>
      <c r="CJ357" s="194"/>
      <c r="CK357" s="194"/>
      <c r="CL357" s="196"/>
      <c r="CM357" s="196"/>
      <c r="CN357" s="194"/>
      <c r="CO357" s="197"/>
      <c r="CP357" s="196"/>
      <c r="CQ357" s="196"/>
      <c r="CR357" s="196"/>
      <c r="CS357" s="196"/>
      <c r="CT357" s="196"/>
      <c r="CU357" s="196"/>
      <c r="CV357" s="194"/>
      <c r="CW357" s="194"/>
      <c r="CX357" s="194"/>
      <c r="CY357" s="194"/>
      <c r="CZ357" s="194"/>
      <c r="DA357" s="194"/>
      <c r="DB357" s="194"/>
      <c r="DC357" s="194"/>
      <c r="DD357" s="194"/>
      <c r="DE357" s="194"/>
      <c r="DF357" s="196"/>
      <c r="DG357" s="198"/>
      <c r="DH357" s="194"/>
      <c r="DI357" s="194"/>
    </row>
    <row r="358" spans="1:113" s="24" customFormat="1" hidden="1" x14ac:dyDescent="0.3">
      <c r="A358" s="172"/>
      <c r="B358" s="172"/>
      <c r="C358" s="172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  <c r="AG358" s="173"/>
      <c r="AH358" s="173"/>
      <c r="AI358" s="173"/>
      <c r="AJ358" s="173"/>
      <c r="AK358" s="173"/>
      <c r="AL358" s="173"/>
      <c r="AM358" s="173"/>
      <c r="AN358" s="173"/>
      <c r="AO358" s="173"/>
      <c r="AP358" s="173"/>
      <c r="AQ358" s="173"/>
      <c r="AR358" s="173"/>
      <c r="AS358" s="172"/>
      <c r="AT358" s="172"/>
      <c r="AU358" s="172"/>
      <c r="AV358" s="172"/>
      <c r="AW358" s="172"/>
      <c r="AX358" s="172"/>
      <c r="AY358" s="172"/>
      <c r="AZ358" s="172"/>
      <c r="BA358" s="172"/>
      <c r="BB358" s="172"/>
      <c r="BC358" s="172"/>
      <c r="BD358" s="172"/>
      <c r="BE358" s="172"/>
      <c r="BF358" s="172"/>
      <c r="BG358" s="172"/>
      <c r="BH358" s="172"/>
      <c r="BI358" s="172"/>
      <c r="BJ358" s="172"/>
      <c r="BK358" s="172"/>
      <c r="BL358" s="172"/>
      <c r="BM358" s="172"/>
      <c r="BN358" s="172"/>
      <c r="BO358" s="172"/>
      <c r="BP358" s="172"/>
      <c r="BQ358" s="172"/>
      <c r="BR358" s="172"/>
      <c r="BS358" s="172"/>
      <c r="BT358" s="172"/>
      <c r="BU358" s="172"/>
      <c r="BV358" s="172"/>
      <c r="BW358" s="172"/>
      <c r="BX358" s="172"/>
      <c r="BY358" s="174"/>
      <c r="BZ358" s="172"/>
      <c r="CA358" s="172"/>
      <c r="CD358" s="194"/>
      <c r="CE358" s="194"/>
      <c r="CF358" s="194"/>
      <c r="CG358" s="194"/>
      <c r="CH358" s="195"/>
      <c r="CI358" s="194"/>
      <c r="CJ358" s="194"/>
      <c r="CK358" s="194"/>
      <c r="CL358" s="196"/>
      <c r="CM358" s="196"/>
      <c r="CN358" s="194"/>
      <c r="CO358" s="197"/>
      <c r="CP358" s="196"/>
      <c r="CQ358" s="196"/>
      <c r="CR358" s="196"/>
      <c r="CS358" s="196"/>
      <c r="CT358" s="196"/>
      <c r="CU358" s="196"/>
      <c r="CV358" s="194"/>
      <c r="CW358" s="194"/>
      <c r="CX358" s="194"/>
      <c r="CY358" s="194"/>
      <c r="CZ358" s="194"/>
      <c r="DA358" s="194"/>
      <c r="DB358" s="194"/>
      <c r="DC358" s="194"/>
      <c r="DD358" s="194"/>
      <c r="DE358" s="194"/>
      <c r="DF358" s="196"/>
      <c r="DG358" s="198"/>
      <c r="DH358" s="194"/>
      <c r="DI358" s="194"/>
    </row>
    <row r="359" spans="1:113" s="24" customFormat="1" hidden="1" x14ac:dyDescent="0.3">
      <c r="A359" s="172"/>
      <c r="B359" s="172"/>
      <c r="C359" s="172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  <c r="AG359" s="173"/>
      <c r="AH359" s="173"/>
      <c r="AI359" s="173"/>
      <c r="AJ359" s="173"/>
      <c r="AK359" s="173"/>
      <c r="AL359" s="173"/>
      <c r="AM359" s="173"/>
      <c r="AN359" s="173"/>
      <c r="AO359" s="173"/>
      <c r="AP359" s="173"/>
      <c r="AQ359" s="173"/>
      <c r="AR359" s="173"/>
      <c r="AS359" s="172"/>
      <c r="AT359" s="172"/>
      <c r="AU359" s="172"/>
      <c r="AV359" s="172"/>
      <c r="AW359" s="172"/>
      <c r="AX359" s="172"/>
      <c r="AY359" s="172"/>
      <c r="AZ359" s="172"/>
      <c r="BA359" s="172"/>
      <c r="BB359" s="172"/>
      <c r="BC359" s="172"/>
      <c r="BD359" s="172"/>
      <c r="BE359" s="172"/>
      <c r="BF359" s="172"/>
      <c r="BG359" s="172"/>
      <c r="BH359" s="172"/>
      <c r="BI359" s="172"/>
      <c r="BJ359" s="172"/>
      <c r="BK359" s="172"/>
      <c r="BL359" s="172"/>
      <c r="BM359" s="172"/>
      <c r="BN359" s="172"/>
      <c r="BO359" s="172"/>
      <c r="BP359" s="172"/>
      <c r="BQ359" s="172"/>
      <c r="BR359" s="172"/>
      <c r="BS359" s="172"/>
      <c r="BT359" s="172"/>
      <c r="BU359" s="172"/>
      <c r="BV359" s="172"/>
      <c r="BW359" s="172"/>
      <c r="BX359" s="172"/>
      <c r="BY359" s="174"/>
      <c r="BZ359" s="172"/>
      <c r="CA359" s="172"/>
      <c r="CD359" s="194"/>
      <c r="CE359" s="194"/>
      <c r="CF359" s="194"/>
      <c r="CG359" s="194"/>
      <c r="CH359" s="195"/>
      <c r="CI359" s="194"/>
      <c r="CJ359" s="194"/>
      <c r="CK359" s="194"/>
      <c r="CL359" s="196"/>
      <c r="CM359" s="196"/>
      <c r="CN359" s="194"/>
      <c r="CO359" s="197"/>
      <c r="CP359" s="196"/>
      <c r="CQ359" s="196"/>
      <c r="CR359" s="196"/>
      <c r="CS359" s="196"/>
      <c r="CT359" s="196"/>
      <c r="CU359" s="196"/>
      <c r="CV359" s="194"/>
      <c r="CW359" s="194"/>
      <c r="CX359" s="194"/>
      <c r="CY359" s="194"/>
      <c r="CZ359" s="194"/>
      <c r="DA359" s="194"/>
      <c r="DB359" s="194"/>
      <c r="DC359" s="194"/>
      <c r="DD359" s="194"/>
      <c r="DE359" s="194"/>
      <c r="DF359" s="196"/>
      <c r="DG359" s="198"/>
      <c r="DH359" s="194"/>
      <c r="DI359" s="194"/>
    </row>
    <row r="360" spans="1:113" s="24" customFormat="1" hidden="1" x14ac:dyDescent="0.3">
      <c r="A360" s="172"/>
      <c r="B360" s="172"/>
      <c r="C360" s="172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  <c r="AG360" s="173"/>
      <c r="AH360" s="173"/>
      <c r="AI360" s="173"/>
      <c r="AJ360" s="173"/>
      <c r="AK360" s="173"/>
      <c r="AL360" s="173"/>
      <c r="AM360" s="173"/>
      <c r="AN360" s="173"/>
      <c r="AO360" s="173"/>
      <c r="AP360" s="173"/>
      <c r="AQ360" s="173"/>
      <c r="AR360" s="173"/>
      <c r="AS360" s="172"/>
      <c r="AT360" s="172"/>
      <c r="AU360" s="172"/>
      <c r="AV360" s="172"/>
      <c r="AW360" s="172"/>
      <c r="AX360" s="172"/>
      <c r="AY360" s="172"/>
      <c r="AZ360" s="172"/>
      <c r="BA360" s="172"/>
      <c r="BB360" s="172"/>
      <c r="BC360" s="172"/>
      <c r="BD360" s="172"/>
      <c r="BE360" s="172"/>
      <c r="BF360" s="172"/>
      <c r="BG360" s="172"/>
      <c r="BH360" s="172"/>
      <c r="BI360" s="172"/>
      <c r="BJ360" s="172"/>
      <c r="BK360" s="172"/>
      <c r="BL360" s="172"/>
      <c r="BM360" s="172"/>
      <c r="BN360" s="172"/>
      <c r="BO360" s="172"/>
      <c r="BP360" s="172"/>
      <c r="BQ360" s="172"/>
      <c r="BR360" s="172"/>
      <c r="BS360" s="172"/>
      <c r="BT360" s="172"/>
      <c r="BU360" s="172"/>
      <c r="BV360" s="172"/>
      <c r="BW360" s="172"/>
      <c r="BX360" s="172"/>
      <c r="BY360" s="174"/>
      <c r="BZ360" s="172"/>
      <c r="CA360" s="172"/>
      <c r="CD360" s="194"/>
      <c r="CE360" s="194"/>
      <c r="CF360" s="194"/>
      <c r="CG360" s="194"/>
      <c r="CH360" s="195"/>
      <c r="CI360" s="194"/>
      <c r="CJ360" s="194"/>
      <c r="CK360" s="194"/>
      <c r="CL360" s="196"/>
      <c r="CM360" s="196"/>
      <c r="CN360" s="194"/>
      <c r="CO360" s="197"/>
      <c r="CP360" s="196"/>
      <c r="CQ360" s="196"/>
      <c r="CR360" s="196"/>
      <c r="CS360" s="196"/>
      <c r="CT360" s="196"/>
      <c r="CU360" s="196"/>
      <c r="CV360" s="194"/>
      <c r="CW360" s="194"/>
      <c r="CX360" s="194"/>
      <c r="CY360" s="194"/>
      <c r="CZ360" s="194"/>
      <c r="DA360" s="194"/>
      <c r="DB360" s="194"/>
      <c r="DC360" s="194"/>
      <c r="DD360" s="194"/>
      <c r="DE360" s="194"/>
      <c r="DF360" s="196"/>
      <c r="DG360" s="198"/>
      <c r="DH360" s="194"/>
      <c r="DI360" s="194"/>
    </row>
    <row r="361" spans="1:113" s="24" customFormat="1" hidden="1" x14ac:dyDescent="0.3">
      <c r="A361" s="172"/>
      <c r="B361" s="172"/>
      <c r="C361" s="172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  <c r="AG361" s="173"/>
      <c r="AH361" s="173"/>
      <c r="AI361" s="173"/>
      <c r="AJ361" s="173"/>
      <c r="AK361" s="173"/>
      <c r="AL361" s="173"/>
      <c r="AM361" s="173"/>
      <c r="AN361" s="173"/>
      <c r="AO361" s="173"/>
      <c r="AP361" s="173"/>
      <c r="AQ361" s="173"/>
      <c r="AR361" s="173"/>
      <c r="AS361" s="172"/>
      <c r="AT361" s="172"/>
      <c r="AU361" s="172"/>
      <c r="AV361" s="172"/>
      <c r="AW361" s="172"/>
      <c r="AX361" s="172"/>
      <c r="AY361" s="172"/>
      <c r="AZ361" s="172"/>
      <c r="BA361" s="172"/>
      <c r="BB361" s="172"/>
      <c r="BC361" s="172"/>
      <c r="BD361" s="172"/>
      <c r="BE361" s="172"/>
      <c r="BF361" s="172"/>
      <c r="BG361" s="172"/>
      <c r="BH361" s="172"/>
      <c r="BI361" s="172"/>
      <c r="BJ361" s="172"/>
      <c r="BK361" s="172"/>
      <c r="BL361" s="172"/>
      <c r="BM361" s="172"/>
      <c r="BN361" s="172"/>
      <c r="BO361" s="172"/>
      <c r="BP361" s="172"/>
      <c r="BQ361" s="172"/>
      <c r="BR361" s="172"/>
      <c r="BS361" s="172"/>
      <c r="BT361" s="172"/>
      <c r="BU361" s="172"/>
      <c r="BV361" s="172"/>
      <c r="BW361" s="172"/>
      <c r="BX361" s="172"/>
      <c r="BY361" s="174"/>
      <c r="BZ361" s="172"/>
      <c r="CA361" s="172"/>
      <c r="CD361" s="194"/>
      <c r="CE361" s="194"/>
      <c r="CF361" s="194"/>
      <c r="CG361" s="194"/>
      <c r="CH361" s="195"/>
      <c r="CI361" s="194"/>
      <c r="CJ361" s="194"/>
      <c r="CK361" s="194"/>
      <c r="CL361" s="196"/>
      <c r="CM361" s="196"/>
      <c r="CN361" s="194"/>
      <c r="CO361" s="197"/>
      <c r="CP361" s="196"/>
      <c r="CQ361" s="196"/>
      <c r="CR361" s="196"/>
      <c r="CS361" s="196"/>
      <c r="CT361" s="196"/>
      <c r="CU361" s="196"/>
      <c r="CV361" s="194"/>
      <c r="CW361" s="194"/>
      <c r="CX361" s="194"/>
      <c r="CY361" s="194"/>
      <c r="CZ361" s="194"/>
      <c r="DA361" s="194"/>
      <c r="DB361" s="194"/>
      <c r="DC361" s="194"/>
      <c r="DD361" s="194"/>
      <c r="DE361" s="194"/>
      <c r="DF361" s="196"/>
      <c r="DG361" s="198"/>
      <c r="DH361" s="194"/>
      <c r="DI361" s="194"/>
    </row>
    <row r="362" spans="1:113" s="24" customFormat="1" hidden="1" x14ac:dyDescent="0.3">
      <c r="A362" s="172"/>
      <c r="B362" s="172"/>
      <c r="C362" s="172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  <c r="AG362" s="173"/>
      <c r="AH362" s="173"/>
      <c r="AI362" s="173"/>
      <c r="AJ362" s="173"/>
      <c r="AK362" s="173"/>
      <c r="AL362" s="173"/>
      <c r="AM362" s="173"/>
      <c r="AN362" s="173"/>
      <c r="AO362" s="173"/>
      <c r="AP362" s="173"/>
      <c r="AQ362" s="173"/>
      <c r="AR362" s="173"/>
      <c r="AS362" s="172"/>
      <c r="AT362" s="172"/>
      <c r="AU362" s="172"/>
      <c r="AV362" s="172"/>
      <c r="AW362" s="172"/>
      <c r="AX362" s="172"/>
      <c r="AY362" s="172"/>
      <c r="AZ362" s="172"/>
      <c r="BA362" s="172"/>
      <c r="BB362" s="172"/>
      <c r="BC362" s="172"/>
      <c r="BD362" s="172"/>
      <c r="BE362" s="172"/>
      <c r="BF362" s="172"/>
      <c r="BG362" s="172"/>
      <c r="BH362" s="172"/>
      <c r="BI362" s="172"/>
      <c r="BJ362" s="172"/>
      <c r="BK362" s="172"/>
      <c r="BL362" s="172"/>
      <c r="BM362" s="172"/>
      <c r="BN362" s="172"/>
      <c r="BO362" s="172"/>
      <c r="BP362" s="172"/>
      <c r="BQ362" s="172"/>
      <c r="BR362" s="172"/>
      <c r="BS362" s="172"/>
      <c r="BT362" s="172"/>
      <c r="BU362" s="172"/>
      <c r="BV362" s="172"/>
      <c r="BW362" s="172"/>
      <c r="BX362" s="172"/>
      <c r="BY362" s="174"/>
      <c r="BZ362" s="172"/>
      <c r="CA362" s="172"/>
      <c r="CD362" s="194"/>
      <c r="CE362" s="194"/>
      <c r="CF362" s="194"/>
      <c r="CG362" s="194"/>
      <c r="CH362" s="195"/>
      <c r="CI362" s="194"/>
      <c r="CJ362" s="194"/>
      <c r="CK362" s="194"/>
      <c r="CL362" s="196"/>
      <c r="CM362" s="196"/>
      <c r="CN362" s="194"/>
      <c r="CO362" s="197"/>
      <c r="CP362" s="196"/>
      <c r="CQ362" s="196"/>
      <c r="CR362" s="196"/>
      <c r="CS362" s="196"/>
      <c r="CT362" s="196"/>
      <c r="CU362" s="196"/>
      <c r="CV362" s="194"/>
      <c r="CW362" s="194"/>
      <c r="CX362" s="194"/>
      <c r="CY362" s="194"/>
      <c r="CZ362" s="194"/>
      <c r="DA362" s="194"/>
      <c r="DB362" s="194"/>
      <c r="DC362" s="194"/>
      <c r="DD362" s="194"/>
      <c r="DE362" s="194"/>
      <c r="DF362" s="196"/>
      <c r="DG362" s="198"/>
      <c r="DH362" s="194"/>
      <c r="DI362" s="194"/>
    </row>
    <row r="363" spans="1:113" s="24" customFormat="1" hidden="1" x14ac:dyDescent="0.3">
      <c r="A363" s="172"/>
      <c r="B363" s="172"/>
      <c r="C363" s="172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  <c r="AG363" s="173"/>
      <c r="AH363" s="173"/>
      <c r="AI363" s="173"/>
      <c r="AJ363" s="173"/>
      <c r="AK363" s="173"/>
      <c r="AL363" s="173"/>
      <c r="AM363" s="173"/>
      <c r="AN363" s="173"/>
      <c r="AO363" s="173"/>
      <c r="AP363" s="173"/>
      <c r="AQ363" s="173"/>
      <c r="AR363" s="173"/>
      <c r="AS363" s="172"/>
      <c r="AT363" s="172"/>
      <c r="AU363" s="172"/>
      <c r="AV363" s="172"/>
      <c r="AW363" s="172"/>
      <c r="AX363" s="172"/>
      <c r="AY363" s="172"/>
      <c r="AZ363" s="172"/>
      <c r="BA363" s="172"/>
      <c r="BB363" s="172"/>
      <c r="BC363" s="172"/>
      <c r="BD363" s="172"/>
      <c r="BE363" s="172"/>
      <c r="BF363" s="172"/>
      <c r="BG363" s="172"/>
      <c r="BH363" s="172"/>
      <c r="BI363" s="172"/>
      <c r="BJ363" s="172"/>
      <c r="BK363" s="172"/>
      <c r="BL363" s="172"/>
      <c r="BM363" s="172"/>
      <c r="BN363" s="172"/>
      <c r="BO363" s="172"/>
      <c r="BP363" s="172"/>
      <c r="BQ363" s="172"/>
      <c r="BR363" s="172"/>
      <c r="BS363" s="172"/>
      <c r="BT363" s="172"/>
      <c r="BU363" s="172"/>
      <c r="BV363" s="172"/>
      <c r="BW363" s="172"/>
      <c r="BX363" s="172"/>
      <c r="BY363" s="174"/>
      <c r="BZ363" s="172"/>
      <c r="CA363" s="172"/>
      <c r="CD363" s="194"/>
      <c r="CE363" s="194"/>
      <c r="CF363" s="194"/>
      <c r="CG363" s="194"/>
      <c r="CH363" s="195"/>
      <c r="CI363" s="194"/>
      <c r="CJ363" s="194"/>
      <c r="CK363" s="194"/>
      <c r="CL363" s="196"/>
      <c r="CM363" s="196"/>
      <c r="CN363" s="194"/>
      <c r="CO363" s="197"/>
      <c r="CP363" s="196"/>
      <c r="CQ363" s="196"/>
      <c r="CR363" s="196"/>
      <c r="CS363" s="196"/>
      <c r="CT363" s="196"/>
      <c r="CU363" s="196"/>
      <c r="CV363" s="194"/>
      <c r="CW363" s="194"/>
      <c r="CX363" s="194"/>
      <c r="CY363" s="194"/>
      <c r="CZ363" s="194"/>
      <c r="DA363" s="194"/>
      <c r="DB363" s="194"/>
      <c r="DC363" s="194"/>
      <c r="DD363" s="194"/>
      <c r="DE363" s="194"/>
      <c r="DF363" s="196"/>
      <c r="DG363" s="198"/>
      <c r="DH363" s="194"/>
      <c r="DI363" s="194"/>
    </row>
    <row r="364" spans="1:113" s="24" customFormat="1" hidden="1" x14ac:dyDescent="0.3">
      <c r="A364" s="172"/>
      <c r="B364" s="172"/>
      <c r="C364" s="172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  <c r="AG364" s="173"/>
      <c r="AH364" s="173"/>
      <c r="AI364" s="173"/>
      <c r="AJ364" s="173"/>
      <c r="AK364" s="173"/>
      <c r="AL364" s="173"/>
      <c r="AM364" s="173"/>
      <c r="AN364" s="173"/>
      <c r="AO364" s="173"/>
      <c r="AP364" s="173"/>
      <c r="AQ364" s="173"/>
      <c r="AR364" s="173"/>
      <c r="AS364" s="172"/>
      <c r="AT364" s="172"/>
      <c r="AU364" s="172"/>
      <c r="AV364" s="172"/>
      <c r="AW364" s="172"/>
      <c r="AX364" s="172"/>
      <c r="AY364" s="172"/>
      <c r="AZ364" s="172"/>
      <c r="BA364" s="172"/>
      <c r="BB364" s="172"/>
      <c r="BC364" s="172"/>
      <c r="BD364" s="172"/>
      <c r="BE364" s="172"/>
      <c r="BF364" s="172"/>
      <c r="BG364" s="172"/>
      <c r="BH364" s="172"/>
      <c r="BI364" s="172"/>
      <c r="BJ364" s="172"/>
      <c r="BK364" s="172"/>
      <c r="BL364" s="172"/>
      <c r="BM364" s="172"/>
      <c r="BN364" s="172"/>
      <c r="BO364" s="172"/>
      <c r="BP364" s="172"/>
      <c r="BQ364" s="172"/>
      <c r="BR364" s="172"/>
      <c r="BS364" s="172"/>
      <c r="BT364" s="172"/>
      <c r="BU364" s="172"/>
      <c r="BV364" s="172"/>
      <c r="BW364" s="172"/>
      <c r="BX364" s="172"/>
      <c r="BY364" s="174"/>
      <c r="BZ364" s="172"/>
      <c r="CA364" s="172"/>
      <c r="CD364" s="194"/>
      <c r="CE364" s="194"/>
      <c r="CF364" s="194"/>
      <c r="CG364" s="194"/>
      <c r="CH364" s="195"/>
      <c r="CI364" s="194"/>
      <c r="CJ364" s="194"/>
      <c r="CK364" s="194"/>
      <c r="CL364" s="196"/>
      <c r="CM364" s="196"/>
      <c r="CN364" s="194"/>
      <c r="CO364" s="197"/>
      <c r="CP364" s="196"/>
      <c r="CQ364" s="196"/>
      <c r="CR364" s="196"/>
      <c r="CS364" s="196"/>
      <c r="CT364" s="196"/>
      <c r="CU364" s="196"/>
      <c r="CV364" s="194"/>
      <c r="CW364" s="194"/>
      <c r="CX364" s="194"/>
      <c r="CY364" s="194"/>
      <c r="CZ364" s="194"/>
      <c r="DA364" s="194"/>
      <c r="DB364" s="194"/>
      <c r="DC364" s="194"/>
      <c r="DD364" s="194"/>
      <c r="DE364" s="194"/>
      <c r="DF364" s="196"/>
      <c r="DG364" s="198"/>
      <c r="DH364" s="194"/>
      <c r="DI364" s="194"/>
    </row>
    <row r="365" spans="1:113" s="24" customFormat="1" hidden="1" x14ac:dyDescent="0.3">
      <c r="A365" s="172"/>
      <c r="B365" s="172"/>
      <c r="C365" s="172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  <c r="AG365" s="173"/>
      <c r="AH365" s="173"/>
      <c r="AI365" s="173"/>
      <c r="AJ365" s="173"/>
      <c r="AK365" s="173"/>
      <c r="AL365" s="173"/>
      <c r="AM365" s="173"/>
      <c r="AN365" s="173"/>
      <c r="AO365" s="173"/>
      <c r="AP365" s="173"/>
      <c r="AQ365" s="173"/>
      <c r="AR365" s="173"/>
      <c r="AS365" s="172"/>
      <c r="AT365" s="172"/>
      <c r="AU365" s="172"/>
      <c r="AV365" s="172"/>
      <c r="AW365" s="172"/>
      <c r="AX365" s="172"/>
      <c r="AY365" s="172"/>
      <c r="AZ365" s="172"/>
      <c r="BA365" s="172"/>
      <c r="BB365" s="172"/>
      <c r="BC365" s="172"/>
      <c r="BD365" s="172"/>
      <c r="BE365" s="172"/>
      <c r="BF365" s="172"/>
      <c r="BG365" s="172"/>
      <c r="BH365" s="172"/>
      <c r="BI365" s="172"/>
      <c r="BJ365" s="172"/>
      <c r="BK365" s="172"/>
      <c r="BL365" s="172"/>
      <c r="BM365" s="172"/>
      <c r="BN365" s="172"/>
      <c r="BO365" s="172"/>
      <c r="BP365" s="172"/>
      <c r="BQ365" s="172"/>
      <c r="BR365" s="172"/>
      <c r="BS365" s="172"/>
      <c r="BT365" s="172"/>
      <c r="BU365" s="172"/>
      <c r="BV365" s="172"/>
      <c r="BW365" s="172"/>
      <c r="BX365" s="172"/>
      <c r="BY365" s="174"/>
      <c r="BZ365" s="172"/>
      <c r="CA365" s="172"/>
      <c r="CD365" s="194"/>
      <c r="CE365" s="194"/>
      <c r="CF365" s="194"/>
      <c r="CG365" s="194"/>
      <c r="CH365" s="195"/>
      <c r="CI365" s="194"/>
      <c r="CJ365" s="194"/>
      <c r="CK365" s="194"/>
      <c r="CL365" s="196"/>
      <c r="CM365" s="196"/>
      <c r="CN365" s="194"/>
      <c r="CO365" s="197"/>
      <c r="CP365" s="196"/>
      <c r="CQ365" s="196"/>
      <c r="CR365" s="196"/>
      <c r="CS365" s="196"/>
      <c r="CT365" s="196"/>
      <c r="CU365" s="196"/>
      <c r="CV365" s="194"/>
      <c r="CW365" s="194"/>
      <c r="CX365" s="194"/>
      <c r="CY365" s="194"/>
      <c r="CZ365" s="194"/>
      <c r="DA365" s="194"/>
      <c r="DB365" s="194"/>
      <c r="DC365" s="194"/>
      <c r="DD365" s="194"/>
      <c r="DE365" s="194"/>
      <c r="DF365" s="196"/>
      <c r="DG365" s="198"/>
      <c r="DH365" s="194"/>
      <c r="DI365" s="194"/>
    </row>
    <row r="366" spans="1:113" s="24" customFormat="1" hidden="1" x14ac:dyDescent="0.3">
      <c r="A366" s="172"/>
      <c r="B366" s="172"/>
      <c r="C366" s="172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  <c r="AG366" s="173"/>
      <c r="AH366" s="173"/>
      <c r="AI366" s="173"/>
      <c r="AJ366" s="173"/>
      <c r="AK366" s="173"/>
      <c r="AL366" s="173"/>
      <c r="AM366" s="173"/>
      <c r="AN366" s="173"/>
      <c r="AO366" s="173"/>
      <c r="AP366" s="173"/>
      <c r="AQ366" s="173"/>
      <c r="AR366" s="173"/>
      <c r="AS366" s="172"/>
      <c r="AT366" s="172"/>
      <c r="AU366" s="172"/>
      <c r="AV366" s="172"/>
      <c r="AW366" s="172"/>
      <c r="AX366" s="172"/>
      <c r="AY366" s="172"/>
      <c r="AZ366" s="172"/>
      <c r="BA366" s="172"/>
      <c r="BB366" s="172"/>
      <c r="BC366" s="172"/>
      <c r="BD366" s="172"/>
      <c r="BE366" s="172"/>
      <c r="BF366" s="172"/>
      <c r="BG366" s="172"/>
      <c r="BH366" s="172"/>
      <c r="BI366" s="172"/>
      <c r="BJ366" s="172"/>
      <c r="BK366" s="172"/>
      <c r="BL366" s="172"/>
      <c r="BM366" s="172"/>
      <c r="BN366" s="172"/>
      <c r="BO366" s="172"/>
      <c r="BP366" s="172"/>
      <c r="BQ366" s="172"/>
      <c r="BR366" s="172"/>
      <c r="BS366" s="172"/>
      <c r="BT366" s="172"/>
      <c r="BU366" s="172"/>
      <c r="BV366" s="172"/>
      <c r="BW366" s="172"/>
      <c r="BX366" s="172"/>
      <c r="BY366" s="174"/>
      <c r="BZ366" s="172"/>
      <c r="CA366" s="172"/>
      <c r="CD366" s="194"/>
      <c r="CE366" s="194"/>
      <c r="CF366" s="194"/>
      <c r="CG366" s="194"/>
      <c r="CH366" s="195"/>
      <c r="CI366" s="194"/>
      <c r="CJ366" s="194"/>
      <c r="CK366" s="194"/>
      <c r="CL366" s="196"/>
      <c r="CM366" s="196"/>
      <c r="CN366" s="194"/>
      <c r="CO366" s="197"/>
      <c r="CP366" s="196"/>
      <c r="CQ366" s="196"/>
      <c r="CR366" s="196"/>
      <c r="CS366" s="196"/>
      <c r="CT366" s="196"/>
      <c r="CU366" s="196"/>
      <c r="CV366" s="194"/>
      <c r="CW366" s="194"/>
      <c r="CX366" s="194"/>
      <c r="CY366" s="194"/>
      <c r="CZ366" s="194"/>
      <c r="DA366" s="194"/>
      <c r="DB366" s="194"/>
      <c r="DC366" s="194"/>
      <c r="DD366" s="194"/>
      <c r="DE366" s="194"/>
      <c r="DF366" s="196"/>
      <c r="DG366" s="198"/>
      <c r="DH366" s="194"/>
      <c r="DI366" s="194"/>
    </row>
    <row r="367" spans="1:113" s="24" customFormat="1" hidden="1" x14ac:dyDescent="0.3">
      <c r="A367" s="172"/>
      <c r="B367" s="172"/>
      <c r="C367" s="172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  <c r="AG367" s="173"/>
      <c r="AH367" s="173"/>
      <c r="AI367" s="173"/>
      <c r="AJ367" s="173"/>
      <c r="AK367" s="173"/>
      <c r="AL367" s="173"/>
      <c r="AM367" s="173"/>
      <c r="AN367" s="173"/>
      <c r="AO367" s="173"/>
      <c r="AP367" s="173"/>
      <c r="AQ367" s="173"/>
      <c r="AR367" s="173"/>
      <c r="AS367" s="172"/>
      <c r="AT367" s="172"/>
      <c r="AU367" s="172"/>
      <c r="AV367" s="172"/>
      <c r="AW367" s="172"/>
      <c r="AX367" s="172"/>
      <c r="AY367" s="172"/>
      <c r="AZ367" s="172"/>
      <c r="BA367" s="172"/>
      <c r="BB367" s="172"/>
      <c r="BC367" s="172"/>
      <c r="BD367" s="172"/>
      <c r="BE367" s="172"/>
      <c r="BF367" s="172"/>
      <c r="BG367" s="172"/>
      <c r="BH367" s="172"/>
      <c r="BI367" s="172"/>
      <c r="BJ367" s="172"/>
      <c r="BK367" s="172"/>
      <c r="BL367" s="172"/>
      <c r="BM367" s="172"/>
      <c r="BN367" s="172"/>
      <c r="BO367" s="172"/>
      <c r="BP367" s="172"/>
      <c r="BQ367" s="172"/>
      <c r="BR367" s="172"/>
      <c r="BS367" s="172"/>
      <c r="BT367" s="172"/>
      <c r="BU367" s="172"/>
      <c r="BV367" s="172"/>
      <c r="BW367" s="172"/>
      <c r="BX367" s="172"/>
      <c r="BY367" s="174"/>
      <c r="BZ367" s="172"/>
      <c r="CA367" s="172"/>
      <c r="CD367" s="194"/>
      <c r="CE367" s="194"/>
      <c r="CF367" s="194"/>
      <c r="CG367" s="194"/>
      <c r="CH367" s="195"/>
      <c r="CI367" s="194"/>
      <c r="CJ367" s="194"/>
      <c r="CK367" s="194"/>
      <c r="CL367" s="196"/>
      <c r="CM367" s="196"/>
      <c r="CN367" s="194"/>
      <c r="CO367" s="197"/>
      <c r="CP367" s="196"/>
      <c r="CQ367" s="196"/>
      <c r="CR367" s="196"/>
      <c r="CS367" s="196"/>
      <c r="CT367" s="196"/>
      <c r="CU367" s="196"/>
      <c r="CV367" s="194"/>
      <c r="CW367" s="194"/>
      <c r="CX367" s="194"/>
      <c r="CY367" s="194"/>
      <c r="CZ367" s="194"/>
      <c r="DA367" s="194"/>
      <c r="DB367" s="194"/>
      <c r="DC367" s="194"/>
      <c r="DD367" s="194"/>
      <c r="DE367" s="194"/>
      <c r="DF367" s="196"/>
      <c r="DG367" s="198"/>
      <c r="DH367" s="194"/>
      <c r="DI367" s="194"/>
    </row>
    <row r="368" spans="1:113" s="24" customFormat="1" hidden="1" x14ac:dyDescent="0.3">
      <c r="A368" s="172"/>
      <c r="B368" s="172"/>
      <c r="C368" s="172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  <c r="AG368" s="173"/>
      <c r="AH368" s="173"/>
      <c r="AI368" s="173"/>
      <c r="AJ368" s="173"/>
      <c r="AK368" s="173"/>
      <c r="AL368" s="173"/>
      <c r="AM368" s="173"/>
      <c r="AN368" s="173"/>
      <c r="AO368" s="173"/>
      <c r="AP368" s="173"/>
      <c r="AQ368" s="173"/>
      <c r="AR368" s="173"/>
      <c r="AS368" s="172"/>
      <c r="AT368" s="172"/>
      <c r="AU368" s="172"/>
      <c r="AV368" s="172"/>
      <c r="AW368" s="172"/>
      <c r="AX368" s="172"/>
      <c r="AY368" s="172"/>
      <c r="AZ368" s="172"/>
      <c r="BA368" s="172"/>
      <c r="BB368" s="172"/>
      <c r="BC368" s="172"/>
      <c r="BD368" s="172"/>
      <c r="BE368" s="172"/>
      <c r="BF368" s="172"/>
      <c r="BG368" s="172"/>
      <c r="BH368" s="172"/>
      <c r="BI368" s="172"/>
      <c r="BJ368" s="172"/>
      <c r="BK368" s="172"/>
      <c r="BL368" s="172"/>
      <c r="BM368" s="172"/>
      <c r="BN368" s="172"/>
      <c r="BO368" s="172"/>
      <c r="BP368" s="172"/>
      <c r="BQ368" s="172"/>
      <c r="BR368" s="172"/>
      <c r="BS368" s="172"/>
      <c r="BT368" s="172"/>
      <c r="BU368" s="172"/>
      <c r="BV368" s="172"/>
      <c r="BW368" s="172"/>
      <c r="BX368" s="172"/>
      <c r="BY368" s="174"/>
      <c r="BZ368" s="172"/>
      <c r="CA368" s="172"/>
      <c r="CD368" s="194"/>
      <c r="CE368" s="194"/>
      <c r="CF368" s="194"/>
      <c r="CG368" s="194"/>
      <c r="CH368" s="195"/>
      <c r="CI368" s="194"/>
      <c r="CJ368" s="194"/>
      <c r="CK368" s="194"/>
      <c r="CL368" s="196"/>
      <c r="CM368" s="196"/>
      <c r="CN368" s="194"/>
      <c r="CO368" s="197"/>
      <c r="CP368" s="196"/>
      <c r="CQ368" s="196"/>
      <c r="CR368" s="196"/>
      <c r="CS368" s="196"/>
      <c r="CT368" s="196"/>
      <c r="CU368" s="196"/>
      <c r="CV368" s="194"/>
      <c r="CW368" s="194"/>
      <c r="CX368" s="194"/>
      <c r="CY368" s="194"/>
      <c r="CZ368" s="194"/>
      <c r="DA368" s="194"/>
      <c r="DB368" s="194"/>
      <c r="DC368" s="194"/>
      <c r="DD368" s="194"/>
      <c r="DE368" s="194"/>
      <c r="DF368" s="196"/>
      <c r="DG368" s="198"/>
      <c r="DH368" s="194"/>
      <c r="DI368" s="194"/>
    </row>
    <row r="369" spans="1:113" s="24" customFormat="1" hidden="1" x14ac:dyDescent="0.3">
      <c r="A369" s="172"/>
      <c r="B369" s="172"/>
      <c r="C369" s="172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  <c r="AG369" s="173"/>
      <c r="AH369" s="173"/>
      <c r="AI369" s="173"/>
      <c r="AJ369" s="173"/>
      <c r="AK369" s="173"/>
      <c r="AL369" s="173"/>
      <c r="AM369" s="173"/>
      <c r="AN369" s="173"/>
      <c r="AO369" s="173"/>
      <c r="AP369" s="173"/>
      <c r="AQ369" s="173"/>
      <c r="AR369" s="173"/>
      <c r="AS369" s="172"/>
      <c r="AT369" s="172"/>
      <c r="AU369" s="172"/>
      <c r="AV369" s="172"/>
      <c r="AW369" s="172"/>
      <c r="AX369" s="172"/>
      <c r="AY369" s="172"/>
      <c r="AZ369" s="172"/>
      <c r="BA369" s="172"/>
      <c r="BB369" s="172"/>
      <c r="BC369" s="172"/>
      <c r="BD369" s="172"/>
      <c r="BE369" s="172"/>
      <c r="BF369" s="172"/>
      <c r="BG369" s="172"/>
      <c r="BH369" s="172"/>
      <c r="BI369" s="172"/>
      <c r="BJ369" s="172"/>
      <c r="BK369" s="172"/>
      <c r="BL369" s="172"/>
      <c r="BM369" s="172"/>
      <c r="BN369" s="172"/>
      <c r="BO369" s="172"/>
      <c r="BP369" s="172"/>
      <c r="BQ369" s="172"/>
      <c r="BR369" s="172"/>
      <c r="BS369" s="172"/>
      <c r="BT369" s="172"/>
      <c r="BU369" s="172"/>
      <c r="BV369" s="172"/>
      <c r="BW369" s="172"/>
      <c r="BX369" s="172"/>
      <c r="BY369" s="174"/>
      <c r="BZ369" s="172"/>
      <c r="CA369" s="172"/>
      <c r="CD369" s="194"/>
      <c r="CE369" s="194"/>
      <c r="CF369" s="194"/>
      <c r="CG369" s="194"/>
      <c r="CH369" s="195"/>
      <c r="CI369" s="194"/>
      <c r="CJ369" s="194"/>
      <c r="CK369" s="194"/>
      <c r="CL369" s="196"/>
      <c r="CM369" s="196"/>
      <c r="CN369" s="194"/>
      <c r="CO369" s="197"/>
      <c r="CP369" s="196"/>
      <c r="CQ369" s="196"/>
      <c r="CR369" s="196"/>
      <c r="CS369" s="196"/>
      <c r="CT369" s="196"/>
      <c r="CU369" s="196"/>
      <c r="CV369" s="194"/>
      <c r="CW369" s="194"/>
      <c r="CX369" s="194"/>
      <c r="CY369" s="194"/>
      <c r="CZ369" s="194"/>
      <c r="DA369" s="194"/>
      <c r="DB369" s="194"/>
      <c r="DC369" s="194"/>
      <c r="DD369" s="194"/>
      <c r="DE369" s="194"/>
      <c r="DF369" s="196"/>
      <c r="DG369" s="198"/>
      <c r="DH369" s="194"/>
      <c r="DI369" s="194"/>
    </row>
    <row r="370" spans="1:113" s="24" customFormat="1" hidden="1" x14ac:dyDescent="0.3">
      <c r="A370" s="172"/>
      <c r="B370" s="172"/>
      <c r="C370" s="172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  <c r="AG370" s="173"/>
      <c r="AH370" s="173"/>
      <c r="AI370" s="173"/>
      <c r="AJ370" s="173"/>
      <c r="AK370" s="173"/>
      <c r="AL370" s="173"/>
      <c r="AM370" s="173"/>
      <c r="AN370" s="173"/>
      <c r="AO370" s="173"/>
      <c r="AP370" s="173"/>
      <c r="AQ370" s="173"/>
      <c r="AR370" s="173"/>
      <c r="AS370" s="172"/>
      <c r="AT370" s="172"/>
      <c r="AU370" s="172"/>
      <c r="AV370" s="172"/>
      <c r="AW370" s="172"/>
      <c r="AX370" s="172"/>
      <c r="AY370" s="172"/>
      <c r="AZ370" s="172"/>
      <c r="BA370" s="172"/>
      <c r="BB370" s="172"/>
      <c r="BC370" s="172"/>
      <c r="BD370" s="172"/>
      <c r="BE370" s="172"/>
      <c r="BF370" s="172"/>
      <c r="BG370" s="172"/>
      <c r="BH370" s="172"/>
      <c r="BI370" s="172"/>
      <c r="BJ370" s="172"/>
      <c r="BK370" s="172"/>
      <c r="BL370" s="172"/>
      <c r="BM370" s="172"/>
      <c r="BN370" s="172"/>
      <c r="BO370" s="172"/>
      <c r="BP370" s="172"/>
      <c r="BQ370" s="172"/>
      <c r="BR370" s="172"/>
      <c r="BS370" s="172"/>
      <c r="BT370" s="172"/>
      <c r="BU370" s="172"/>
      <c r="BV370" s="172"/>
      <c r="BW370" s="172"/>
      <c r="BX370" s="172"/>
      <c r="BY370" s="174"/>
      <c r="BZ370" s="172"/>
      <c r="CA370" s="172"/>
      <c r="CD370" s="194"/>
      <c r="CE370" s="194"/>
      <c r="CF370" s="194"/>
      <c r="CG370" s="194"/>
      <c r="CH370" s="195"/>
      <c r="CI370" s="194"/>
      <c r="CJ370" s="194"/>
      <c r="CK370" s="194"/>
      <c r="CL370" s="196"/>
      <c r="CM370" s="196"/>
      <c r="CN370" s="194"/>
      <c r="CO370" s="197"/>
      <c r="CP370" s="196"/>
      <c r="CQ370" s="196"/>
      <c r="CR370" s="196"/>
      <c r="CS370" s="196"/>
      <c r="CT370" s="196"/>
      <c r="CU370" s="196"/>
      <c r="CV370" s="194"/>
      <c r="CW370" s="194"/>
      <c r="CX370" s="194"/>
      <c r="CY370" s="194"/>
      <c r="CZ370" s="194"/>
      <c r="DA370" s="194"/>
      <c r="DB370" s="194"/>
      <c r="DC370" s="194"/>
      <c r="DD370" s="194"/>
      <c r="DE370" s="194"/>
      <c r="DF370" s="196"/>
      <c r="DG370" s="198"/>
      <c r="DH370" s="194"/>
      <c r="DI370" s="194"/>
    </row>
    <row r="371" spans="1:113" s="24" customFormat="1" hidden="1" x14ac:dyDescent="0.3">
      <c r="A371" s="172"/>
      <c r="B371" s="172"/>
      <c r="C371" s="172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  <c r="AG371" s="173"/>
      <c r="AH371" s="173"/>
      <c r="AI371" s="173"/>
      <c r="AJ371" s="173"/>
      <c r="AK371" s="173"/>
      <c r="AL371" s="173"/>
      <c r="AM371" s="173"/>
      <c r="AN371" s="173"/>
      <c r="AO371" s="173"/>
      <c r="AP371" s="173"/>
      <c r="AQ371" s="173"/>
      <c r="AR371" s="173"/>
      <c r="AS371" s="172"/>
      <c r="AT371" s="172"/>
      <c r="AU371" s="172"/>
      <c r="AV371" s="172"/>
      <c r="AW371" s="172"/>
      <c r="AX371" s="172"/>
      <c r="AY371" s="172"/>
      <c r="AZ371" s="172"/>
      <c r="BA371" s="172"/>
      <c r="BB371" s="172"/>
      <c r="BC371" s="172"/>
      <c r="BD371" s="172"/>
      <c r="BE371" s="172"/>
      <c r="BF371" s="172"/>
      <c r="BG371" s="172"/>
      <c r="BH371" s="172"/>
      <c r="BI371" s="172"/>
      <c r="BJ371" s="172"/>
      <c r="BK371" s="172"/>
      <c r="BL371" s="172"/>
      <c r="BM371" s="172"/>
      <c r="BN371" s="172"/>
      <c r="BO371" s="172"/>
      <c r="BP371" s="172"/>
      <c r="BQ371" s="172"/>
      <c r="BR371" s="172"/>
      <c r="BS371" s="172"/>
      <c r="BT371" s="172"/>
      <c r="BU371" s="172"/>
      <c r="BV371" s="172"/>
      <c r="BW371" s="172"/>
      <c r="BX371" s="172"/>
      <c r="BY371" s="174"/>
      <c r="BZ371" s="172"/>
      <c r="CA371" s="172"/>
      <c r="CD371" s="194"/>
      <c r="CE371" s="194"/>
      <c r="CF371" s="194"/>
      <c r="CG371" s="194"/>
      <c r="CH371" s="195"/>
      <c r="CI371" s="194"/>
      <c r="CJ371" s="194"/>
      <c r="CK371" s="194"/>
      <c r="CL371" s="196"/>
      <c r="CM371" s="196"/>
      <c r="CN371" s="194"/>
      <c r="CO371" s="197"/>
      <c r="CP371" s="196"/>
      <c r="CQ371" s="196"/>
      <c r="CR371" s="196"/>
      <c r="CS371" s="196"/>
      <c r="CT371" s="196"/>
      <c r="CU371" s="196"/>
      <c r="CV371" s="194"/>
      <c r="CW371" s="194"/>
      <c r="CX371" s="194"/>
      <c r="CY371" s="194"/>
      <c r="CZ371" s="194"/>
      <c r="DA371" s="194"/>
      <c r="DB371" s="194"/>
      <c r="DC371" s="194"/>
      <c r="DD371" s="194"/>
      <c r="DE371" s="194"/>
      <c r="DF371" s="196"/>
      <c r="DG371" s="198"/>
      <c r="DH371" s="194"/>
      <c r="DI371" s="194"/>
    </row>
    <row r="372" spans="1:113" s="24" customFormat="1" hidden="1" x14ac:dyDescent="0.3">
      <c r="A372" s="172"/>
      <c r="B372" s="172"/>
      <c r="C372" s="172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  <c r="AG372" s="173"/>
      <c r="AH372" s="173"/>
      <c r="AI372" s="173"/>
      <c r="AJ372" s="173"/>
      <c r="AK372" s="173"/>
      <c r="AL372" s="173"/>
      <c r="AM372" s="173"/>
      <c r="AN372" s="173"/>
      <c r="AO372" s="173"/>
      <c r="AP372" s="173"/>
      <c r="AQ372" s="173"/>
      <c r="AR372" s="173"/>
      <c r="AS372" s="172"/>
      <c r="AT372" s="172"/>
      <c r="AU372" s="172"/>
      <c r="AV372" s="172"/>
      <c r="AW372" s="172"/>
      <c r="AX372" s="172"/>
      <c r="AY372" s="172"/>
      <c r="AZ372" s="172"/>
      <c r="BA372" s="172"/>
      <c r="BB372" s="172"/>
      <c r="BC372" s="172"/>
      <c r="BD372" s="172"/>
      <c r="BE372" s="172"/>
      <c r="BF372" s="172"/>
      <c r="BG372" s="172"/>
      <c r="BH372" s="172"/>
      <c r="BI372" s="172"/>
      <c r="BJ372" s="172"/>
      <c r="BK372" s="172"/>
      <c r="BL372" s="172"/>
      <c r="BM372" s="172"/>
      <c r="BN372" s="172"/>
      <c r="BO372" s="172"/>
      <c r="BP372" s="172"/>
      <c r="BQ372" s="172"/>
      <c r="BR372" s="172"/>
      <c r="BS372" s="172"/>
      <c r="BT372" s="172"/>
      <c r="BU372" s="172"/>
      <c r="BV372" s="172"/>
      <c r="BW372" s="172"/>
      <c r="BX372" s="172"/>
      <c r="BY372" s="174"/>
      <c r="BZ372" s="172"/>
      <c r="CA372" s="172"/>
      <c r="CD372" s="194"/>
      <c r="CE372" s="194"/>
      <c r="CF372" s="194"/>
      <c r="CG372" s="194"/>
      <c r="CH372" s="195"/>
      <c r="CI372" s="194"/>
      <c r="CJ372" s="194"/>
      <c r="CK372" s="194"/>
      <c r="CL372" s="196"/>
      <c r="CM372" s="196"/>
      <c r="CN372" s="194"/>
      <c r="CO372" s="197"/>
      <c r="CP372" s="196"/>
      <c r="CQ372" s="196"/>
      <c r="CR372" s="196"/>
      <c r="CS372" s="196"/>
      <c r="CT372" s="196"/>
      <c r="CU372" s="196"/>
      <c r="CV372" s="194"/>
      <c r="CW372" s="194"/>
      <c r="CX372" s="194"/>
      <c r="CY372" s="194"/>
      <c r="CZ372" s="194"/>
      <c r="DA372" s="194"/>
      <c r="DB372" s="194"/>
      <c r="DC372" s="194"/>
      <c r="DD372" s="194"/>
      <c r="DE372" s="194"/>
      <c r="DF372" s="196"/>
      <c r="DG372" s="198"/>
      <c r="DH372" s="194"/>
      <c r="DI372" s="194"/>
    </row>
    <row r="373" spans="1:113" s="24" customFormat="1" hidden="1" x14ac:dyDescent="0.3">
      <c r="A373" s="172"/>
      <c r="B373" s="172"/>
      <c r="C373" s="172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  <c r="AG373" s="173"/>
      <c r="AH373" s="173"/>
      <c r="AI373" s="173"/>
      <c r="AJ373" s="173"/>
      <c r="AK373" s="173"/>
      <c r="AL373" s="173"/>
      <c r="AM373" s="173"/>
      <c r="AN373" s="173"/>
      <c r="AO373" s="173"/>
      <c r="AP373" s="173"/>
      <c r="AQ373" s="173"/>
      <c r="AR373" s="173"/>
      <c r="AS373" s="172"/>
      <c r="AT373" s="172"/>
      <c r="AU373" s="172"/>
      <c r="AV373" s="172"/>
      <c r="AW373" s="172"/>
      <c r="AX373" s="172"/>
      <c r="AY373" s="172"/>
      <c r="AZ373" s="172"/>
      <c r="BA373" s="172"/>
      <c r="BB373" s="172"/>
      <c r="BC373" s="172"/>
      <c r="BD373" s="172"/>
      <c r="BE373" s="172"/>
      <c r="BF373" s="172"/>
      <c r="BG373" s="172"/>
      <c r="BH373" s="172"/>
      <c r="BI373" s="172"/>
      <c r="BJ373" s="172"/>
      <c r="BK373" s="172"/>
      <c r="BL373" s="172"/>
      <c r="BM373" s="172"/>
      <c r="BN373" s="172"/>
      <c r="BO373" s="172"/>
      <c r="BP373" s="172"/>
      <c r="BQ373" s="172"/>
      <c r="BR373" s="172"/>
      <c r="BS373" s="172"/>
      <c r="BT373" s="172"/>
      <c r="BU373" s="172"/>
      <c r="BV373" s="172"/>
      <c r="BW373" s="172"/>
      <c r="BX373" s="172"/>
      <c r="BY373" s="174"/>
      <c r="BZ373" s="172"/>
      <c r="CA373" s="172"/>
      <c r="CD373" s="194"/>
      <c r="CE373" s="194"/>
      <c r="CF373" s="194"/>
      <c r="CG373" s="194"/>
      <c r="CH373" s="195"/>
      <c r="CI373" s="194"/>
      <c r="CJ373" s="194"/>
      <c r="CK373" s="194"/>
      <c r="CL373" s="196"/>
      <c r="CM373" s="196"/>
      <c r="CN373" s="194"/>
      <c r="CO373" s="197"/>
      <c r="CP373" s="196"/>
      <c r="CQ373" s="196"/>
      <c r="CR373" s="196"/>
      <c r="CS373" s="196"/>
      <c r="CT373" s="196"/>
      <c r="CU373" s="196"/>
      <c r="CV373" s="194"/>
      <c r="CW373" s="194"/>
      <c r="CX373" s="194"/>
      <c r="CY373" s="194"/>
      <c r="CZ373" s="194"/>
      <c r="DA373" s="194"/>
      <c r="DB373" s="194"/>
      <c r="DC373" s="194"/>
      <c r="DD373" s="194"/>
      <c r="DE373" s="194"/>
      <c r="DF373" s="196"/>
      <c r="DG373" s="198"/>
      <c r="DH373" s="194"/>
      <c r="DI373" s="194"/>
    </row>
    <row r="374" spans="1:113" s="24" customFormat="1" hidden="1" x14ac:dyDescent="0.3">
      <c r="A374" s="172"/>
      <c r="B374" s="172"/>
      <c r="C374" s="172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  <c r="AG374" s="173"/>
      <c r="AH374" s="173"/>
      <c r="AI374" s="173"/>
      <c r="AJ374" s="173"/>
      <c r="AK374" s="173"/>
      <c r="AL374" s="173"/>
      <c r="AM374" s="173"/>
      <c r="AN374" s="173"/>
      <c r="AO374" s="173"/>
      <c r="AP374" s="173"/>
      <c r="AQ374" s="173"/>
      <c r="AR374" s="173"/>
      <c r="AS374" s="172"/>
      <c r="AT374" s="172"/>
      <c r="AU374" s="172"/>
      <c r="AV374" s="172"/>
      <c r="AW374" s="172"/>
      <c r="AX374" s="172"/>
      <c r="AY374" s="172"/>
      <c r="AZ374" s="172"/>
      <c r="BA374" s="172"/>
      <c r="BB374" s="172"/>
      <c r="BC374" s="172"/>
      <c r="BD374" s="172"/>
      <c r="BE374" s="172"/>
      <c r="BF374" s="172"/>
      <c r="BG374" s="172"/>
      <c r="BH374" s="172"/>
      <c r="BI374" s="172"/>
      <c r="BJ374" s="172"/>
      <c r="BK374" s="172"/>
      <c r="BL374" s="172"/>
      <c r="BM374" s="172"/>
      <c r="BN374" s="172"/>
      <c r="BO374" s="172"/>
      <c r="BP374" s="172"/>
      <c r="BQ374" s="172"/>
      <c r="BR374" s="172"/>
      <c r="BS374" s="172"/>
      <c r="BT374" s="172"/>
      <c r="BU374" s="172"/>
      <c r="BV374" s="172"/>
      <c r="BW374" s="172"/>
      <c r="BX374" s="172"/>
      <c r="BY374" s="174"/>
      <c r="BZ374" s="172"/>
      <c r="CA374" s="172"/>
      <c r="CD374" s="194"/>
      <c r="CE374" s="194"/>
      <c r="CF374" s="194"/>
      <c r="CG374" s="194"/>
      <c r="CH374" s="195"/>
      <c r="CI374" s="194"/>
      <c r="CJ374" s="194"/>
      <c r="CK374" s="194"/>
      <c r="CL374" s="196"/>
      <c r="CM374" s="196"/>
      <c r="CN374" s="194"/>
      <c r="CO374" s="197"/>
      <c r="CP374" s="196"/>
      <c r="CQ374" s="196"/>
      <c r="CR374" s="196"/>
      <c r="CS374" s="196"/>
      <c r="CT374" s="196"/>
      <c r="CU374" s="196"/>
      <c r="CV374" s="194"/>
      <c r="CW374" s="194"/>
      <c r="CX374" s="194"/>
      <c r="CY374" s="194"/>
      <c r="CZ374" s="194"/>
      <c r="DA374" s="194"/>
      <c r="DB374" s="194"/>
      <c r="DC374" s="194"/>
      <c r="DD374" s="194"/>
      <c r="DE374" s="194"/>
      <c r="DF374" s="196"/>
      <c r="DG374" s="198"/>
      <c r="DH374" s="194"/>
      <c r="DI374" s="194"/>
    </row>
    <row r="375" spans="1:113" s="24" customFormat="1" hidden="1" x14ac:dyDescent="0.3">
      <c r="A375" s="172"/>
      <c r="B375" s="172"/>
      <c r="C375" s="172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  <c r="AG375" s="173"/>
      <c r="AH375" s="173"/>
      <c r="AI375" s="173"/>
      <c r="AJ375" s="173"/>
      <c r="AK375" s="173"/>
      <c r="AL375" s="173"/>
      <c r="AM375" s="173"/>
      <c r="AN375" s="173"/>
      <c r="AO375" s="173"/>
      <c r="AP375" s="173"/>
      <c r="AQ375" s="173"/>
      <c r="AR375" s="173"/>
      <c r="AS375" s="172"/>
      <c r="AT375" s="172"/>
      <c r="AU375" s="172"/>
      <c r="AV375" s="172"/>
      <c r="AW375" s="172"/>
      <c r="AX375" s="172"/>
      <c r="AY375" s="172"/>
      <c r="AZ375" s="172"/>
      <c r="BA375" s="172"/>
      <c r="BB375" s="172"/>
      <c r="BC375" s="172"/>
      <c r="BD375" s="172"/>
      <c r="BE375" s="172"/>
      <c r="BF375" s="172"/>
      <c r="BG375" s="172"/>
      <c r="BH375" s="172"/>
      <c r="BI375" s="172"/>
      <c r="BJ375" s="172"/>
      <c r="BK375" s="172"/>
      <c r="BL375" s="172"/>
      <c r="BM375" s="172"/>
      <c r="BN375" s="172"/>
      <c r="BO375" s="172"/>
      <c r="BP375" s="172"/>
      <c r="BQ375" s="172"/>
      <c r="BR375" s="172"/>
      <c r="BS375" s="172"/>
      <c r="BT375" s="172"/>
      <c r="BU375" s="172"/>
      <c r="BV375" s="172"/>
      <c r="BW375" s="172"/>
      <c r="BX375" s="172"/>
      <c r="BY375" s="174"/>
      <c r="BZ375" s="172"/>
      <c r="CA375" s="172"/>
      <c r="CD375" s="194"/>
      <c r="CE375" s="194"/>
      <c r="CF375" s="194"/>
      <c r="CG375" s="194"/>
      <c r="CH375" s="195"/>
      <c r="CI375" s="194"/>
      <c r="CJ375" s="194"/>
      <c r="CK375" s="194"/>
      <c r="CL375" s="196"/>
      <c r="CM375" s="196"/>
      <c r="CN375" s="194"/>
      <c r="CO375" s="197"/>
      <c r="CP375" s="196"/>
      <c r="CQ375" s="196"/>
      <c r="CR375" s="196"/>
      <c r="CS375" s="196"/>
      <c r="CT375" s="196"/>
      <c r="CU375" s="196"/>
      <c r="CV375" s="194"/>
      <c r="CW375" s="194"/>
      <c r="CX375" s="194"/>
      <c r="CY375" s="194"/>
      <c r="CZ375" s="194"/>
      <c r="DA375" s="194"/>
      <c r="DB375" s="194"/>
      <c r="DC375" s="194"/>
      <c r="DD375" s="194"/>
      <c r="DE375" s="194"/>
      <c r="DF375" s="196"/>
      <c r="DG375" s="198"/>
      <c r="DH375" s="194"/>
      <c r="DI375" s="194"/>
    </row>
    <row r="376" spans="1:113" s="24" customFormat="1" hidden="1" x14ac:dyDescent="0.3">
      <c r="A376" s="172"/>
      <c r="B376" s="172"/>
      <c r="C376" s="172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  <c r="AG376" s="173"/>
      <c r="AH376" s="173"/>
      <c r="AI376" s="173"/>
      <c r="AJ376" s="173"/>
      <c r="AK376" s="173"/>
      <c r="AL376" s="173"/>
      <c r="AM376" s="173"/>
      <c r="AN376" s="173"/>
      <c r="AO376" s="173"/>
      <c r="AP376" s="173"/>
      <c r="AQ376" s="173"/>
      <c r="AR376" s="173"/>
      <c r="AS376" s="172"/>
      <c r="AT376" s="172"/>
      <c r="AU376" s="172"/>
      <c r="AV376" s="172"/>
      <c r="AW376" s="172"/>
      <c r="AX376" s="172"/>
      <c r="AY376" s="172"/>
      <c r="AZ376" s="172"/>
      <c r="BA376" s="172"/>
      <c r="BB376" s="172"/>
      <c r="BC376" s="172"/>
      <c r="BD376" s="172"/>
      <c r="BE376" s="172"/>
      <c r="BF376" s="172"/>
      <c r="BG376" s="172"/>
      <c r="BH376" s="172"/>
      <c r="BI376" s="172"/>
      <c r="BJ376" s="172"/>
      <c r="BK376" s="172"/>
      <c r="BL376" s="172"/>
      <c r="BM376" s="172"/>
      <c r="BN376" s="172"/>
      <c r="BO376" s="172"/>
      <c r="BP376" s="172"/>
      <c r="BQ376" s="172"/>
      <c r="BR376" s="172"/>
      <c r="BS376" s="172"/>
      <c r="BT376" s="172"/>
      <c r="BU376" s="172"/>
      <c r="BV376" s="172"/>
      <c r="BW376" s="172"/>
      <c r="BX376" s="172"/>
      <c r="BY376" s="174"/>
      <c r="BZ376" s="172"/>
      <c r="CA376" s="172"/>
      <c r="CD376" s="194"/>
      <c r="CE376" s="194"/>
      <c r="CF376" s="194"/>
      <c r="CG376" s="194"/>
      <c r="CH376" s="195"/>
      <c r="CI376" s="194"/>
      <c r="CJ376" s="194"/>
      <c r="CK376" s="194"/>
      <c r="CL376" s="196"/>
      <c r="CM376" s="196"/>
      <c r="CN376" s="194"/>
      <c r="CO376" s="197"/>
      <c r="CP376" s="196"/>
      <c r="CQ376" s="196"/>
      <c r="CR376" s="196"/>
      <c r="CS376" s="196"/>
      <c r="CT376" s="196"/>
      <c r="CU376" s="196"/>
      <c r="CV376" s="194"/>
      <c r="CW376" s="194"/>
      <c r="CX376" s="194"/>
      <c r="CY376" s="194"/>
      <c r="CZ376" s="194"/>
      <c r="DA376" s="194"/>
      <c r="DB376" s="194"/>
      <c r="DC376" s="194"/>
      <c r="DD376" s="194"/>
      <c r="DE376" s="194"/>
      <c r="DF376" s="196"/>
      <c r="DG376" s="198"/>
      <c r="DH376" s="194"/>
      <c r="DI376" s="194"/>
    </row>
    <row r="377" spans="1:113" s="24" customFormat="1" hidden="1" x14ac:dyDescent="0.3">
      <c r="A377" s="172"/>
      <c r="B377" s="172"/>
      <c r="C377" s="172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  <c r="AG377" s="173"/>
      <c r="AH377" s="173"/>
      <c r="AI377" s="173"/>
      <c r="AJ377" s="173"/>
      <c r="AK377" s="173"/>
      <c r="AL377" s="173"/>
      <c r="AM377" s="173"/>
      <c r="AN377" s="173"/>
      <c r="AO377" s="173"/>
      <c r="AP377" s="173"/>
      <c r="AQ377" s="173"/>
      <c r="AR377" s="173"/>
      <c r="AS377" s="172"/>
      <c r="AT377" s="172"/>
      <c r="AU377" s="172"/>
      <c r="AV377" s="172"/>
      <c r="AW377" s="172"/>
      <c r="AX377" s="172"/>
      <c r="AY377" s="172"/>
      <c r="AZ377" s="172"/>
      <c r="BA377" s="172"/>
      <c r="BB377" s="172"/>
      <c r="BC377" s="172"/>
      <c r="BD377" s="172"/>
      <c r="BE377" s="172"/>
      <c r="BF377" s="172"/>
      <c r="BG377" s="172"/>
      <c r="BH377" s="172"/>
      <c r="BI377" s="172"/>
      <c r="BJ377" s="172"/>
      <c r="BK377" s="172"/>
      <c r="BL377" s="172"/>
      <c r="BM377" s="172"/>
      <c r="BN377" s="172"/>
      <c r="BO377" s="172"/>
      <c r="BP377" s="172"/>
      <c r="BQ377" s="172"/>
      <c r="BR377" s="172"/>
      <c r="BS377" s="172"/>
      <c r="BT377" s="172"/>
      <c r="BU377" s="172"/>
      <c r="BV377" s="172"/>
      <c r="BW377" s="172"/>
      <c r="BX377" s="172"/>
      <c r="BY377" s="174"/>
      <c r="BZ377" s="172"/>
      <c r="CA377" s="172"/>
      <c r="CD377" s="194"/>
      <c r="CE377" s="194"/>
      <c r="CF377" s="194"/>
      <c r="CG377" s="194"/>
      <c r="CH377" s="195"/>
      <c r="CI377" s="194"/>
      <c r="CJ377" s="194"/>
      <c r="CK377" s="194"/>
      <c r="CL377" s="196"/>
      <c r="CM377" s="196"/>
      <c r="CN377" s="194"/>
      <c r="CO377" s="197"/>
      <c r="CP377" s="196"/>
      <c r="CQ377" s="196"/>
      <c r="CR377" s="196"/>
      <c r="CS377" s="196"/>
      <c r="CT377" s="196"/>
      <c r="CU377" s="196"/>
      <c r="CV377" s="194"/>
      <c r="CW377" s="194"/>
      <c r="CX377" s="194"/>
      <c r="CY377" s="194"/>
      <c r="CZ377" s="194"/>
      <c r="DA377" s="194"/>
      <c r="DB377" s="194"/>
      <c r="DC377" s="194"/>
      <c r="DD377" s="194"/>
      <c r="DE377" s="194"/>
      <c r="DF377" s="196"/>
      <c r="DG377" s="198"/>
      <c r="DH377" s="194"/>
      <c r="DI377" s="194"/>
    </row>
    <row r="378" spans="1:113" s="24" customFormat="1" hidden="1" x14ac:dyDescent="0.3">
      <c r="A378" s="172"/>
      <c r="B378" s="172"/>
      <c r="C378" s="172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  <c r="AG378" s="173"/>
      <c r="AH378" s="173"/>
      <c r="AI378" s="173"/>
      <c r="AJ378" s="173"/>
      <c r="AK378" s="173"/>
      <c r="AL378" s="173"/>
      <c r="AM378" s="173"/>
      <c r="AN378" s="173"/>
      <c r="AO378" s="173"/>
      <c r="AP378" s="173"/>
      <c r="AQ378" s="173"/>
      <c r="AR378" s="173"/>
      <c r="AS378" s="172"/>
      <c r="AT378" s="172"/>
      <c r="AU378" s="172"/>
      <c r="AV378" s="172"/>
      <c r="AW378" s="172"/>
      <c r="AX378" s="172"/>
      <c r="AY378" s="172"/>
      <c r="AZ378" s="172"/>
      <c r="BA378" s="172"/>
      <c r="BB378" s="172"/>
      <c r="BC378" s="172"/>
      <c r="BD378" s="172"/>
      <c r="BE378" s="172"/>
      <c r="BF378" s="172"/>
      <c r="BG378" s="172"/>
      <c r="BH378" s="172"/>
      <c r="BI378" s="172"/>
      <c r="BJ378" s="172"/>
      <c r="BK378" s="172"/>
      <c r="BL378" s="172"/>
      <c r="BM378" s="172"/>
      <c r="BN378" s="172"/>
      <c r="BO378" s="172"/>
      <c r="BP378" s="172"/>
      <c r="BQ378" s="172"/>
      <c r="BR378" s="172"/>
      <c r="BS378" s="172"/>
      <c r="BT378" s="172"/>
      <c r="BU378" s="172"/>
      <c r="BV378" s="172"/>
      <c r="BW378" s="172"/>
      <c r="BX378" s="172"/>
      <c r="BY378" s="174"/>
      <c r="BZ378" s="172"/>
      <c r="CA378" s="172"/>
      <c r="CD378" s="194"/>
      <c r="CE378" s="194"/>
      <c r="CF378" s="194"/>
      <c r="CG378" s="194"/>
      <c r="CH378" s="195"/>
      <c r="CI378" s="194"/>
      <c r="CJ378" s="194"/>
      <c r="CK378" s="194"/>
      <c r="CL378" s="196"/>
      <c r="CM378" s="196"/>
      <c r="CN378" s="194"/>
      <c r="CO378" s="197"/>
      <c r="CP378" s="196"/>
      <c r="CQ378" s="196"/>
      <c r="CR378" s="196"/>
      <c r="CS378" s="196"/>
      <c r="CT378" s="196"/>
      <c r="CU378" s="196"/>
      <c r="CV378" s="194"/>
      <c r="CW378" s="194"/>
      <c r="CX378" s="194"/>
      <c r="CY378" s="194"/>
      <c r="CZ378" s="194"/>
      <c r="DA378" s="194"/>
      <c r="DB378" s="194"/>
      <c r="DC378" s="194"/>
      <c r="DD378" s="194"/>
      <c r="DE378" s="194"/>
      <c r="DF378" s="196"/>
      <c r="DG378" s="198"/>
      <c r="DH378" s="194"/>
      <c r="DI378" s="194"/>
    </row>
    <row r="379" spans="1:113" s="24" customFormat="1" hidden="1" x14ac:dyDescent="0.3">
      <c r="A379" s="172"/>
      <c r="B379" s="172"/>
      <c r="C379" s="172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  <c r="AG379" s="173"/>
      <c r="AH379" s="173"/>
      <c r="AI379" s="173"/>
      <c r="AJ379" s="173"/>
      <c r="AK379" s="173"/>
      <c r="AL379" s="173"/>
      <c r="AM379" s="173"/>
      <c r="AN379" s="173"/>
      <c r="AO379" s="173"/>
      <c r="AP379" s="173"/>
      <c r="AQ379" s="173"/>
      <c r="AR379" s="173"/>
      <c r="AS379" s="172"/>
      <c r="AT379" s="172"/>
      <c r="AU379" s="172"/>
      <c r="AV379" s="172"/>
      <c r="AW379" s="172"/>
      <c r="AX379" s="172"/>
      <c r="AY379" s="172"/>
      <c r="AZ379" s="172"/>
      <c r="BA379" s="172"/>
      <c r="BB379" s="172"/>
      <c r="BC379" s="172"/>
      <c r="BD379" s="172"/>
      <c r="BE379" s="172"/>
      <c r="BF379" s="172"/>
      <c r="BG379" s="172"/>
      <c r="BH379" s="172"/>
      <c r="BI379" s="172"/>
      <c r="BJ379" s="172"/>
      <c r="BK379" s="172"/>
      <c r="BL379" s="172"/>
      <c r="BM379" s="172"/>
      <c r="BN379" s="172"/>
      <c r="BO379" s="172"/>
      <c r="BP379" s="172"/>
      <c r="BQ379" s="172"/>
      <c r="BR379" s="172"/>
      <c r="BS379" s="172"/>
      <c r="BT379" s="172"/>
      <c r="BU379" s="172"/>
      <c r="BV379" s="172"/>
      <c r="BW379" s="172"/>
      <c r="BX379" s="172"/>
      <c r="BY379" s="174"/>
      <c r="BZ379" s="172"/>
      <c r="CA379" s="172"/>
      <c r="CD379" s="194"/>
      <c r="CE379" s="194"/>
      <c r="CF379" s="194"/>
      <c r="CG379" s="194"/>
      <c r="CH379" s="195"/>
      <c r="CI379" s="194"/>
      <c r="CJ379" s="194"/>
      <c r="CK379" s="194"/>
      <c r="CL379" s="196"/>
      <c r="CM379" s="196"/>
      <c r="CN379" s="194"/>
      <c r="CO379" s="197"/>
      <c r="CP379" s="196"/>
      <c r="CQ379" s="196"/>
      <c r="CR379" s="196"/>
      <c r="CS379" s="196"/>
      <c r="CT379" s="196"/>
      <c r="CU379" s="196"/>
      <c r="CV379" s="194"/>
      <c r="CW379" s="194"/>
      <c r="CX379" s="194"/>
      <c r="CY379" s="194"/>
      <c r="CZ379" s="194"/>
      <c r="DA379" s="194"/>
      <c r="DB379" s="194"/>
      <c r="DC379" s="194"/>
      <c r="DD379" s="194"/>
      <c r="DE379" s="194"/>
      <c r="DF379" s="196"/>
      <c r="DG379" s="198"/>
      <c r="DH379" s="194"/>
      <c r="DI379" s="194"/>
    </row>
    <row r="380" spans="1:113" s="24" customFormat="1" hidden="1" x14ac:dyDescent="0.3">
      <c r="A380" s="172"/>
      <c r="B380" s="172"/>
      <c r="C380" s="172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  <c r="AG380" s="173"/>
      <c r="AH380" s="173"/>
      <c r="AI380" s="173"/>
      <c r="AJ380" s="173"/>
      <c r="AK380" s="173"/>
      <c r="AL380" s="173"/>
      <c r="AM380" s="173"/>
      <c r="AN380" s="173"/>
      <c r="AO380" s="173"/>
      <c r="AP380" s="173"/>
      <c r="AQ380" s="173"/>
      <c r="AR380" s="173"/>
      <c r="AS380" s="172"/>
      <c r="AT380" s="172"/>
      <c r="AU380" s="172"/>
      <c r="AV380" s="172"/>
      <c r="AW380" s="172"/>
      <c r="AX380" s="172"/>
      <c r="AY380" s="172"/>
      <c r="AZ380" s="172"/>
      <c r="BA380" s="172"/>
      <c r="BB380" s="172"/>
      <c r="BC380" s="172"/>
      <c r="BD380" s="172"/>
      <c r="BE380" s="172"/>
      <c r="BF380" s="172"/>
      <c r="BG380" s="172"/>
      <c r="BH380" s="172"/>
      <c r="BI380" s="172"/>
      <c r="BJ380" s="172"/>
      <c r="BK380" s="172"/>
      <c r="BL380" s="172"/>
      <c r="BM380" s="172"/>
      <c r="BN380" s="172"/>
      <c r="BO380" s="172"/>
      <c r="BP380" s="172"/>
      <c r="BQ380" s="172"/>
      <c r="BR380" s="172"/>
      <c r="BS380" s="172"/>
      <c r="BT380" s="172"/>
      <c r="BU380" s="172"/>
      <c r="BV380" s="172"/>
      <c r="BW380" s="172"/>
      <c r="BX380" s="172"/>
      <c r="BY380" s="174"/>
      <c r="BZ380" s="172"/>
      <c r="CA380" s="172"/>
      <c r="CD380" s="194"/>
      <c r="CE380" s="194"/>
      <c r="CF380" s="194"/>
      <c r="CG380" s="194"/>
      <c r="CH380" s="195"/>
      <c r="CI380" s="194"/>
      <c r="CJ380" s="194"/>
      <c r="CK380" s="194"/>
      <c r="CL380" s="196"/>
      <c r="CM380" s="196"/>
      <c r="CN380" s="194"/>
      <c r="CO380" s="197"/>
      <c r="CP380" s="196"/>
      <c r="CQ380" s="196"/>
      <c r="CR380" s="196"/>
      <c r="CS380" s="196"/>
      <c r="CT380" s="196"/>
      <c r="CU380" s="196"/>
      <c r="CV380" s="194"/>
      <c r="CW380" s="194"/>
      <c r="CX380" s="194"/>
      <c r="CY380" s="194"/>
      <c r="CZ380" s="194"/>
      <c r="DA380" s="194"/>
      <c r="DB380" s="194"/>
      <c r="DC380" s="194"/>
      <c r="DD380" s="194"/>
      <c r="DE380" s="194"/>
      <c r="DF380" s="196"/>
      <c r="DG380" s="198"/>
      <c r="DH380" s="194"/>
      <c r="DI380" s="194"/>
    </row>
    <row r="381" spans="1:113" s="24" customFormat="1" hidden="1" x14ac:dyDescent="0.3">
      <c r="A381" s="172"/>
      <c r="B381" s="172"/>
      <c r="C381" s="172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  <c r="AG381" s="173"/>
      <c r="AH381" s="173"/>
      <c r="AI381" s="173"/>
      <c r="AJ381" s="173"/>
      <c r="AK381" s="173"/>
      <c r="AL381" s="173"/>
      <c r="AM381" s="173"/>
      <c r="AN381" s="173"/>
      <c r="AO381" s="173"/>
      <c r="AP381" s="173"/>
      <c r="AQ381" s="173"/>
      <c r="AR381" s="173"/>
      <c r="AS381" s="172"/>
      <c r="AT381" s="172"/>
      <c r="AU381" s="172"/>
      <c r="AV381" s="172"/>
      <c r="AW381" s="172"/>
      <c r="AX381" s="172"/>
      <c r="AY381" s="172"/>
      <c r="AZ381" s="172"/>
      <c r="BA381" s="172"/>
      <c r="BB381" s="172"/>
      <c r="BC381" s="172"/>
      <c r="BD381" s="172"/>
      <c r="BE381" s="172"/>
      <c r="BF381" s="172"/>
      <c r="BG381" s="172"/>
      <c r="BH381" s="172"/>
      <c r="BI381" s="172"/>
      <c r="BJ381" s="172"/>
      <c r="BK381" s="172"/>
      <c r="BL381" s="172"/>
      <c r="BM381" s="172"/>
      <c r="BN381" s="172"/>
      <c r="BO381" s="172"/>
      <c r="BP381" s="172"/>
      <c r="BQ381" s="172"/>
      <c r="BR381" s="172"/>
      <c r="BS381" s="172"/>
      <c r="BT381" s="172"/>
      <c r="BU381" s="172"/>
      <c r="BV381" s="172"/>
      <c r="BW381" s="172"/>
      <c r="BX381" s="172"/>
      <c r="BY381" s="174"/>
      <c r="BZ381" s="172"/>
      <c r="CA381" s="172"/>
      <c r="CD381" s="194"/>
      <c r="CE381" s="194"/>
      <c r="CF381" s="194"/>
      <c r="CG381" s="194"/>
      <c r="CH381" s="195"/>
      <c r="CI381" s="194"/>
      <c r="CJ381" s="194"/>
      <c r="CK381" s="194"/>
      <c r="CL381" s="196"/>
      <c r="CM381" s="196"/>
      <c r="CN381" s="194"/>
      <c r="CO381" s="197"/>
      <c r="CP381" s="196"/>
      <c r="CQ381" s="196"/>
      <c r="CR381" s="196"/>
      <c r="CS381" s="196"/>
      <c r="CT381" s="196"/>
      <c r="CU381" s="196"/>
      <c r="CV381" s="194"/>
      <c r="CW381" s="194"/>
      <c r="CX381" s="194"/>
      <c r="CY381" s="194"/>
      <c r="CZ381" s="194"/>
      <c r="DA381" s="194"/>
      <c r="DB381" s="194"/>
      <c r="DC381" s="194"/>
      <c r="DD381" s="194"/>
      <c r="DE381" s="194"/>
      <c r="DF381" s="196"/>
      <c r="DG381" s="198"/>
      <c r="DH381" s="194"/>
      <c r="DI381" s="194"/>
    </row>
    <row r="382" spans="1:113" s="24" customFormat="1" hidden="1" x14ac:dyDescent="0.3">
      <c r="A382" s="172"/>
      <c r="B382" s="172"/>
      <c r="C382" s="172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  <c r="AG382" s="173"/>
      <c r="AH382" s="173"/>
      <c r="AI382" s="173"/>
      <c r="AJ382" s="173"/>
      <c r="AK382" s="173"/>
      <c r="AL382" s="173"/>
      <c r="AM382" s="173"/>
      <c r="AN382" s="173"/>
      <c r="AO382" s="173"/>
      <c r="AP382" s="173"/>
      <c r="AQ382" s="173"/>
      <c r="AR382" s="173"/>
      <c r="AS382" s="172"/>
      <c r="AT382" s="172"/>
      <c r="AU382" s="172"/>
      <c r="AV382" s="172"/>
      <c r="AW382" s="172"/>
      <c r="AX382" s="172"/>
      <c r="AY382" s="172"/>
      <c r="AZ382" s="172"/>
      <c r="BA382" s="172"/>
      <c r="BB382" s="172"/>
      <c r="BC382" s="172"/>
      <c r="BD382" s="172"/>
      <c r="BE382" s="172"/>
      <c r="BF382" s="172"/>
      <c r="BG382" s="172"/>
      <c r="BH382" s="172"/>
      <c r="BI382" s="172"/>
      <c r="BJ382" s="172"/>
      <c r="BK382" s="172"/>
      <c r="BL382" s="172"/>
      <c r="BM382" s="172"/>
      <c r="BN382" s="172"/>
      <c r="BO382" s="172"/>
      <c r="BP382" s="172"/>
      <c r="BQ382" s="172"/>
      <c r="BR382" s="172"/>
      <c r="BS382" s="172"/>
      <c r="BT382" s="172"/>
      <c r="BU382" s="172"/>
      <c r="BV382" s="172"/>
      <c r="BW382" s="172"/>
      <c r="BX382" s="172"/>
      <c r="BY382" s="174"/>
      <c r="BZ382" s="172"/>
      <c r="CA382" s="172"/>
      <c r="CD382" s="194"/>
      <c r="CE382" s="194"/>
      <c r="CF382" s="194"/>
      <c r="CG382" s="194"/>
      <c r="CH382" s="195"/>
      <c r="CI382" s="194"/>
      <c r="CJ382" s="194"/>
      <c r="CK382" s="194"/>
      <c r="CL382" s="196"/>
      <c r="CM382" s="196"/>
      <c r="CN382" s="194"/>
      <c r="CO382" s="197"/>
      <c r="CP382" s="196"/>
      <c r="CQ382" s="196"/>
      <c r="CR382" s="196"/>
      <c r="CS382" s="196"/>
      <c r="CT382" s="196"/>
      <c r="CU382" s="196"/>
      <c r="CV382" s="194"/>
      <c r="CW382" s="194"/>
      <c r="CX382" s="194"/>
      <c r="CY382" s="194"/>
      <c r="CZ382" s="194"/>
      <c r="DA382" s="194"/>
      <c r="DB382" s="194"/>
      <c r="DC382" s="194"/>
      <c r="DD382" s="194"/>
      <c r="DE382" s="194"/>
      <c r="DF382" s="196"/>
      <c r="DG382" s="198"/>
      <c r="DH382" s="194"/>
      <c r="DI382" s="194"/>
    </row>
    <row r="383" spans="1:113" s="24" customFormat="1" hidden="1" x14ac:dyDescent="0.3">
      <c r="A383" s="172"/>
      <c r="B383" s="172"/>
      <c r="C383" s="172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  <c r="AG383" s="173"/>
      <c r="AH383" s="173"/>
      <c r="AI383" s="173"/>
      <c r="AJ383" s="173"/>
      <c r="AK383" s="173"/>
      <c r="AL383" s="173"/>
      <c r="AM383" s="173"/>
      <c r="AN383" s="173"/>
      <c r="AO383" s="173"/>
      <c r="AP383" s="173"/>
      <c r="AQ383" s="173"/>
      <c r="AR383" s="173"/>
      <c r="AS383" s="172"/>
      <c r="AT383" s="172"/>
      <c r="AU383" s="172"/>
      <c r="AV383" s="172"/>
      <c r="AW383" s="172"/>
      <c r="AX383" s="172"/>
      <c r="AY383" s="172"/>
      <c r="AZ383" s="172"/>
      <c r="BA383" s="172"/>
      <c r="BB383" s="172"/>
      <c r="BC383" s="172"/>
      <c r="BD383" s="172"/>
      <c r="BE383" s="172"/>
      <c r="BF383" s="172"/>
      <c r="BG383" s="172"/>
      <c r="BH383" s="172"/>
      <c r="BI383" s="172"/>
      <c r="BJ383" s="172"/>
      <c r="BK383" s="172"/>
      <c r="BL383" s="172"/>
      <c r="BM383" s="172"/>
      <c r="BN383" s="172"/>
      <c r="BO383" s="172"/>
      <c r="BP383" s="172"/>
      <c r="BQ383" s="172"/>
      <c r="BR383" s="172"/>
      <c r="BS383" s="172"/>
      <c r="BT383" s="172"/>
      <c r="BU383" s="172"/>
      <c r="BV383" s="172"/>
      <c r="BW383" s="172"/>
      <c r="BX383" s="172"/>
      <c r="BY383" s="174"/>
      <c r="BZ383" s="172"/>
      <c r="CA383" s="172"/>
      <c r="CD383" s="194"/>
      <c r="CE383" s="194"/>
      <c r="CF383" s="194"/>
      <c r="CG383" s="194"/>
      <c r="CH383" s="195"/>
      <c r="CI383" s="194"/>
      <c r="CJ383" s="194"/>
      <c r="CK383" s="194"/>
      <c r="CL383" s="196"/>
      <c r="CM383" s="196"/>
      <c r="CN383" s="194"/>
      <c r="CO383" s="197"/>
      <c r="CP383" s="196"/>
      <c r="CQ383" s="196"/>
      <c r="CR383" s="196"/>
      <c r="CS383" s="196"/>
      <c r="CT383" s="196"/>
      <c r="CU383" s="196"/>
      <c r="CV383" s="194"/>
      <c r="CW383" s="194"/>
      <c r="CX383" s="194"/>
      <c r="CY383" s="194"/>
      <c r="CZ383" s="194"/>
      <c r="DA383" s="194"/>
      <c r="DB383" s="194"/>
      <c r="DC383" s="194"/>
      <c r="DD383" s="194"/>
      <c r="DE383" s="194"/>
      <c r="DF383" s="196"/>
      <c r="DG383" s="198"/>
      <c r="DH383" s="194"/>
      <c r="DI383" s="194"/>
    </row>
    <row r="384" spans="1:113" s="24" customFormat="1" hidden="1" x14ac:dyDescent="0.3">
      <c r="A384" s="172"/>
      <c r="B384" s="172"/>
      <c r="C384" s="172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  <c r="AG384" s="173"/>
      <c r="AH384" s="173"/>
      <c r="AI384" s="173"/>
      <c r="AJ384" s="173"/>
      <c r="AK384" s="173"/>
      <c r="AL384" s="173"/>
      <c r="AM384" s="173"/>
      <c r="AN384" s="173"/>
      <c r="AO384" s="173"/>
      <c r="AP384" s="173"/>
      <c r="AQ384" s="173"/>
      <c r="AR384" s="173"/>
      <c r="AS384" s="172"/>
      <c r="AT384" s="172"/>
      <c r="AU384" s="172"/>
      <c r="AV384" s="172"/>
      <c r="AW384" s="172"/>
      <c r="AX384" s="172"/>
      <c r="AY384" s="172"/>
      <c r="AZ384" s="172"/>
      <c r="BA384" s="172"/>
      <c r="BB384" s="172"/>
      <c r="BC384" s="172"/>
      <c r="BD384" s="172"/>
      <c r="BE384" s="172"/>
      <c r="BF384" s="172"/>
      <c r="BG384" s="172"/>
      <c r="BH384" s="172"/>
      <c r="BI384" s="172"/>
      <c r="BJ384" s="172"/>
      <c r="BK384" s="172"/>
      <c r="BL384" s="172"/>
      <c r="BM384" s="172"/>
      <c r="BN384" s="172"/>
      <c r="BO384" s="172"/>
      <c r="BP384" s="172"/>
      <c r="BQ384" s="172"/>
      <c r="BR384" s="172"/>
      <c r="BS384" s="172"/>
      <c r="BT384" s="172"/>
      <c r="BU384" s="172"/>
      <c r="BV384" s="172"/>
      <c r="BW384" s="172"/>
      <c r="BX384" s="172"/>
      <c r="BY384" s="174"/>
      <c r="BZ384" s="172"/>
      <c r="CA384" s="172"/>
      <c r="CD384" s="194"/>
      <c r="CE384" s="194"/>
      <c r="CF384" s="194"/>
      <c r="CG384" s="194"/>
      <c r="CH384" s="195"/>
      <c r="CI384" s="194"/>
      <c r="CJ384" s="194"/>
      <c r="CK384" s="194"/>
      <c r="CL384" s="196"/>
      <c r="CM384" s="196"/>
      <c r="CN384" s="194"/>
      <c r="CO384" s="197"/>
      <c r="CP384" s="196"/>
      <c r="CQ384" s="196"/>
      <c r="CR384" s="196"/>
      <c r="CS384" s="196"/>
      <c r="CT384" s="196"/>
      <c r="CU384" s="196"/>
      <c r="CV384" s="194"/>
      <c r="CW384" s="194"/>
      <c r="CX384" s="194"/>
      <c r="CY384" s="194"/>
      <c r="CZ384" s="194"/>
      <c r="DA384" s="194"/>
      <c r="DB384" s="194"/>
      <c r="DC384" s="194"/>
      <c r="DD384" s="194"/>
      <c r="DE384" s="194"/>
      <c r="DF384" s="196"/>
      <c r="DG384" s="198"/>
      <c r="DH384" s="194"/>
      <c r="DI384" s="194"/>
    </row>
    <row r="385" spans="1:113" s="24" customFormat="1" hidden="1" x14ac:dyDescent="0.3">
      <c r="A385" s="172"/>
      <c r="B385" s="172"/>
      <c r="C385" s="172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  <c r="AG385" s="173"/>
      <c r="AH385" s="173"/>
      <c r="AI385" s="173"/>
      <c r="AJ385" s="173"/>
      <c r="AK385" s="173"/>
      <c r="AL385" s="173"/>
      <c r="AM385" s="173"/>
      <c r="AN385" s="173"/>
      <c r="AO385" s="173"/>
      <c r="AP385" s="173"/>
      <c r="AQ385" s="173"/>
      <c r="AR385" s="173"/>
      <c r="AS385" s="172"/>
      <c r="AT385" s="172"/>
      <c r="AU385" s="172"/>
      <c r="AV385" s="172"/>
      <c r="AW385" s="172"/>
      <c r="AX385" s="172"/>
      <c r="AY385" s="172"/>
      <c r="AZ385" s="172"/>
      <c r="BA385" s="172"/>
      <c r="BB385" s="172"/>
      <c r="BC385" s="172"/>
      <c r="BD385" s="172"/>
      <c r="BE385" s="172"/>
      <c r="BF385" s="172"/>
      <c r="BG385" s="172"/>
      <c r="BH385" s="172"/>
      <c r="BI385" s="172"/>
      <c r="BJ385" s="172"/>
      <c r="BK385" s="172"/>
      <c r="BL385" s="172"/>
      <c r="BM385" s="172"/>
      <c r="BN385" s="172"/>
      <c r="BO385" s="172"/>
      <c r="BP385" s="172"/>
      <c r="BQ385" s="172"/>
      <c r="BR385" s="172"/>
      <c r="BS385" s="172"/>
      <c r="BT385" s="172"/>
      <c r="BU385" s="172"/>
      <c r="BV385" s="172"/>
      <c r="BW385" s="172"/>
      <c r="BX385" s="172"/>
      <c r="BY385" s="174"/>
      <c r="BZ385" s="172"/>
      <c r="CA385" s="172"/>
      <c r="CD385" s="194"/>
      <c r="CE385" s="194"/>
      <c r="CF385" s="194"/>
      <c r="CG385" s="194"/>
      <c r="CH385" s="195"/>
      <c r="CI385" s="194"/>
      <c r="CJ385" s="194"/>
      <c r="CK385" s="194"/>
      <c r="CL385" s="196"/>
      <c r="CM385" s="196"/>
      <c r="CN385" s="194"/>
      <c r="CO385" s="197"/>
      <c r="CP385" s="196"/>
      <c r="CQ385" s="196"/>
      <c r="CR385" s="196"/>
      <c r="CS385" s="196"/>
      <c r="CT385" s="196"/>
      <c r="CU385" s="196"/>
      <c r="CV385" s="194"/>
      <c r="CW385" s="194"/>
      <c r="CX385" s="194"/>
      <c r="CY385" s="194"/>
      <c r="CZ385" s="194"/>
      <c r="DA385" s="194"/>
      <c r="DB385" s="194"/>
      <c r="DC385" s="194"/>
      <c r="DD385" s="194"/>
      <c r="DE385" s="194"/>
      <c r="DF385" s="196"/>
      <c r="DG385" s="198"/>
      <c r="DH385" s="194"/>
      <c r="DI385" s="194"/>
    </row>
    <row r="386" spans="1:113" s="24" customFormat="1" hidden="1" x14ac:dyDescent="0.3">
      <c r="A386" s="172"/>
      <c r="B386" s="172"/>
      <c r="C386" s="172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  <c r="AG386" s="173"/>
      <c r="AH386" s="173"/>
      <c r="AI386" s="173"/>
      <c r="AJ386" s="173"/>
      <c r="AK386" s="173"/>
      <c r="AL386" s="173"/>
      <c r="AM386" s="173"/>
      <c r="AN386" s="173"/>
      <c r="AO386" s="173"/>
      <c r="AP386" s="173"/>
      <c r="AQ386" s="173"/>
      <c r="AR386" s="173"/>
      <c r="AS386" s="172"/>
      <c r="AT386" s="172"/>
      <c r="AU386" s="172"/>
      <c r="AV386" s="172"/>
      <c r="AW386" s="172"/>
      <c r="AX386" s="172"/>
      <c r="AY386" s="172"/>
      <c r="AZ386" s="172"/>
      <c r="BA386" s="172"/>
      <c r="BB386" s="172"/>
      <c r="BC386" s="172"/>
      <c r="BD386" s="172"/>
      <c r="BE386" s="172"/>
      <c r="BF386" s="172"/>
      <c r="BG386" s="172"/>
      <c r="BH386" s="172"/>
      <c r="BI386" s="172"/>
      <c r="BJ386" s="172"/>
      <c r="BK386" s="172"/>
      <c r="BL386" s="172"/>
      <c r="BM386" s="172"/>
      <c r="BN386" s="172"/>
      <c r="BO386" s="172"/>
      <c r="BP386" s="172"/>
      <c r="BQ386" s="172"/>
      <c r="BR386" s="172"/>
      <c r="BS386" s="172"/>
      <c r="BT386" s="172"/>
      <c r="BU386" s="172"/>
      <c r="BV386" s="172"/>
      <c r="BW386" s="172"/>
      <c r="BX386" s="172"/>
      <c r="BY386" s="174"/>
      <c r="BZ386" s="172"/>
      <c r="CA386" s="172"/>
      <c r="CD386" s="194"/>
      <c r="CE386" s="194"/>
      <c r="CF386" s="194"/>
      <c r="CG386" s="194"/>
      <c r="CH386" s="195"/>
      <c r="CI386" s="194"/>
      <c r="CJ386" s="194"/>
      <c r="CK386" s="194"/>
      <c r="CL386" s="196"/>
      <c r="CM386" s="196"/>
      <c r="CN386" s="194"/>
      <c r="CO386" s="197"/>
      <c r="CP386" s="196"/>
      <c r="CQ386" s="196"/>
      <c r="CR386" s="196"/>
      <c r="CS386" s="196"/>
      <c r="CT386" s="196"/>
      <c r="CU386" s="196"/>
      <c r="CV386" s="194"/>
      <c r="CW386" s="194"/>
      <c r="CX386" s="194"/>
      <c r="CY386" s="194"/>
      <c r="CZ386" s="194"/>
      <c r="DA386" s="194"/>
      <c r="DB386" s="194"/>
      <c r="DC386" s="194"/>
      <c r="DD386" s="194"/>
      <c r="DE386" s="194"/>
      <c r="DF386" s="196"/>
      <c r="DG386" s="198"/>
      <c r="DH386" s="194"/>
      <c r="DI386" s="194"/>
    </row>
    <row r="387" spans="1:113" s="24" customFormat="1" hidden="1" x14ac:dyDescent="0.3">
      <c r="A387" s="172"/>
      <c r="B387" s="172"/>
      <c r="C387" s="172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  <c r="AG387" s="173"/>
      <c r="AH387" s="173"/>
      <c r="AI387" s="173"/>
      <c r="AJ387" s="173"/>
      <c r="AK387" s="173"/>
      <c r="AL387" s="173"/>
      <c r="AM387" s="173"/>
      <c r="AN387" s="173"/>
      <c r="AO387" s="173"/>
      <c r="AP387" s="173"/>
      <c r="AQ387" s="173"/>
      <c r="AR387" s="173"/>
      <c r="AS387" s="172"/>
      <c r="AT387" s="172"/>
      <c r="AU387" s="172"/>
      <c r="AV387" s="172"/>
      <c r="AW387" s="172"/>
      <c r="AX387" s="172"/>
      <c r="AY387" s="172"/>
      <c r="AZ387" s="172"/>
      <c r="BA387" s="172"/>
      <c r="BB387" s="172"/>
      <c r="BC387" s="172"/>
      <c r="BD387" s="172"/>
      <c r="BE387" s="172"/>
      <c r="BF387" s="172"/>
      <c r="BG387" s="172"/>
      <c r="BH387" s="172"/>
      <c r="BI387" s="172"/>
      <c r="BJ387" s="172"/>
      <c r="BK387" s="172"/>
      <c r="BL387" s="172"/>
      <c r="BM387" s="172"/>
      <c r="BN387" s="172"/>
      <c r="BO387" s="172"/>
      <c r="BP387" s="172"/>
      <c r="BQ387" s="172"/>
      <c r="BR387" s="172"/>
      <c r="BS387" s="172"/>
      <c r="BT387" s="172"/>
      <c r="BU387" s="172"/>
      <c r="BV387" s="172"/>
      <c r="BW387" s="172"/>
      <c r="BX387" s="172"/>
      <c r="BY387" s="174"/>
      <c r="BZ387" s="172"/>
      <c r="CA387" s="172"/>
      <c r="CD387" s="194"/>
      <c r="CE387" s="194"/>
      <c r="CF387" s="194"/>
      <c r="CG387" s="194"/>
      <c r="CH387" s="195"/>
      <c r="CI387" s="194"/>
      <c r="CJ387" s="194"/>
      <c r="CK387" s="194"/>
      <c r="CL387" s="196"/>
      <c r="CM387" s="196"/>
      <c r="CN387" s="194"/>
      <c r="CO387" s="197"/>
      <c r="CP387" s="196"/>
      <c r="CQ387" s="196"/>
      <c r="CR387" s="196"/>
      <c r="CS387" s="196"/>
      <c r="CT387" s="196"/>
      <c r="CU387" s="196"/>
      <c r="CV387" s="194"/>
      <c r="CW387" s="194"/>
      <c r="CX387" s="194"/>
      <c r="CY387" s="194"/>
      <c r="CZ387" s="194"/>
      <c r="DA387" s="194"/>
      <c r="DB387" s="194"/>
      <c r="DC387" s="194"/>
      <c r="DD387" s="194"/>
      <c r="DE387" s="194"/>
      <c r="DF387" s="196"/>
      <c r="DG387" s="198"/>
      <c r="DH387" s="194"/>
      <c r="DI387" s="194"/>
    </row>
    <row r="388" spans="1:113" s="24" customFormat="1" hidden="1" x14ac:dyDescent="0.3">
      <c r="A388" s="172"/>
      <c r="B388" s="172"/>
      <c r="C388" s="172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  <c r="AG388" s="173"/>
      <c r="AH388" s="173"/>
      <c r="AI388" s="173"/>
      <c r="AJ388" s="173"/>
      <c r="AK388" s="173"/>
      <c r="AL388" s="173"/>
      <c r="AM388" s="173"/>
      <c r="AN388" s="173"/>
      <c r="AO388" s="173"/>
      <c r="AP388" s="173"/>
      <c r="AQ388" s="173"/>
      <c r="AR388" s="173"/>
      <c r="AS388" s="172"/>
      <c r="AT388" s="172"/>
      <c r="AU388" s="172"/>
      <c r="AV388" s="172"/>
      <c r="AW388" s="172"/>
      <c r="AX388" s="172"/>
      <c r="AY388" s="172"/>
      <c r="AZ388" s="172"/>
      <c r="BA388" s="172"/>
      <c r="BB388" s="172"/>
      <c r="BC388" s="172"/>
      <c r="BD388" s="172"/>
      <c r="BE388" s="172"/>
      <c r="BF388" s="172"/>
      <c r="BG388" s="172"/>
      <c r="BH388" s="172"/>
      <c r="BI388" s="172"/>
      <c r="BJ388" s="172"/>
      <c r="BK388" s="172"/>
      <c r="BL388" s="172"/>
      <c r="BM388" s="172"/>
      <c r="BN388" s="172"/>
      <c r="BO388" s="172"/>
      <c r="BP388" s="172"/>
      <c r="BQ388" s="172"/>
      <c r="BR388" s="172"/>
      <c r="BS388" s="172"/>
      <c r="BT388" s="172"/>
      <c r="BU388" s="172"/>
      <c r="BV388" s="172"/>
      <c r="BW388" s="172"/>
      <c r="BX388" s="172"/>
      <c r="BY388" s="174"/>
      <c r="BZ388" s="172"/>
      <c r="CA388" s="172"/>
      <c r="CD388" s="194"/>
      <c r="CE388" s="194"/>
      <c r="CF388" s="194"/>
      <c r="CG388" s="194"/>
      <c r="CH388" s="195"/>
      <c r="CI388" s="194"/>
      <c r="CJ388" s="194"/>
      <c r="CK388" s="194"/>
      <c r="CL388" s="196"/>
      <c r="CM388" s="196"/>
      <c r="CN388" s="194"/>
      <c r="CO388" s="197"/>
      <c r="CP388" s="196"/>
      <c r="CQ388" s="196"/>
      <c r="CR388" s="196"/>
      <c r="CS388" s="196"/>
      <c r="CT388" s="196"/>
      <c r="CU388" s="196"/>
      <c r="CV388" s="194"/>
      <c r="CW388" s="194"/>
      <c r="CX388" s="194"/>
      <c r="CY388" s="194"/>
      <c r="CZ388" s="194"/>
      <c r="DA388" s="194"/>
      <c r="DB388" s="194"/>
      <c r="DC388" s="194"/>
      <c r="DD388" s="194"/>
      <c r="DE388" s="194"/>
      <c r="DF388" s="196"/>
      <c r="DG388" s="198"/>
      <c r="DH388" s="194"/>
      <c r="DI388" s="194"/>
    </row>
    <row r="389" spans="1:113" s="24" customFormat="1" hidden="1" x14ac:dyDescent="0.3">
      <c r="A389" s="172"/>
      <c r="B389" s="172"/>
      <c r="C389" s="172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  <c r="AG389" s="173"/>
      <c r="AH389" s="173"/>
      <c r="AI389" s="173"/>
      <c r="AJ389" s="173"/>
      <c r="AK389" s="173"/>
      <c r="AL389" s="173"/>
      <c r="AM389" s="173"/>
      <c r="AN389" s="173"/>
      <c r="AO389" s="173"/>
      <c r="AP389" s="173"/>
      <c r="AQ389" s="173"/>
      <c r="AR389" s="173"/>
      <c r="AS389" s="172"/>
      <c r="AT389" s="172"/>
      <c r="AU389" s="172"/>
      <c r="AV389" s="172"/>
      <c r="AW389" s="172"/>
      <c r="AX389" s="172"/>
      <c r="AY389" s="172"/>
      <c r="AZ389" s="172"/>
      <c r="BA389" s="172"/>
      <c r="BB389" s="172"/>
      <c r="BC389" s="172"/>
      <c r="BD389" s="172"/>
      <c r="BE389" s="172"/>
      <c r="BF389" s="172"/>
      <c r="BG389" s="172"/>
      <c r="BH389" s="172"/>
      <c r="BI389" s="172"/>
      <c r="BJ389" s="172"/>
      <c r="BK389" s="172"/>
      <c r="BL389" s="172"/>
      <c r="BM389" s="172"/>
      <c r="BN389" s="172"/>
      <c r="BO389" s="172"/>
      <c r="BP389" s="172"/>
      <c r="BQ389" s="172"/>
      <c r="BR389" s="172"/>
      <c r="BS389" s="172"/>
      <c r="BT389" s="172"/>
      <c r="BU389" s="172"/>
      <c r="BV389" s="172"/>
      <c r="BW389" s="172"/>
      <c r="BX389" s="172"/>
      <c r="BY389" s="174"/>
      <c r="BZ389" s="172"/>
      <c r="CA389" s="172"/>
      <c r="CD389" s="194"/>
      <c r="CE389" s="194"/>
      <c r="CF389" s="194"/>
      <c r="CG389" s="194"/>
      <c r="CH389" s="195"/>
      <c r="CI389" s="194"/>
      <c r="CJ389" s="194"/>
      <c r="CK389" s="194"/>
      <c r="CL389" s="196"/>
      <c r="CM389" s="196"/>
      <c r="CN389" s="194"/>
      <c r="CO389" s="197"/>
      <c r="CP389" s="196"/>
      <c r="CQ389" s="196"/>
      <c r="CR389" s="196"/>
      <c r="CS389" s="196"/>
      <c r="CT389" s="196"/>
      <c r="CU389" s="196"/>
      <c r="CV389" s="194"/>
      <c r="CW389" s="194"/>
      <c r="CX389" s="194"/>
      <c r="CY389" s="194"/>
      <c r="CZ389" s="194"/>
      <c r="DA389" s="194"/>
      <c r="DB389" s="194"/>
      <c r="DC389" s="194"/>
      <c r="DD389" s="194"/>
      <c r="DE389" s="194"/>
      <c r="DF389" s="196"/>
      <c r="DG389" s="198"/>
      <c r="DH389" s="194"/>
      <c r="DI389" s="194"/>
    </row>
    <row r="390" spans="1:113" s="24" customFormat="1" hidden="1" x14ac:dyDescent="0.3">
      <c r="A390" s="172"/>
      <c r="B390" s="172"/>
      <c r="C390" s="172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  <c r="AG390" s="173"/>
      <c r="AH390" s="173"/>
      <c r="AI390" s="173"/>
      <c r="AJ390" s="173"/>
      <c r="AK390" s="173"/>
      <c r="AL390" s="173"/>
      <c r="AM390" s="173"/>
      <c r="AN390" s="173"/>
      <c r="AO390" s="173"/>
      <c r="AP390" s="173"/>
      <c r="AQ390" s="173"/>
      <c r="AR390" s="173"/>
      <c r="AS390" s="172"/>
      <c r="AT390" s="172"/>
      <c r="AU390" s="172"/>
      <c r="AV390" s="172"/>
      <c r="AW390" s="172"/>
      <c r="AX390" s="172"/>
      <c r="AY390" s="172"/>
      <c r="AZ390" s="172"/>
      <c r="BA390" s="172"/>
      <c r="BB390" s="172"/>
      <c r="BC390" s="172"/>
      <c r="BD390" s="172"/>
      <c r="BE390" s="172"/>
      <c r="BF390" s="172"/>
      <c r="BG390" s="172"/>
      <c r="BH390" s="172"/>
      <c r="BI390" s="172"/>
      <c r="BJ390" s="172"/>
      <c r="BK390" s="172"/>
      <c r="BL390" s="172"/>
      <c r="BM390" s="172"/>
      <c r="BN390" s="172"/>
      <c r="BO390" s="172"/>
      <c r="BP390" s="172"/>
      <c r="BQ390" s="172"/>
      <c r="BR390" s="172"/>
      <c r="BS390" s="172"/>
      <c r="BT390" s="172"/>
      <c r="BU390" s="172"/>
      <c r="BV390" s="172"/>
      <c r="BW390" s="172"/>
      <c r="BX390" s="172"/>
      <c r="BY390" s="174"/>
      <c r="BZ390" s="172"/>
      <c r="CA390" s="172"/>
      <c r="CD390" s="194"/>
      <c r="CE390" s="194"/>
      <c r="CF390" s="194"/>
      <c r="CG390" s="194"/>
      <c r="CH390" s="195"/>
      <c r="CI390" s="194"/>
      <c r="CJ390" s="194"/>
      <c r="CK390" s="194"/>
      <c r="CL390" s="196"/>
      <c r="CM390" s="196"/>
      <c r="CN390" s="194"/>
      <c r="CO390" s="197"/>
      <c r="CP390" s="196"/>
      <c r="CQ390" s="196"/>
      <c r="CR390" s="196"/>
      <c r="CS390" s="196"/>
      <c r="CT390" s="196"/>
      <c r="CU390" s="196"/>
      <c r="CV390" s="194"/>
      <c r="CW390" s="194"/>
      <c r="CX390" s="194"/>
      <c r="CY390" s="194"/>
      <c r="CZ390" s="194"/>
      <c r="DA390" s="194"/>
      <c r="DB390" s="194"/>
      <c r="DC390" s="194"/>
      <c r="DD390" s="194"/>
      <c r="DE390" s="194"/>
      <c r="DF390" s="196"/>
      <c r="DG390" s="198"/>
      <c r="DH390" s="194"/>
      <c r="DI390" s="194"/>
    </row>
    <row r="391" spans="1:113" s="24" customFormat="1" hidden="1" x14ac:dyDescent="0.3">
      <c r="A391" s="172"/>
      <c r="B391" s="172"/>
      <c r="C391" s="172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  <c r="AG391" s="173"/>
      <c r="AH391" s="173"/>
      <c r="AI391" s="173"/>
      <c r="AJ391" s="173"/>
      <c r="AK391" s="173"/>
      <c r="AL391" s="173"/>
      <c r="AM391" s="173"/>
      <c r="AN391" s="173"/>
      <c r="AO391" s="173"/>
      <c r="AP391" s="173"/>
      <c r="AQ391" s="173"/>
      <c r="AR391" s="173"/>
      <c r="AS391" s="172"/>
      <c r="AT391" s="172"/>
      <c r="AU391" s="172"/>
      <c r="AV391" s="172"/>
      <c r="AW391" s="172"/>
      <c r="AX391" s="172"/>
      <c r="AY391" s="172"/>
      <c r="AZ391" s="172"/>
      <c r="BA391" s="172"/>
      <c r="BB391" s="172"/>
      <c r="BC391" s="172"/>
      <c r="BD391" s="172"/>
      <c r="BE391" s="172"/>
      <c r="BF391" s="172"/>
      <c r="BG391" s="172"/>
      <c r="BH391" s="172"/>
      <c r="BI391" s="172"/>
      <c r="BJ391" s="172"/>
      <c r="BK391" s="172"/>
      <c r="BL391" s="172"/>
      <c r="BM391" s="172"/>
      <c r="BN391" s="172"/>
      <c r="BO391" s="172"/>
      <c r="BP391" s="172"/>
      <c r="BQ391" s="172"/>
      <c r="BR391" s="172"/>
      <c r="BS391" s="172"/>
      <c r="BT391" s="172"/>
      <c r="BU391" s="172"/>
      <c r="BV391" s="172"/>
      <c r="BW391" s="172"/>
      <c r="BX391" s="172"/>
      <c r="BY391" s="174"/>
      <c r="BZ391" s="172"/>
      <c r="CA391" s="172"/>
      <c r="CD391" s="194"/>
      <c r="CE391" s="194"/>
      <c r="CF391" s="194"/>
      <c r="CG391" s="194"/>
      <c r="CH391" s="195"/>
      <c r="CI391" s="194"/>
      <c r="CJ391" s="194"/>
      <c r="CK391" s="194"/>
      <c r="CL391" s="196"/>
      <c r="CM391" s="196"/>
      <c r="CN391" s="194"/>
      <c r="CO391" s="197"/>
      <c r="CP391" s="196"/>
      <c r="CQ391" s="196"/>
      <c r="CR391" s="196"/>
      <c r="CS391" s="196"/>
      <c r="CT391" s="196"/>
      <c r="CU391" s="196"/>
      <c r="CV391" s="194"/>
      <c r="CW391" s="194"/>
      <c r="CX391" s="194"/>
      <c r="CY391" s="194"/>
      <c r="CZ391" s="194"/>
      <c r="DA391" s="194"/>
      <c r="DB391" s="194"/>
      <c r="DC391" s="194"/>
      <c r="DD391" s="194"/>
      <c r="DE391" s="194"/>
      <c r="DF391" s="196"/>
      <c r="DG391" s="198"/>
      <c r="DH391" s="194"/>
      <c r="DI391" s="194"/>
    </row>
    <row r="392" spans="1:113" s="24" customFormat="1" hidden="1" x14ac:dyDescent="0.3">
      <c r="A392" s="172"/>
      <c r="B392" s="172"/>
      <c r="C392" s="172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  <c r="AG392" s="173"/>
      <c r="AH392" s="173"/>
      <c r="AI392" s="173"/>
      <c r="AJ392" s="173"/>
      <c r="AK392" s="173"/>
      <c r="AL392" s="173"/>
      <c r="AM392" s="173"/>
      <c r="AN392" s="173"/>
      <c r="AO392" s="173"/>
      <c r="AP392" s="173"/>
      <c r="AQ392" s="173"/>
      <c r="AR392" s="173"/>
      <c r="AS392" s="172"/>
      <c r="AT392" s="172"/>
      <c r="AU392" s="172"/>
      <c r="AV392" s="172"/>
      <c r="AW392" s="172"/>
      <c r="AX392" s="172"/>
      <c r="AY392" s="172"/>
      <c r="AZ392" s="172"/>
      <c r="BA392" s="172"/>
      <c r="BB392" s="172"/>
      <c r="BC392" s="172"/>
      <c r="BD392" s="172"/>
      <c r="BE392" s="172"/>
      <c r="BF392" s="172"/>
      <c r="BG392" s="172"/>
      <c r="BH392" s="172"/>
      <c r="BI392" s="172"/>
      <c r="BJ392" s="172"/>
      <c r="BK392" s="172"/>
      <c r="BL392" s="172"/>
      <c r="BM392" s="172"/>
      <c r="BN392" s="172"/>
      <c r="BO392" s="172"/>
      <c r="BP392" s="172"/>
      <c r="BQ392" s="172"/>
      <c r="BR392" s="172"/>
      <c r="BS392" s="172"/>
      <c r="BT392" s="172"/>
      <c r="BU392" s="172"/>
      <c r="BV392" s="172"/>
      <c r="BW392" s="172"/>
      <c r="BX392" s="172"/>
      <c r="BY392" s="174"/>
      <c r="BZ392" s="172"/>
      <c r="CA392" s="172"/>
      <c r="CD392" s="194"/>
      <c r="CE392" s="194"/>
      <c r="CF392" s="194"/>
      <c r="CG392" s="194"/>
      <c r="CH392" s="195"/>
      <c r="CI392" s="194"/>
      <c r="CJ392" s="194"/>
      <c r="CK392" s="194"/>
      <c r="CL392" s="196"/>
      <c r="CM392" s="196"/>
      <c r="CN392" s="194"/>
      <c r="CO392" s="197"/>
      <c r="CP392" s="196"/>
      <c r="CQ392" s="196"/>
      <c r="CR392" s="196"/>
      <c r="CS392" s="196"/>
      <c r="CT392" s="196"/>
      <c r="CU392" s="196"/>
      <c r="CV392" s="194"/>
      <c r="CW392" s="194"/>
      <c r="CX392" s="194"/>
      <c r="CY392" s="194"/>
      <c r="CZ392" s="194"/>
      <c r="DA392" s="194"/>
      <c r="DB392" s="194"/>
      <c r="DC392" s="194"/>
      <c r="DD392" s="194"/>
      <c r="DE392" s="194"/>
      <c r="DF392" s="196"/>
      <c r="DG392" s="198"/>
      <c r="DH392" s="194"/>
      <c r="DI392" s="194"/>
    </row>
    <row r="393" spans="1:113" s="24" customFormat="1" hidden="1" x14ac:dyDescent="0.3">
      <c r="A393" s="172"/>
      <c r="B393" s="172"/>
      <c r="C393" s="172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  <c r="AG393" s="173"/>
      <c r="AH393" s="173"/>
      <c r="AI393" s="173"/>
      <c r="AJ393" s="173"/>
      <c r="AK393" s="173"/>
      <c r="AL393" s="173"/>
      <c r="AM393" s="173"/>
      <c r="AN393" s="173"/>
      <c r="AO393" s="173"/>
      <c r="AP393" s="173"/>
      <c r="AQ393" s="173"/>
      <c r="AR393" s="173"/>
      <c r="AS393" s="172"/>
      <c r="AT393" s="172"/>
      <c r="AU393" s="172"/>
      <c r="AV393" s="172"/>
      <c r="AW393" s="172"/>
      <c r="AX393" s="172"/>
      <c r="AY393" s="172"/>
      <c r="AZ393" s="172"/>
      <c r="BA393" s="172"/>
      <c r="BB393" s="172"/>
      <c r="BC393" s="172"/>
      <c r="BD393" s="172"/>
      <c r="BE393" s="172"/>
      <c r="BF393" s="172"/>
      <c r="BG393" s="172"/>
      <c r="BH393" s="172"/>
      <c r="BI393" s="172"/>
      <c r="BJ393" s="172"/>
      <c r="BK393" s="172"/>
      <c r="BL393" s="172"/>
      <c r="BM393" s="172"/>
      <c r="BN393" s="172"/>
      <c r="BO393" s="172"/>
      <c r="BP393" s="172"/>
      <c r="BQ393" s="172"/>
      <c r="BR393" s="172"/>
      <c r="BS393" s="172"/>
      <c r="BT393" s="172"/>
      <c r="BU393" s="172"/>
      <c r="BV393" s="172"/>
      <c r="BW393" s="172"/>
      <c r="BX393" s="172"/>
      <c r="BY393" s="174"/>
      <c r="BZ393" s="172"/>
      <c r="CA393" s="172"/>
      <c r="CD393" s="194"/>
      <c r="CE393" s="194"/>
      <c r="CF393" s="194"/>
      <c r="CG393" s="194"/>
      <c r="CH393" s="195"/>
      <c r="CI393" s="194"/>
      <c r="CJ393" s="194"/>
      <c r="CK393" s="194"/>
      <c r="CL393" s="196"/>
      <c r="CM393" s="196"/>
      <c r="CN393" s="194"/>
      <c r="CO393" s="197"/>
      <c r="CP393" s="196"/>
      <c r="CQ393" s="196"/>
      <c r="CR393" s="196"/>
      <c r="CS393" s="196"/>
      <c r="CT393" s="196"/>
      <c r="CU393" s="196"/>
      <c r="CV393" s="194"/>
      <c r="CW393" s="194"/>
      <c r="CX393" s="194"/>
      <c r="CY393" s="194"/>
      <c r="CZ393" s="194"/>
      <c r="DA393" s="194"/>
      <c r="DB393" s="194"/>
      <c r="DC393" s="194"/>
      <c r="DD393" s="194"/>
      <c r="DE393" s="194"/>
      <c r="DF393" s="196"/>
      <c r="DG393" s="198"/>
      <c r="DH393" s="194"/>
      <c r="DI393" s="194"/>
    </row>
    <row r="394" spans="1:113" s="24" customFormat="1" hidden="1" x14ac:dyDescent="0.3">
      <c r="A394" s="172"/>
      <c r="B394" s="172"/>
      <c r="C394" s="172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  <c r="AG394" s="173"/>
      <c r="AH394" s="173"/>
      <c r="AI394" s="173"/>
      <c r="AJ394" s="173"/>
      <c r="AK394" s="173"/>
      <c r="AL394" s="173"/>
      <c r="AM394" s="173"/>
      <c r="AN394" s="173"/>
      <c r="AO394" s="173"/>
      <c r="AP394" s="173"/>
      <c r="AQ394" s="173"/>
      <c r="AR394" s="173"/>
      <c r="AS394" s="172"/>
      <c r="AT394" s="172"/>
      <c r="AU394" s="172"/>
      <c r="AV394" s="172"/>
      <c r="AW394" s="172"/>
      <c r="AX394" s="172"/>
      <c r="AY394" s="172"/>
      <c r="AZ394" s="172"/>
      <c r="BA394" s="172"/>
      <c r="BB394" s="172"/>
      <c r="BC394" s="172"/>
      <c r="BD394" s="172"/>
      <c r="BE394" s="172"/>
      <c r="BF394" s="172"/>
      <c r="BG394" s="172"/>
      <c r="BH394" s="172"/>
      <c r="BI394" s="172"/>
      <c r="BJ394" s="172"/>
      <c r="BK394" s="172"/>
      <c r="BL394" s="172"/>
      <c r="BM394" s="172"/>
      <c r="BN394" s="172"/>
      <c r="BO394" s="172"/>
      <c r="BP394" s="172"/>
      <c r="BQ394" s="172"/>
      <c r="BR394" s="172"/>
      <c r="BS394" s="172"/>
      <c r="BT394" s="172"/>
      <c r="BU394" s="172"/>
      <c r="BV394" s="172"/>
      <c r="BW394" s="172"/>
      <c r="BX394" s="172"/>
      <c r="BY394" s="174"/>
      <c r="BZ394" s="172"/>
      <c r="CA394" s="172"/>
      <c r="CD394" s="194"/>
      <c r="CE394" s="194"/>
      <c r="CF394" s="194"/>
      <c r="CG394" s="194"/>
      <c r="CH394" s="195"/>
      <c r="CI394" s="194"/>
      <c r="CJ394" s="194"/>
      <c r="CK394" s="194"/>
      <c r="CL394" s="196"/>
      <c r="CM394" s="196"/>
      <c r="CN394" s="194"/>
      <c r="CO394" s="197"/>
      <c r="CP394" s="196"/>
      <c r="CQ394" s="196"/>
      <c r="CR394" s="196"/>
      <c r="CS394" s="196"/>
      <c r="CT394" s="196"/>
      <c r="CU394" s="196"/>
      <c r="CV394" s="194"/>
      <c r="CW394" s="194"/>
      <c r="CX394" s="194"/>
      <c r="CY394" s="194"/>
      <c r="CZ394" s="194"/>
      <c r="DA394" s="194"/>
      <c r="DB394" s="194"/>
      <c r="DC394" s="194"/>
      <c r="DD394" s="194"/>
      <c r="DE394" s="194"/>
      <c r="DF394" s="196"/>
      <c r="DG394" s="198"/>
      <c r="DH394" s="194"/>
      <c r="DI394" s="194"/>
    </row>
    <row r="395" spans="1:113" s="24" customFormat="1" hidden="1" x14ac:dyDescent="0.3">
      <c r="A395" s="172"/>
      <c r="B395" s="172"/>
      <c r="C395" s="172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  <c r="AG395" s="173"/>
      <c r="AH395" s="173"/>
      <c r="AI395" s="173"/>
      <c r="AJ395" s="173"/>
      <c r="AK395" s="173"/>
      <c r="AL395" s="173"/>
      <c r="AM395" s="173"/>
      <c r="AN395" s="173"/>
      <c r="AO395" s="173"/>
      <c r="AP395" s="173"/>
      <c r="AQ395" s="173"/>
      <c r="AR395" s="173"/>
      <c r="AS395" s="172"/>
      <c r="AT395" s="172"/>
      <c r="AU395" s="172"/>
      <c r="AV395" s="172"/>
      <c r="AW395" s="172"/>
      <c r="AX395" s="172"/>
      <c r="AY395" s="172"/>
      <c r="AZ395" s="172"/>
      <c r="BA395" s="172"/>
      <c r="BB395" s="172"/>
      <c r="BC395" s="172"/>
      <c r="BD395" s="172"/>
      <c r="BE395" s="172"/>
      <c r="BF395" s="172"/>
      <c r="BG395" s="172"/>
      <c r="BH395" s="172"/>
      <c r="BI395" s="172"/>
      <c r="BJ395" s="172"/>
      <c r="BK395" s="172"/>
      <c r="BL395" s="172"/>
      <c r="BM395" s="172"/>
      <c r="BN395" s="172"/>
      <c r="BO395" s="172"/>
      <c r="BP395" s="172"/>
      <c r="BQ395" s="172"/>
      <c r="BR395" s="172"/>
      <c r="BS395" s="172"/>
      <c r="BT395" s="172"/>
      <c r="BU395" s="172"/>
      <c r="BV395" s="172"/>
      <c r="BW395" s="172"/>
      <c r="BX395" s="172"/>
      <c r="BY395" s="174"/>
      <c r="BZ395" s="172"/>
      <c r="CA395" s="172"/>
      <c r="CD395" s="194"/>
      <c r="CE395" s="194"/>
      <c r="CF395" s="194"/>
      <c r="CG395" s="194"/>
      <c r="CH395" s="195"/>
      <c r="CI395" s="194"/>
      <c r="CJ395" s="194"/>
      <c r="CK395" s="194"/>
      <c r="CL395" s="196"/>
      <c r="CM395" s="196"/>
      <c r="CN395" s="194"/>
      <c r="CO395" s="197"/>
      <c r="CP395" s="196"/>
      <c r="CQ395" s="196"/>
      <c r="CR395" s="196"/>
      <c r="CS395" s="196"/>
      <c r="CT395" s="196"/>
      <c r="CU395" s="196"/>
      <c r="CV395" s="194"/>
      <c r="CW395" s="194"/>
      <c r="CX395" s="194"/>
      <c r="CY395" s="194"/>
      <c r="CZ395" s="194"/>
      <c r="DA395" s="194"/>
      <c r="DB395" s="194"/>
      <c r="DC395" s="194"/>
      <c r="DD395" s="194"/>
      <c r="DE395" s="194"/>
      <c r="DF395" s="196"/>
      <c r="DG395" s="198"/>
      <c r="DH395" s="194"/>
      <c r="DI395" s="194"/>
    </row>
    <row r="396" spans="1:113" s="24" customFormat="1" hidden="1" x14ac:dyDescent="0.3">
      <c r="A396" s="172"/>
      <c r="B396" s="172"/>
      <c r="C396" s="172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  <c r="AG396" s="173"/>
      <c r="AH396" s="173"/>
      <c r="AI396" s="173"/>
      <c r="AJ396" s="173"/>
      <c r="AK396" s="173"/>
      <c r="AL396" s="173"/>
      <c r="AM396" s="173"/>
      <c r="AN396" s="173"/>
      <c r="AO396" s="173"/>
      <c r="AP396" s="173"/>
      <c r="AQ396" s="173"/>
      <c r="AR396" s="173"/>
      <c r="AS396" s="172"/>
      <c r="AT396" s="172"/>
      <c r="AU396" s="172"/>
      <c r="AV396" s="172"/>
      <c r="AW396" s="172"/>
      <c r="AX396" s="172"/>
      <c r="AY396" s="172"/>
      <c r="AZ396" s="172"/>
      <c r="BA396" s="172"/>
      <c r="BB396" s="172"/>
      <c r="BC396" s="172"/>
      <c r="BD396" s="172"/>
      <c r="BE396" s="172"/>
      <c r="BF396" s="172"/>
      <c r="BG396" s="172"/>
      <c r="BH396" s="172"/>
      <c r="BI396" s="172"/>
      <c r="BJ396" s="172"/>
      <c r="BK396" s="172"/>
      <c r="BL396" s="172"/>
      <c r="BM396" s="172"/>
      <c r="BN396" s="172"/>
      <c r="BO396" s="172"/>
      <c r="BP396" s="172"/>
      <c r="BQ396" s="172"/>
      <c r="BR396" s="172"/>
      <c r="BS396" s="172"/>
      <c r="BT396" s="172"/>
      <c r="BU396" s="172"/>
      <c r="BV396" s="172"/>
      <c r="BW396" s="172"/>
      <c r="BX396" s="172"/>
      <c r="BY396" s="174"/>
      <c r="BZ396" s="172"/>
      <c r="CA396" s="172"/>
      <c r="CD396" s="194"/>
      <c r="CE396" s="194"/>
      <c r="CF396" s="194"/>
      <c r="CG396" s="194"/>
      <c r="CH396" s="195"/>
      <c r="CI396" s="194"/>
      <c r="CJ396" s="194"/>
      <c r="CK396" s="194"/>
      <c r="CL396" s="196"/>
      <c r="CM396" s="196"/>
      <c r="CN396" s="194"/>
      <c r="CO396" s="197"/>
      <c r="CP396" s="196"/>
      <c r="CQ396" s="196"/>
      <c r="CR396" s="196"/>
      <c r="CS396" s="196"/>
      <c r="CT396" s="196"/>
      <c r="CU396" s="196"/>
      <c r="CV396" s="194"/>
      <c r="CW396" s="194"/>
      <c r="CX396" s="194"/>
      <c r="CY396" s="194"/>
      <c r="CZ396" s="194"/>
      <c r="DA396" s="194"/>
      <c r="DB396" s="194"/>
      <c r="DC396" s="194"/>
      <c r="DD396" s="194"/>
      <c r="DE396" s="194"/>
      <c r="DF396" s="196"/>
      <c r="DG396" s="198"/>
      <c r="DH396" s="194"/>
      <c r="DI396" s="194"/>
    </row>
    <row r="397" spans="1:113" s="24" customFormat="1" hidden="1" x14ac:dyDescent="0.3">
      <c r="A397" s="172"/>
      <c r="B397" s="172"/>
      <c r="C397" s="172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  <c r="AG397" s="173"/>
      <c r="AH397" s="173"/>
      <c r="AI397" s="173"/>
      <c r="AJ397" s="173"/>
      <c r="AK397" s="173"/>
      <c r="AL397" s="173"/>
      <c r="AM397" s="173"/>
      <c r="AN397" s="173"/>
      <c r="AO397" s="173"/>
      <c r="AP397" s="173"/>
      <c r="AQ397" s="173"/>
      <c r="AR397" s="173"/>
      <c r="AS397" s="172"/>
      <c r="AT397" s="172"/>
      <c r="AU397" s="172"/>
      <c r="AV397" s="172"/>
      <c r="AW397" s="172"/>
      <c r="AX397" s="172"/>
      <c r="AY397" s="172"/>
      <c r="AZ397" s="172"/>
      <c r="BA397" s="172"/>
      <c r="BB397" s="172"/>
      <c r="BC397" s="172"/>
      <c r="BD397" s="172"/>
      <c r="BE397" s="172"/>
      <c r="BF397" s="172"/>
      <c r="BG397" s="172"/>
      <c r="BH397" s="172"/>
      <c r="BI397" s="172"/>
      <c r="BJ397" s="172"/>
      <c r="BK397" s="172"/>
      <c r="BL397" s="172"/>
      <c r="BM397" s="172"/>
      <c r="BN397" s="172"/>
      <c r="BO397" s="172"/>
      <c r="BP397" s="172"/>
      <c r="BQ397" s="172"/>
      <c r="BR397" s="172"/>
      <c r="BS397" s="172"/>
      <c r="BT397" s="172"/>
      <c r="BU397" s="172"/>
      <c r="BV397" s="172"/>
      <c r="BW397" s="172"/>
      <c r="BX397" s="172"/>
      <c r="BY397" s="174"/>
      <c r="BZ397" s="172"/>
      <c r="CA397" s="172"/>
      <c r="CD397" s="194"/>
      <c r="CE397" s="194"/>
      <c r="CF397" s="194"/>
      <c r="CG397" s="194"/>
      <c r="CH397" s="195"/>
      <c r="CI397" s="194"/>
      <c r="CJ397" s="194"/>
      <c r="CK397" s="194"/>
      <c r="CL397" s="196"/>
      <c r="CM397" s="196"/>
      <c r="CN397" s="194"/>
      <c r="CO397" s="197"/>
      <c r="CP397" s="196"/>
      <c r="CQ397" s="196"/>
      <c r="CR397" s="196"/>
      <c r="CS397" s="196"/>
      <c r="CT397" s="196"/>
      <c r="CU397" s="196"/>
      <c r="CV397" s="194"/>
      <c r="CW397" s="194"/>
      <c r="CX397" s="194"/>
      <c r="CY397" s="194"/>
      <c r="CZ397" s="194"/>
      <c r="DA397" s="194"/>
      <c r="DB397" s="194"/>
      <c r="DC397" s="194"/>
      <c r="DD397" s="194"/>
      <c r="DE397" s="194"/>
      <c r="DF397" s="196"/>
      <c r="DG397" s="198"/>
      <c r="DH397" s="194"/>
      <c r="DI397" s="194"/>
    </row>
    <row r="398" spans="1:113" s="24" customFormat="1" hidden="1" x14ac:dyDescent="0.3">
      <c r="A398" s="172"/>
      <c r="B398" s="172"/>
      <c r="C398" s="172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  <c r="AG398" s="173"/>
      <c r="AH398" s="173"/>
      <c r="AI398" s="173"/>
      <c r="AJ398" s="173"/>
      <c r="AK398" s="173"/>
      <c r="AL398" s="173"/>
      <c r="AM398" s="173"/>
      <c r="AN398" s="173"/>
      <c r="AO398" s="173"/>
      <c r="AP398" s="173"/>
      <c r="AQ398" s="173"/>
      <c r="AR398" s="173"/>
      <c r="AS398" s="172"/>
      <c r="AT398" s="172"/>
      <c r="AU398" s="172"/>
      <c r="AV398" s="172"/>
      <c r="AW398" s="172"/>
      <c r="AX398" s="172"/>
      <c r="AY398" s="172"/>
      <c r="AZ398" s="172"/>
      <c r="BA398" s="172"/>
      <c r="BB398" s="172"/>
      <c r="BC398" s="172"/>
      <c r="BD398" s="172"/>
      <c r="BE398" s="172"/>
      <c r="BF398" s="172"/>
      <c r="BG398" s="172"/>
      <c r="BH398" s="172"/>
      <c r="BI398" s="172"/>
      <c r="BJ398" s="172"/>
      <c r="BK398" s="172"/>
      <c r="BL398" s="172"/>
      <c r="BM398" s="172"/>
      <c r="BN398" s="172"/>
      <c r="BO398" s="172"/>
      <c r="BP398" s="172"/>
      <c r="BQ398" s="172"/>
      <c r="BR398" s="172"/>
      <c r="BS398" s="172"/>
      <c r="BT398" s="172"/>
      <c r="BU398" s="172"/>
      <c r="BV398" s="172"/>
      <c r="BW398" s="172"/>
      <c r="BX398" s="172"/>
      <c r="BY398" s="174"/>
      <c r="BZ398" s="172"/>
      <c r="CA398" s="172"/>
      <c r="CD398" s="194"/>
      <c r="CE398" s="194"/>
      <c r="CF398" s="194"/>
      <c r="CG398" s="194"/>
      <c r="CH398" s="195"/>
      <c r="CI398" s="194"/>
      <c r="CJ398" s="194"/>
      <c r="CK398" s="194"/>
      <c r="CL398" s="196"/>
      <c r="CM398" s="196"/>
      <c r="CN398" s="194"/>
      <c r="CO398" s="197"/>
      <c r="CP398" s="196"/>
      <c r="CQ398" s="196"/>
      <c r="CR398" s="196"/>
      <c r="CS398" s="196"/>
      <c r="CT398" s="196"/>
      <c r="CU398" s="196"/>
      <c r="CV398" s="194"/>
      <c r="CW398" s="194"/>
      <c r="CX398" s="194"/>
      <c r="CY398" s="194"/>
      <c r="CZ398" s="194"/>
      <c r="DA398" s="194"/>
      <c r="DB398" s="194"/>
      <c r="DC398" s="194"/>
      <c r="DD398" s="194"/>
      <c r="DE398" s="194"/>
      <c r="DF398" s="196"/>
      <c r="DG398" s="198"/>
      <c r="DH398" s="194"/>
      <c r="DI398" s="194"/>
    </row>
    <row r="399" spans="1:113" s="24" customFormat="1" hidden="1" x14ac:dyDescent="0.3">
      <c r="A399" s="172"/>
      <c r="B399" s="172"/>
      <c r="C399" s="172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  <c r="AG399" s="173"/>
      <c r="AH399" s="173"/>
      <c r="AI399" s="173"/>
      <c r="AJ399" s="173"/>
      <c r="AK399" s="173"/>
      <c r="AL399" s="173"/>
      <c r="AM399" s="173"/>
      <c r="AN399" s="173"/>
      <c r="AO399" s="173"/>
      <c r="AP399" s="173"/>
      <c r="AQ399" s="173"/>
      <c r="AR399" s="173"/>
      <c r="AS399" s="172"/>
      <c r="AT399" s="172"/>
      <c r="AU399" s="172"/>
      <c r="AV399" s="172"/>
      <c r="AW399" s="172"/>
      <c r="AX399" s="172"/>
      <c r="AY399" s="172"/>
      <c r="AZ399" s="172"/>
      <c r="BA399" s="172"/>
      <c r="BB399" s="172"/>
      <c r="BC399" s="172"/>
      <c r="BD399" s="172"/>
      <c r="BE399" s="172"/>
      <c r="BF399" s="172"/>
      <c r="BG399" s="172"/>
      <c r="BH399" s="172"/>
      <c r="BI399" s="172"/>
      <c r="BJ399" s="172"/>
      <c r="BK399" s="172"/>
      <c r="BL399" s="172"/>
      <c r="BM399" s="172"/>
      <c r="BN399" s="172"/>
      <c r="BO399" s="172"/>
      <c r="BP399" s="172"/>
      <c r="BQ399" s="172"/>
      <c r="BR399" s="172"/>
      <c r="BS399" s="172"/>
      <c r="BT399" s="172"/>
      <c r="BU399" s="172"/>
      <c r="BV399" s="172"/>
      <c r="BW399" s="172"/>
      <c r="BX399" s="172"/>
      <c r="BY399" s="174"/>
      <c r="BZ399" s="172"/>
      <c r="CA399" s="172"/>
      <c r="CD399" s="194"/>
      <c r="CE399" s="194"/>
      <c r="CF399" s="194"/>
      <c r="CG399" s="194"/>
      <c r="CH399" s="195"/>
      <c r="CI399" s="194"/>
      <c r="CJ399" s="194"/>
      <c r="CK399" s="194"/>
      <c r="CL399" s="196"/>
      <c r="CM399" s="196"/>
      <c r="CN399" s="194"/>
      <c r="CO399" s="197"/>
      <c r="CP399" s="196"/>
      <c r="CQ399" s="196"/>
      <c r="CR399" s="196"/>
      <c r="CS399" s="196"/>
      <c r="CT399" s="196"/>
      <c r="CU399" s="196"/>
      <c r="CV399" s="194"/>
      <c r="CW399" s="194"/>
      <c r="CX399" s="194"/>
      <c r="CY399" s="194"/>
      <c r="CZ399" s="194"/>
      <c r="DA399" s="194"/>
      <c r="DB399" s="194"/>
      <c r="DC399" s="194"/>
      <c r="DD399" s="194"/>
      <c r="DE399" s="194"/>
      <c r="DF399" s="196"/>
      <c r="DG399" s="198"/>
      <c r="DH399" s="194"/>
      <c r="DI399" s="194"/>
    </row>
    <row r="400" spans="1:113" s="24" customFormat="1" hidden="1" x14ac:dyDescent="0.3">
      <c r="A400" s="172"/>
      <c r="B400" s="172"/>
      <c r="C400" s="172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  <c r="AG400" s="173"/>
      <c r="AH400" s="173"/>
      <c r="AI400" s="173"/>
      <c r="AJ400" s="173"/>
      <c r="AK400" s="173"/>
      <c r="AL400" s="173"/>
      <c r="AM400" s="173"/>
      <c r="AN400" s="173"/>
      <c r="AO400" s="173"/>
      <c r="AP400" s="173"/>
      <c r="AQ400" s="173"/>
      <c r="AR400" s="173"/>
      <c r="AS400" s="172"/>
      <c r="AT400" s="172"/>
      <c r="AU400" s="172"/>
      <c r="AV400" s="172"/>
      <c r="AW400" s="172"/>
      <c r="AX400" s="172"/>
      <c r="AY400" s="172"/>
      <c r="AZ400" s="172"/>
      <c r="BA400" s="172"/>
      <c r="BB400" s="172"/>
      <c r="BC400" s="172"/>
      <c r="BD400" s="172"/>
      <c r="BE400" s="172"/>
      <c r="BF400" s="172"/>
      <c r="BG400" s="172"/>
      <c r="BH400" s="172"/>
      <c r="BI400" s="172"/>
      <c r="BJ400" s="172"/>
      <c r="BK400" s="172"/>
      <c r="BL400" s="172"/>
      <c r="BM400" s="172"/>
      <c r="BN400" s="172"/>
      <c r="BO400" s="172"/>
      <c r="BP400" s="172"/>
      <c r="BQ400" s="172"/>
      <c r="BR400" s="172"/>
      <c r="BS400" s="172"/>
      <c r="BT400" s="172"/>
      <c r="BU400" s="172"/>
      <c r="BV400" s="172"/>
      <c r="BW400" s="172"/>
      <c r="BX400" s="172"/>
      <c r="BY400" s="174"/>
      <c r="BZ400" s="172"/>
      <c r="CA400" s="172"/>
      <c r="CD400" s="194"/>
      <c r="CE400" s="194"/>
      <c r="CF400" s="194"/>
      <c r="CG400" s="194"/>
      <c r="CH400" s="195"/>
      <c r="CI400" s="194"/>
      <c r="CJ400" s="194"/>
      <c r="CK400" s="194"/>
      <c r="CL400" s="196"/>
      <c r="CM400" s="196"/>
      <c r="CN400" s="194"/>
      <c r="CO400" s="197"/>
      <c r="CP400" s="196"/>
      <c r="CQ400" s="196"/>
      <c r="CR400" s="196"/>
      <c r="CS400" s="196"/>
      <c r="CT400" s="196"/>
      <c r="CU400" s="196"/>
      <c r="CV400" s="194"/>
      <c r="CW400" s="194"/>
      <c r="CX400" s="194"/>
      <c r="CY400" s="194"/>
      <c r="CZ400" s="194"/>
      <c r="DA400" s="194"/>
      <c r="DB400" s="194"/>
      <c r="DC400" s="194"/>
      <c r="DD400" s="194"/>
      <c r="DE400" s="194"/>
      <c r="DF400" s="196"/>
      <c r="DG400" s="198"/>
      <c r="DH400" s="194"/>
      <c r="DI400" s="194"/>
    </row>
    <row r="401" spans="1:113" s="24" customFormat="1" hidden="1" x14ac:dyDescent="0.3">
      <c r="A401" s="172"/>
      <c r="B401" s="172"/>
      <c r="C401" s="172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  <c r="AG401" s="173"/>
      <c r="AH401" s="173"/>
      <c r="AI401" s="173"/>
      <c r="AJ401" s="173"/>
      <c r="AK401" s="173"/>
      <c r="AL401" s="173"/>
      <c r="AM401" s="173"/>
      <c r="AN401" s="173"/>
      <c r="AO401" s="173"/>
      <c r="AP401" s="173"/>
      <c r="AQ401" s="173"/>
      <c r="AR401" s="173"/>
      <c r="AS401" s="172"/>
      <c r="AT401" s="172"/>
      <c r="AU401" s="172"/>
      <c r="AV401" s="172"/>
      <c r="AW401" s="172"/>
      <c r="AX401" s="172"/>
      <c r="AY401" s="172"/>
      <c r="AZ401" s="172"/>
      <c r="BA401" s="172"/>
      <c r="BB401" s="172"/>
      <c r="BC401" s="172"/>
      <c r="BD401" s="172"/>
      <c r="BE401" s="172"/>
      <c r="BF401" s="172"/>
      <c r="BG401" s="172"/>
      <c r="BH401" s="172"/>
      <c r="BI401" s="172"/>
      <c r="BJ401" s="172"/>
      <c r="BK401" s="172"/>
      <c r="BL401" s="172"/>
      <c r="BM401" s="172"/>
      <c r="BN401" s="172"/>
      <c r="BO401" s="172"/>
      <c r="BP401" s="172"/>
      <c r="BQ401" s="172"/>
      <c r="BR401" s="172"/>
      <c r="BS401" s="172"/>
      <c r="BT401" s="172"/>
      <c r="BU401" s="172"/>
      <c r="BV401" s="172"/>
      <c r="BW401" s="172"/>
      <c r="BX401" s="172"/>
      <c r="BY401" s="174"/>
      <c r="BZ401" s="172"/>
      <c r="CA401" s="172"/>
      <c r="CD401" s="194"/>
      <c r="CE401" s="194"/>
      <c r="CF401" s="194"/>
      <c r="CG401" s="194"/>
      <c r="CH401" s="195"/>
      <c r="CI401" s="194"/>
      <c r="CJ401" s="194"/>
      <c r="CK401" s="194"/>
      <c r="CL401" s="196"/>
      <c r="CM401" s="196"/>
      <c r="CN401" s="194"/>
      <c r="CO401" s="197"/>
      <c r="CP401" s="196"/>
      <c r="CQ401" s="196"/>
      <c r="CR401" s="196"/>
      <c r="CS401" s="196"/>
      <c r="CT401" s="196"/>
      <c r="CU401" s="196"/>
      <c r="CV401" s="194"/>
      <c r="CW401" s="194"/>
      <c r="CX401" s="194"/>
      <c r="CY401" s="194"/>
      <c r="CZ401" s="194"/>
      <c r="DA401" s="194"/>
      <c r="DB401" s="194"/>
      <c r="DC401" s="194"/>
      <c r="DD401" s="194"/>
      <c r="DE401" s="194"/>
      <c r="DF401" s="196"/>
      <c r="DG401" s="198"/>
      <c r="DH401" s="194"/>
      <c r="DI401" s="194"/>
    </row>
    <row r="402" spans="1:113" s="24" customFormat="1" hidden="1" x14ac:dyDescent="0.3">
      <c r="A402" s="172"/>
      <c r="B402" s="172"/>
      <c r="C402" s="172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  <c r="AG402" s="173"/>
      <c r="AH402" s="173"/>
      <c r="AI402" s="173"/>
      <c r="AJ402" s="173"/>
      <c r="AK402" s="173"/>
      <c r="AL402" s="173"/>
      <c r="AM402" s="173"/>
      <c r="AN402" s="173"/>
      <c r="AO402" s="173"/>
      <c r="AP402" s="173"/>
      <c r="AQ402" s="173"/>
      <c r="AR402" s="173"/>
      <c r="AS402" s="172"/>
      <c r="AT402" s="172"/>
      <c r="AU402" s="172"/>
      <c r="AV402" s="172"/>
      <c r="AW402" s="172"/>
      <c r="AX402" s="172"/>
      <c r="AY402" s="172"/>
      <c r="AZ402" s="172"/>
      <c r="BA402" s="172"/>
      <c r="BB402" s="172"/>
      <c r="BC402" s="172"/>
      <c r="BD402" s="172"/>
      <c r="BE402" s="172"/>
      <c r="BF402" s="172"/>
      <c r="BG402" s="172"/>
      <c r="BH402" s="172"/>
      <c r="BI402" s="172"/>
      <c r="BJ402" s="172"/>
      <c r="BK402" s="172"/>
      <c r="BL402" s="172"/>
      <c r="BM402" s="172"/>
      <c r="BN402" s="172"/>
      <c r="BO402" s="172"/>
      <c r="BP402" s="172"/>
      <c r="BQ402" s="172"/>
      <c r="BR402" s="172"/>
      <c r="BS402" s="172"/>
      <c r="BT402" s="172"/>
      <c r="BU402" s="172"/>
      <c r="BV402" s="172"/>
      <c r="BW402" s="172"/>
      <c r="BX402" s="172"/>
      <c r="BY402" s="174"/>
      <c r="BZ402" s="172"/>
      <c r="CA402" s="172"/>
      <c r="CD402" s="194"/>
      <c r="CE402" s="194"/>
      <c r="CF402" s="194"/>
      <c r="CG402" s="194"/>
      <c r="CH402" s="195"/>
      <c r="CI402" s="194"/>
      <c r="CJ402" s="194"/>
      <c r="CK402" s="194"/>
      <c r="CL402" s="196"/>
      <c r="CM402" s="196"/>
      <c r="CN402" s="194"/>
      <c r="CO402" s="197"/>
      <c r="CP402" s="196"/>
      <c r="CQ402" s="196"/>
      <c r="CR402" s="196"/>
      <c r="CS402" s="196"/>
      <c r="CT402" s="196"/>
      <c r="CU402" s="196"/>
      <c r="CV402" s="194"/>
      <c r="CW402" s="194"/>
      <c r="CX402" s="194"/>
      <c r="CY402" s="194"/>
      <c r="CZ402" s="194"/>
      <c r="DA402" s="194"/>
      <c r="DB402" s="194"/>
      <c r="DC402" s="194"/>
      <c r="DD402" s="194"/>
      <c r="DE402" s="194"/>
      <c r="DF402" s="196"/>
      <c r="DG402" s="198"/>
      <c r="DH402" s="194"/>
      <c r="DI402" s="194"/>
    </row>
    <row r="403" spans="1:113" s="24" customFormat="1" hidden="1" x14ac:dyDescent="0.3">
      <c r="A403" s="172"/>
      <c r="B403" s="172"/>
      <c r="C403" s="172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  <c r="AG403" s="173"/>
      <c r="AH403" s="173"/>
      <c r="AI403" s="173"/>
      <c r="AJ403" s="173"/>
      <c r="AK403" s="173"/>
      <c r="AL403" s="173"/>
      <c r="AM403" s="173"/>
      <c r="AN403" s="173"/>
      <c r="AO403" s="173"/>
      <c r="AP403" s="173"/>
      <c r="AQ403" s="173"/>
      <c r="AR403" s="173"/>
      <c r="AS403" s="172"/>
      <c r="AT403" s="172"/>
      <c r="AU403" s="172"/>
      <c r="AV403" s="172"/>
      <c r="AW403" s="172"/>
      <c r="AX403" s="172"/>
      <c r="AY403" s="172"/>
      <c r="AZ403" s="172"/>
      <c r="BA403" s="172"/>
      <c r="BB403" s="172"/>
      <c r="BC403" s="172"/>
      <c r="BD403" s="172"/>
      <c r="BE403" s="172"/>
      <c r="BF403" s="172"/>
      <c r="BG403" s="172"/>
      <c r="BH403" s="172"/>
      <c r="BI403" s="172"/>
      <c r="BJ403" s="172"/>
      <c r="BK403" s="172"/>
      <c r="BL403" s="172"/>
      <c r="BM403" s="172"/>
      <c r="BN403" s="172"/>
      <c r="BO403" s="172"/>
      <c r="BP403" s="172"/>
      <c r="BQ403" s="172"/>
      <c r="BR403" s="172"/>
      <c r="BS403" s="172"/>
      <c r="BT403" s="172"/>
      <c r="BU403" s="172"/>
      <c r="BV403" s="172"/>
      <c r="BW403" s="172"/>
      <c r="BX403" s="172"/>
      <c r="BY403" s="174"/>
      <c r="BZ403" s="172"/>
      <c r="CA403" s="172"/>
      <c r="CD403" s="194"/>
      <c r="CE403" s="194"/>
      <c r="CF403" s="194"/>
      <c r="CG403" s="194"/>
      <c r="CH403" s="195"/>
      <c r="CI403" s="194"/>
      <c r="CJ403" s="194"/>
      <c r="CK403" s="194"/>
      <c r="CL403" s="196"/>
      <c r="CM403" s="196"/>
      <c r="CN403" s="194"/>
      <c r="CO403" s="197"/>
      <c r="CP403" s="196"/>
      <c r="CQ403" s="196"/>
      <c r="CR403" s="196"/>
      <c r="CS403" s="196"/>
      <c r="CT403" s="196"/>
      <c r="CU403" s="196"/>
      <c r="CV403" s="194"/>
      <c r="CW403" s="194"/>
      <c r="CX403" s="194"/>
      <c r="CY403" s="194"/>
      <c r="CZ403" s="194"/>
      <c r="DA403" s="194"/>
      <c r="DB403" s="194"/>
      <c r="DC403" s="194"/>
      <c r="DD403" s="194"/>
      <c r="DE403" s="194"/>
      <c r="DF403" s="196"/>
      <c r="DG403" s="198"/>
      <c r="DH403" s="194"/>
      <c r="DI403" s="194"/>
    </row>
    <row r="404" spans="1:113" s="24" customFormat="1" hidden="1" x14ac:dyDescent="0.3">
      <c r="A404" s="172"/>
      <c r="B404" s="172"/>
      <c r="C404" s="172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  <c r="AG404" s="173"/>
      <c r="AH404" s="173"/>
      <c r="AI404" s="173"/>
      <c r="AJ404" s="173"/>
      <c r="AK404" s="173"/>
      <c r="AL404" s="173"/>
      <c r="AM404" s="173"/>
      <c r="AN404" s="173"/>
      <c r="AO404" s="173"/>
      <c r="AP404" s="173"/>
      <c r="AQ404" s="173"/>
      <c r="AR404" s="173"/>
      <c r="AS404" s="172"/>
      <c r="AT404" s="172"/>
      <c r="AU404" s="172"/>
      <c r="AV404" s="172"/>
      <c r="AW404" s="172"/>
      <c r="AX404" s="172"/>
      <c r="AY404" s="172"/>
      <c r="AZ404" s="172"/>
      <c r="BA404" s="172"/>
      <c r="BB404" s="172"/>
      <c r="BC404" s="172"/>
      <c r="BD404" s="172"/>
      <c r="BE404" s="172"/>
      <c r="BF404" s="172"/>
      <c r="BG404" s="172"/>
      <c r="BH404" s="172"/>
      <c r="BI404" s="172"/>
      <c r="BJ404" s="172"/>
      <c r="BK404" s="172"/>
      <c r="BL404" s="172"/>
      <c r="BM404" s="172"/>
      <c r="BN404" s="172"/>
      <c r="BO404" s="172"/>
      <c r="BP404" s="172"/>
      <c r="BQ404" s="172"/>
      <c r="BR404" s="172"/>
      <c r="BS404" s="172"/>
      <c r="BT404" s="172"/>
      <c r="BU404" s="172"/>
      <c r="BV404" s="172"/>
      <c r="BW404" s="172"/>
      <c r="BX404" s="172"/>
      <c r="BY404" s="174"/>
      <c r="BZ404" s="172"/>
      <c r="CA404" s="172"/>
      <c r="CD404" s="194"/>
      <c r="CE404" s="194"/>
      <c r="CF404" s="194"/>
      <c r="CG404" s="194"/>
      <c r="CH404" s="195"/>
      <c r="CI404" s="194"/>
      <c r="CJ404" s="194"/>
      <c r="CK404" s="194"/>
      <c r="CL404" s="196"/>
      <c r="CM404" s="196"/>
      <c r="CN404" s="194"/>
      <c r="CO404" s="197"/>
      <c r="CP404" s="196"/>
      <c r="CQ404" s="196"/>
      <c r="CR404" s="196"/>
      <c r="CS404" s="196"/>
      <c r="CT404" s="196"/>
      <c r="CU404" s="196"/>
      <c r="CV404" s="194"/>
      <c r="CW404" s="194"/>
      <c r="CX404" s="194"/>
      <c r="CY404" s="194"/>
      <c r="CZ404" s="194"/>
      <c r="DA404" s="194"/>
      <c r="DB404" s="194"/>
      <c r="DC404" s="194"/>
      <c r="DD404" s="194"/>
      <c r="DE404" s="194"/>
      <c r="DF404" s="196"/>
      <c r="DG404" s="198"/>
      <c r="DH404" s="194"/>
      <c r="DI404" s="194"/>
    </row>
    <row r="405" spans="1:113" s="24" customFormat="1" hidden="1" x14ac:dyDescent="0.3">
      <c r="A405" s="172"/>
      <c r="B405" s="172"/>
      <c r="C405" s="172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  <c r="AG405" s="173"/>
      <c r="AH405" s="173"/>
      <c r="AI405" s="173"/>
      <c r="AJ405" s="173"/>
      <c r="AK405" s="173"/>
      <c r="AL405" s="173"/>
      <c r="AM405" s="173"/>
      <c r="AN405" s="173"/>
      <c r="AO405" s="173"/>
      <c r="AP405" s="173"/>
      <c r="AQ405" s="173"/>
      <c r="AR405" s="173"/>
      <c r="AS405" s="172"/>
      <c r="AT405" s="172"/>
      <c r="AU405" s="172"/>
      <c r="AV405" s="172"/>
      <c r="AW405" s="172"/>
      <c r="AX405" s="172"/>
      <c r="AY405" s="172"/>
      <c r="AZ405" s="172"/>
      <c r="BA405" s="172"/>
      <c r="BB405" s="172"/>
      <c r="BC405" s="172"/>
      <c r="BD405" s="172"/>
      <c r="BE405" s="172"/>
      <c r="BF405" s="172"/>
      <c r="BG405" s="172"/>
      <c r="BH405" s="172"/>
      <c r="BI405" s="172"/>
      <c r="BJ405" s="172"/>
      <c r="BK405" s="172"/>
      <c r="BL405" s="172"/>
      <c r="BM405" s="172"/>
      <c r="BN405" s="172"/>
      <c r="BO405" s="172"/>
      <c r="BP405" s="172"/>
      <c r="BQ405" s="172"/>
      <c r="BR405" s="172"/>
      <c r="BS405" s="172"/>
      <c r="BT405" s="172"/>
      <c r="BU405" s="172"/>
      <c r="BV405" s="172"/>
      <c r="BW405" s="172"/>
      <c r="BX405" s="172"/>
      <c r="BY405" s="174"/>
      <c r="BZ405" s="172"/>
      <c r="CA405" s="172"/>
      <c r="CD405" s="194"/>
      <c r="CE405" s="194"/>
      <c r="CF405" s="194"/>
      <c r="CG405" s="194"/>
      <c r="CH405" s="195"/>
      <c r="CI405" s="194"/>
      <c r="CJ405" s="194"/>
      <c r="CK405" s="194"/>
      <c r="CL405" s="196"/>
      <c r="CM405" s="196"/>
      <c r="CN405" s="194"/>
      <c r="CO405" s="197"/>
      <c r="CP405" s="196"/>
      <c r="CQ405" s="196"/>
      <c r="CR405" s="196"/>
      <c r="CS405" s="196"/>
      <c r="CT405" s="196"/>
      <c r="CU405" s="196"/>
      <c r="CV405" s="194"/>
      <c r="CW405" s="194"/>
      <c r="CX405" s="194"/>
      <c r="CY405" s="194"/>
      <c r="CZ405" s="194"/>
      <c r="DA405" s="194"/>
      <c r="DB405" s="194"/>
      <c r="DC405" s="194"/>
      <c r="DD405" s="194"/>
      <c r="DE405" s="194"/>
      <c r="DF405" s="196"/>
      <c r="DG405" s="198"/>
      <c r="DH405" s="194"/>
      <c r="DI405" s="194"/>
    </row>
    <row r="406" spans="1:113" s="24" customFormat="1" hidden="1" x14ac:dyDescent="0.3">
      <c r="A406" s="172"/>
      <c r="B406" s="172"/>
      <c r="C406" s="172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  <c r="AG406" s="173"/>
      <c r="AH406" s="173"/>
      <c r="AI406" s="173"/>
      <c r="AJ406" s="173"/>
      <c r="AK406" s="173"/>
      <c r="AL406" s="173"/>
      <c r="AM406" s="173"/>
      <c r="AN406" s="173"/>
      <c r="AO406" s="173"/>
      <c r="AP406" s="173"/>
      <c r="AQ406" s="173"/>
      <c r="AR406" s="173"/>
      <c r="AS406" s="172"/>
      <c r="AT406" s="172"/>
      <c r="AU406" s="172"/>
      <c r="AV406" s="172"/>
      <c r="AW406" s="172"/>
      <c r="AX406" s="172"/>
      <c r="AY406" s="172"/>
      <c r="AZ406" s="172"/>
      <c r="BA406" s="172"/>
      <c r="BB406" s="172"/>
      <c r="BC406" s="172"/>
      <c r="BD406" s="172"/>
      <c r="BE406" s="172"/>
      <c r="BF406" s="172"/>
      <c r="BG406" s="172"/>
      <c r="BH406" s="172"/>
      <c r="BI406" s="172"/>
      <c r="BJ406" s="172"/>
      <c r="BK406" s="172"/>
      <c r="BL406" s="172"/>
      <c r="BM406" s="172"/>
      <c r="BN406" s="172"/>
      <c r="BO406" s="172"/>
      <c r="BP406" s="172"/>
      <c r="BQ406" s="172"/>
      <c r="BR406" s="172"/>
      <c r="BS406" s="172"/>
      <c r="BT406" s="172"/>
      <c r="BU406" s="172"/>
      <c r="BV406" s="172"/>
      <c r="BW406" s="172"/>
      <c r="BX406" s="172"/>
      <c r="BY406" s="174"/>
      <c r="BZ406" s="172"/>
      <c r="CA406" s="172"/>
      <c r="CD406" s="194"/>
      <c r="CE406" s="194"/>
      <c r="CF406" s="194"/>
      <c r="CG406" s="194"/>
      <c r="CH406" s="195"/>
      <c r="CI406" s="194"/>
      <c r="CJ406" s="194"/>
      <c r="CK406" s="194"/>
      <c r="CL406" s="196"/>
      <c r="CM406" s="196"/>
      <c r="CN406" s="194"/>
      <c r="CO406" s="197"/>
      <c r="CP406" s="196"/>
      <c r="CQ406" s="196"/>
      <c r="CR406" s="196"/>
      <c r="CS406" s="196"/>
      <c r="CT406" s="196"/>
      <c r="CU406" s="196"/>
      <c r="CV406" s="194"/>
      <c r="CW406" s="194"/>
      <c r="CX406" s="194"/>
      <c r="CY406" s="194"/>
      <c r="CZ406" s="194"/>
      <c r="DA406" s="194"/>
      <c r="DB406" s="194"/>
      <c r="DC406" s="194"/>
      <c r="DD406" s="194"/>
      <c r="DE406" s="194"/>
      <c r="DF406" s="196"/>
      <c r="DG406" s="198"/>
      <c r="DH406" s="194"/>
      <c r="DI406" s="194"/>
    </row>
    <row r="407" spans="1:113" s="24" customFormat="1" hidden="1" x14ac:dyDescent="0.3">
      <c r="A407" s="172"/>
      <c r="B407" s="172"/>
      <c r="C407" s="172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  <c r="AG407" s="173"/>
      <c r="AH407" s="173"/>
      <c r="AI407" s="173"/>
      <c r="AJ407" s="173"/>
      <c r="AK407" s="173"/>
      <c r="AL407" s="173"/>
      <c r="AM407" s="173"/>
      <c r="AN407" s="173"/>
      <c r="AO407" s="173"/>
      <c r="AP407" s="173"/>
      <c r="AQ407" s="173"/>
      <c r="AR407" s="173"/>
      <c r="AS407" s="172"/>
      <c r="AT407" s="172"/>
      <c r="AU407" s="172"/>
      <c r="AV407" s="172"/>
      <c r="AW407" s="172"/>
      <c r="AX407" s="172"/>
      <c r="AY407" s="172"/>
      <c r="AZ407" s="172"/>
      <c r="BA407" s="172"/>
      <c r="BB407" s="172"/>
      <c r="BC407" s="172"/>
      <c r="BD407" s="172"/>
      <c r="BE407" s="172"/>
      <c r="BF407" s="172"/>
      <c r="BG407" s="172"/>
      <c r="BH407" s="172"/>
      <c r="BI407" s="172"/>
      <c r="BJ407" s="172"/>
      <c r="BK407" s="172"/>
      <c r="BL407" s="172"/>
      <c r="BM407" s="172"/>
      <c r="BN407" s="172"/>
      <c r="BO407" s="172"/>
      <c r="BP407" s="172"/>
      <c r="BQ407" s="172"/>
      <c r="BR407" s="172"/>
      <c r="BS407" s="172"/>
      <c r="BT407" s="172"/>
      <c r="BU407" s="172"/>
      <c r="BV407" s="172"/>
      <c r="BW407" s="172"/>
      <c r="BX407" s="172"/>
      <c r="BY407" s="174"/>
      <c r="BZ407" s="172"/>
      <c r="CA407" s="172"/>
      <c r="CD407" s="194"/>
      <c r="CE407" s="194"/>
      <c r="CF407" s="194"/>
      <c r="CG407" s="194"/>
      <c r="CH407" s="195"/>
      <c r="CI407" s="194"/>
      <c r="CJ407" s="194"/>
      <c r="CK407" s="194"/>
      <c r="CL407" s="196"/>
      <c r="CM407" s="196"/>
      <c r="CN407" s="194"/>
      <c r="CO407" s="197"/>
      <c r="CP407" s="196"/>
      <c r="CQ407" s="196"/>
      <c r="CR407" s="196"/>
      <c r="CS407" s="196"/>
      <c r="CT407" s="196"/>
      <c r="CU407" s="196"/>
      <c r="CV407" s="194"/>
      <c r="CW407" s="194"/>
      <c r="CX407" s="194"/>
      <c r="CY407" s="194"/>
      <c r="CZ407" s="194"/>
      <c r="DA407" s="194"/>
      <c r="DB407" s="194"/>
      <c r="DC407" s="194"/>
      <c r="DD407" s="194"/>
      <c r="DE407" s="194"/>
      <c r="DF407" s="196"/>
      <c r="DG407" s="198"/>
      <c r="DH407" s="194"/>
      <c r="DI407" s="194"/>
    </row>
    <row r="408" spans="1:113" s="24" customFormat="1" hidden="1" x14ac:dyDescent="0.3">
      <c r="A408" s="172"/>
      <c r="B408" s="172"/>
      <c r="C408" s="172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  <c r="AG408" s="173"/>
      <c r="AH408" s="173"/>
      <c r="AI408" s="173"/>
      <c r="AJ408" s="173"/>
      <c r="AK408" s="173"/>
      <c r="AL408" s="173"/>
      <c r="AM408" s="173"/>
      <c r="AN408" s="173"/>
      <c r="AO408" s="173"/>
      <c r="AP408" s="173"/>
      <c r="AQ408" s="173"/>
      <c r="AR408" s="173"/>
      <c r="AS408" s="172"/>
      <c r="AT408" s="172"/>
      <c r="AU408" s="172"/>
      <c r="AV408" s="172"/>
      <c r="AW408" s="172"/>
      <c r="AX408" s="172"/>
      <c r="AY408" s="172"/>
      <c r="AZ408" s="172"/>
      <c r="BA408" s="172"/>
      <c r="BB408" s="172"/>
      <c r="BC408" s="172"/>
      <c r="BD408" s="172"/>
      <c r="BE408" s="172"/>
      <c r="BF408" s="172"/>
      <c r="BG408" s="172"/>
      <c r="BH408" s="172"/>
      <c r="BI408" s="172"/>
      <c r="BJ408" s="172"/>
      <c r="BK408" s="172"/>
      <c r="BL408" s="172"/>
      <c r="BM408" s="172"/>
      <c r="BN408" s="172"/>
      <c r="BO408" s="172"/>
      <c r="BP408" s="172"/>
      <c r="BQ408" s="172"/>
      <c r="BR408" s="172"/>
      <c r="BS408" s="172"/>
      <c r="BT408" s="172"/>
      <c r="BU408" s="172"/>
      <c r="BV408" s="172"/>
      <c r="BW408" s="172"/>
      <c r="BX408" s="172"/>
      <c r="BY408" s="174"/>
      <c r="BZ408" s="172"/>
      <c r="CA408" s="172"/>
      <c r="CD408" s="194"/>
      <c r="CE408" s="194"/>
      <c r="CF408" s="194"/>
      <c r="CG408" s="194"/>
      <c r="CH408" s="195"/>
      <c r="CI408" s="194"/>
      <c r="CJ408" s="194"/>
      <c r="CK408" s="194"/>
      <c r="CL408" s="196"/>
      <c r="CM408" s="196"/>
      <c r="CN408" s="194"/>
      <c r="CO408" s="197"/>
      <c r="CP408" s="196"/>
      <c r="CQ408" s="196"/>
      <c r="CR408" s="196"/>
      <c r="CS408" s="196"/>
      <c r="CT408" s="196"/>
      <c r="CU408" s="196"/>
      <c r="CV408" s="194"/>
      <c r="CW408" s="194"/>
      <c r="CX408" s="194"/>
      <c r="CY408" s="194"/>
      <c r="CZ408" s="194"/>
      <c r="DA408" s="194"/>
      <c r="DB408" s="194"/>
      <c r="DC408" s="194"/>
      <c r="DD408" s="194"/>
      <c r="DE408" s="194"/>
      <c r="DF408" s="196"/>
      <c r="DG408" s="198"/>
      <c r="DH408" s="194"/>
      <c r="DI408" s="194"/>
    </row>
    <row r="409" spans="1:113" s="24" customFormat="1" hidden="1" x14ac:dyDescent="0.3">
      <c r="A409" s="172"/>
      <c r="B409" s="172"/>
      <c r="C409" s="172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  <c r="AG409" s="173"/>
      <c r="AH409" s="173"/>
      <c r="AI409" s="173"/>
      <c r="AJ409" s="173"/>
      <c r="AK409" s="173"/>
      <c r="AL409" s="173"/>
      <c r="AM409" s="173"/>
      <c r="AN409" s="173"/>
      <c r="AO409" s="173"/>
      <c r="AP409" s="173"/>
      <c r="AQ409" s="173"/>
      <c r="AR409" s="173"/>
      <c r="AS409" s="172"/>
      <c r="AT409" s="172"/>
      <c r="AU409" s="172"/>
      <c r="AV409" s="172"/>
      <c r="AW409" s="172"/>
      <c r="AX409" s="172"/>
      <c r="AY409" s="172"/>
      <c r="AZ409" s="172"/>
      <c r="BA409" s="172"/>
      <c r="BB409" s="172"/>
      <c r="BC409" s="172"/>
      <c r="BD409" s="172"/>
      <c r="BE409" s="172"/>
      <c r="BF409" s="172"/>
      <c r="BG409" s="172"/>
      <c r="BH409" s="172"/>
      <c r="BI409" s="172"/>
      <c r="BJ409" s="172"/>
      <c r="BK409" s="172"/>
      <c r="BL409" s="172"/>
      <c r="BM409" s="172"/>
      <c r="BN409" s="172"/>
      <c r="BO409" s="172"/>
      <c r="BP409" s="172"/>
      <c r="BQ409" s="172"/>
      <c r="BR409" s="172"/>
      <c r="BS409" s="172"/>
      <c r="BT409" s="172"/>
      <c r="BU409" s="172"/>
      <c r="BV409" s="172"/>
      <c r="BW409" s="172"/>
      <c r="BX409" s="172"/>
      <c r="BY409" s="174"/>
      <c r="BZ409" s="172"/>
      <c r="CA409" s="172"/>
      <c r="CD409" s="194"/>
      <c r="CE409" s="194"/>
      <c r="CF409" s="194"/>
      <c r="CG409" s="194"/>
      <c r="CH409" s="195"/>
      <c r="CI409" s="194"/>
      <c r="CJ409" s="194"/>
      <c r="CK409" s="194"/>
      <c r="CL409" s="196"/>
      <c r="CM409" s="196"/>
      <c r="CN409" s="194"/>
      <c r="CO409" s="197"/>
      <c r="CP409" s="196"/>
      <c r="CQ409" s="196"/>
      <c r="CR409" s="196"/>
      <c r="CS409" s="196"/>
      <c r="CT409" s="196"/>
      <c r="CU409" s="196"/>
      <c r="CV409" s="194"/>
      <c r="CW409" s="194"/>
      <c r="CX409" s="194"/>
      <c r="CY409" s="194"/>
      <c r="CZ409" s="194"/>
      <c r="DA409" s="194"/>
      <c r="DB409" s="194"/>
      <c r="DC409" s="194"/>
      <c r="DD409" s="194"/>
      <c r="DE409" s="194"/>
      <c r="DF409" s="196"/>
      <c r="DG409" s="198"/>
      <c r="DH409" s="194"/>
      <c r="DI409" s="194"/>
    </row>
    <row r="410" spans="1:113" s="24" customFormat="1" hidden="1" x14ac:dyDescent="0.3">
      <c r="A410" s="172"/>
      <c r="B410" s="172"/>
      <c r="C410" s="172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  <c r="AG410" s="173"/>
      <c r="AH410" s="173"/>
      <c r="AI410" s="173"/>
      <c r="AJ410" s="173"/>
      <c r="AK410" s="173"/>
      <c r="AL410" s="173"/>
      <c r="AM410" s="173"/>
      <c r="AN410" s="173"/>
      <c r="AO410" s="173"/>
      <c r="AP410" s="173"/>
      <c r="AQ410" s="173"/>
      <c r="AR410" s="173"/>
      <c r="AS410" s="172"/>
      <c r="AT410" s="172"/>
      <c r="AU410" s="172"/>
      <c r="AV410" s="172"/>
      <c r="AW410" s="172"/>
      <c r="AX410" s="172"/>
      <c r="AY410" s="172"/>
      <c r="AZ410" s="172"/>
      <c r="BA410" s="172"/>
      <c r="BB410" s="172"/>
      <c r="BC410" s="172"/>
      <c r="BD410" s="172"/>
      <c r="BE410" s="172"/>
      <c r="BF410" s="172"/>
      <c r="BG410" s="172"/>
      <c r="BH410" s="172"/>
      <c r="BI410" s="172"/>
      <c r="BJ410" s="172"/>
      <c r="BK410" s="172"/>
      <c r="BL410" s="172"/>
      <c r="BM410" s="172"/>
      <c r="BN410" s="172"/>
      <c r="BO410" s="172"/>
      <c r="BP410" s="172"/>
      <c r="BQ410" s="172"/>
      <c r="BR410" s="172"/>
      <c r="BS410" s="172"/>
      <c r="BT410" s="172"/>
      <c r="BU410" s="172"/>
      <c r="BV410" s="172"/>
      <c r="BW410" s="172"/>
      <c r="BX410" s="172"/>
      <c r="BY410" s="174"/>
      <c r="BZ410" s="172"/>
      <c r="CA410" s="172"/>
      <c r="CD410" s="194"/>
      <c r="CE410" s="194"/>
      <c r="CF410" s="194"/>
      <c r="CG410" s="194"/>
      <c r="CH410" s="195"/>
      <c r="CI410" s="194"/>
      <c r="CJ410" s="194"/>
      <c r="CK410" s="194"/>
      <c r="CL410" s="196"/>
      <c r="CM410" s="196"/>
      <c r="CN410" s="194"/>
      <c r="CO410" s="197"/>
      <c r="CP410" s="196"/>
      <c r="CQ410" s="196"/>
      <c r="CR410" s="196"/>
      <c r="CS410" s="196"/>
      <c r="CT410" s="196"/>
      <c r="CU410" s="196"/>
      <c r="CV410" s="194"/>
      <c r="CW410" s="194"/>
      <c r="CX410" s="194"/>
      <c r="CY410" s="194"/>
      <c r="CZ410" s="194"/>
      <c r="DA410" s="194"/>
      <c r="DB410" s="194"/>
      <c r="DC410" s="194"/>
      <c r="DD410" s="194"/>
      <c r="DE410" s="194"/>
      <c r="DF410" s="196"/>
      <c r="DG410" s="198"/>
      <c r="DH410" s="194"/>
      <c r="DI410" s="194"/>
    </row>
    <row r="411" spans="1:113" s="24" customFormat="1" hidden="1" x14ac:dyDescent="0.3">
      <c r="A411" s="172"/>
      <c r="B411" s="172"/>
      <c r="C411" s="172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  <c r="AG411" s="173"/>
      <c r="AH411" s="173"/>
      <c r="AI411" s="173"/>
      <c r="AJ411" s="173"/>
      <c r="AK411" s="173"/>
      <c r="AL411" s="173"/>
      <c r="AM411" s="173"/>
      <c r="AN411" s="173"/>
      <c r="AO411" s="173"/>
      <c r="AP411" s="173"/>
      <c r="AQ411" s="173"/>
      <c r="AR411" s="173"/>
      <c r="AS411" s="172"/>
      <c r="AT411" s="172"/>
      <c r="AU411" s="172"/>
      <c r="AV411" s="172"/>
      <c r="AW411" s="172"/>
      <c r="AX411" s="172"/>
      <c r="AY411" s="172"/>
      <c r="AZ411" s="172"/>
      <c r="BA411" s="172"/>
      <c r="BB411" s="172"/>
      <c r="BC411" s="172"/>
      <c r="BD411" s="172"/>
      <c r="BE411" s="172"/>
      <c r="BF411" s="172"/>
      <c r="BG411" s="172"/>
      <c r="BH411" s="172"/>
      <c r="BI411" s="172"/>
      <c r="BJ411" s="172"/>
      <c r="BK411" s="172"/>
      <c r="BL411" s="172"/>
      <c r="BM411" s="172"/>
      <c r="BN411" s="172"/>
      <c r="BO411" s="172"/>
      <c r="BP411" s="172"/>
      <c r="BQ411" s="172"/>
      <c r="BR411" s="172"/>
      <c r="BS411" s="172"/>
      <c r="BT411" s="172"/>
      <c r="BU411" s="172"/>
      <c r="BV411" s="172"/>
      <c r="BW411" s="172"/>
      <c r="BX411" s="172"/>
      <c r="BY411" s="174"/>
      <c r="BZ411" s="172"/>
      <c r="CA411" s="172"/>
      <c r="CD411" s="194"/>
      <c r="CE411" s="194"/>
      <c r="CF411" s="194"/>
      <c r="CG411" s="194"/>
      <c r="CH411" s="195"/>
      <c r="CI411" s="194"/>
      <c r="CJ411" s="194"/>
      <c r="CK411" s="194"/>
      <c r="CL411" s="196"/>
      <c r="CM411" s="196"/>
      <c r="CN411" s="194"/>
      <c r="CO411" s="197"/>
      <c r="CP411" s="196"/>
      <c r="CQ411" s="196"/>
      <c r="CR411" s="196"/>
      <c r="CS411" s="196"/>
      <c r="CT411" s="196"/>
      <c r="CU411" s="196"/>
      <c r="CV411" s="194"/>
      <c r="CW411" s="194"/>
      <c r="CX411" s="194"/>
      <c r="CY411" s="194"/>
      <c r="CZ411" s="194"/>
      <c r="DA411" s="194"/>
      <c r="DB411" s="194"/>
      <c r="DC411" s="194"/>
      <c r="DD411" s="194"/>
      <c r="DE411" s="194"/>
      <c r="DF411" s="196"/>
      <c r="DG411" s="198"/>
      <c r="DH411" s="194"/>
      <c r="DI411" s="194"/>
    </row>
    <row r="412" spans="1:113" s="24" customFormat="1" hidden="1" x14ac:dyDescent="0.3">
      <c r="A412" s="172"/>
      <c r="B412" s="172"/>
      <c r="C412" s="172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  <c r="AG412" s="173"/>
      <c r="AH412" s="173"/>
      <c r="AI412" s="173"/>
      <c r="AJ412" s="173"/>
      <c r="AK412" s="173"/>
      <c r="AL412" s="173"/>
      <c r="AM412" s="173"/>
      <c r="AN412" s="173"/>
      <c r="AO412" s="173"/>
      <c r="AP412" s="173"/>
      <c r="AQ412" s="173"/>
      <c r="AR412" s="173"/>
      <c r="AS412" s="172"/>
      <c r="AT412" s="172"/>
      <c r="AU412" s="172"/>
      <c r="AV412" s="172"/>
      <c r="AW412" s="172"/>
      <c r="AX412" s="172"/>
      <c r="AY412" s="172"/>
      <c r="AZ412" s="172"/>
      <c r="BA412" s="172"/>
      <c r="BB412" s="172"/>
      <c r="BC412" s="172"/>
      <c r="BD412" s="172"/>
      <c r="BE412" s="172"/>
      <c r="BF412" s="172"/>
      <c r="BG412" s="172"/>
      <c r="BH412" s="172"/>
      <c r="BI412" s="172"/>
      <c r="BJ412" s="172"/>
      <c r="BK412" s="172"/>
      <c r="BL412" s="172"/>
      <c r="BM412" s="172"/>
      <c r="BN412" s="172"/>
      <c r="BO412" s="172"/>
      <c r="BP412" s="172"/>
      <c r="BQ412" s="172"/>
      <c r="BR412" s="172"/>
      <c r="BS412" s="172"/>
      <c r="BT412" s="172"/>
      <c r="BU412" s="172"/>
      <c r="BV412" s="172"/>
      <c r="BW412" s="172"/>
      <c r="BX412" s="172"/>
      <c r="BY412" s="174"/>
      <c r="BZ412" s="172"/>
      <c r="CA412" s="172"/>
      <c r="CD412" s="194"/>
      <c r="CE412" s="194"/>
      <c r="CF412" s="194"/>
      <c r="CG412" s="194"/>
      <c r="CH412" s="195"/>
      <c r="CI412" s="194"/>
      <c r="CJ412" s="194"/>
      <c r="CK412" s="194"/>
      <c r="CL412" s="196"/>
      <c r="CM412" s="196"/>
      <c r="CN412" s="194"/>
      <c r="CO412" s="197"/>
      <c r="CP412" s="196"/>
      <c r="CQ412" s="196"/>
      <c r="CR412" s="196"/>
      <c r="CS412" s="196"/>
      <c r="CT412" s="196"/>
      <c r="CU412" s="196"/>
      <c r="CV412" s="194"/>
      <c r="CW412" s="194"/>
      <c r="CX412" s="194"/>
      <c r="CY412" s="194"/>
      <c r="CZ412" s="194"/>
      <c r="DA412" s="194"/>
      <c r="DB412" s="194"/>
      <c r="DC412" s="194"/>
      <c r="DD412" s="194"/>
      <c r="DE412" s="194"/>
      <c r="DF412" s="196"/>
      <c r="DG412" s="198"/>
      <c r="DH412" s="194"/>
      <c r="DI412" s="194"/>
    </row>
    <row r="413" spans="1:113" s="24" customFormat="1" hidden="1" x14ac:dyDescent="0.3">
      <c r="A413" s="172"/>
      <c r="B413" s="172"/>
      <c r="C413" s="172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  <c r="AG413" s="173"/>
      <c r="AH413" s="173"/>
      <c r="AI413" s="173"/>
      <c r="AJ413" s="173"/>
      <c r="AK413" s="173"/>
      <c r="AL413" s="173"/>
      <c r="AM413" s="173"/>
      <c r="AN413" s="173"/>
      <c r="AO413" s="173"/>
      <c r="AP413" s="173"/>
      <c r="AQ413" s="173"/>
      <c r="AR413" s="173"/>
      <c r="AS413" s="172"/>
      <c r="AT413" s="172"/>
      <c r="AU413" s="172"/>
      <c r="AV413" s="172"/>
      <c r="AW413" s="172"/>
      <c r="AX413" s="172"/>
      <c r="AY413" s="172"/>
      <c r="AZ413" s="172"/>
      <c r="BA413" s="172"/>
      <c r="BB413" s="172"/>
      <c r="BC413" s="172"/>
      <c r="BD413" s="172"/>
      <c r="BE413" s="172"/>
      <c r="BF413" s="172"/>
      <c r="BG413" s="172"/>
      <c r="BH413" s="172"/>
      <c r="BI413" s="172"/>
      <c r="BJ413" s="172"/>
      <c r="BK413" s="172"/>
      <c r="BL413" s="172"/>
      <c r="BM413" s="172"/>
      <c r="BN413" s="172"/>
      <c r="BO413" s="172"/>
      <c r="BP413" s="172"/>
      <c r="BQ413" s="172"/>
      <c r="BR413" s="172"/>
      <c r="BS413" s="172"/>
      <c r="BT413" s="172"/>
      <c r="BU413" s="172"/>
      <c r="BV413" s="172"/>
      <c r="BW413" s="172"/>
      <c r="BX413" s="172"/>
      <c r="BY413" s="174"/>
      <c r="BZ413" s="172"/>
      <c r="CA413" s="172"/>
      <c r="CD413" s="194"/>
      <c r="CE413" s="194"/>
      <c r="CF413" s="194"/>
      <c r="CG413" s="194"/>
      <c r="CH413" s="195"/>
      <c r="CI413" s="194"/>
      <c r="CJ413" s="194"/>
      <c r="CK413" s="194"/>
      <c r="CL413" s="196"/>
      <c r="CM413" s="196"/>
      <c r="CN413" s="194"/>
      <c r="CO413" s="197"/>
      <c r="CP413" s="196"/>
      <c r="CQ413" s="196"/>
      <c r="CR413" s="196"/>
      <c r="CS413" s="196"/>
      <c r="CT413" s="196"/>
      <c r="CU413" s="196"/>
      <c r="CV413" s="194"/>
      <c r="CW413" s="194"/>
      <c r="CX413" s="194"/>
      <c r="CY413" s="194"/>
      <c r="CZ413" s="194"/>
      <c r="DA413" s="194"/>
      <c r="DB413" s="194"/>
      <c r="DC413" s="194"/>
      <c r="DD413" s="194"/>
      <c r="DE413" s="194"/>
      <c r="DF413" s="196"/>
      <c r="DG413" s="198"/>
      <c r="DH413" s="194"/>
      <c r="DI413" s="194"/>
    </row>
    <row r="414" spans="1:113" s="24" customFormat="1" hidden="1" x14ac:dyDescent="0.3">
      <c r="A414" s="172"/>
      <c r="B414" s="172"/>
      <c r="C414" s="172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  <c r="AG414" s="173"/>
      <c r="AH414" s="173"/>
      <c r="AI414" s="173"/>
      <c r="AJ414" s="173"/>
      <c r="AK414" s="173"/>
      <c r="AL414" s="173"/>
      <c r="AM414" s="173"/>
      <c r="AN414" s="173"/>
      <c r="AO414" s="173"/>
      <c r="AP414" s="173"/>
      <c r="AQ414" s="173"/>
      <c r="AR414" s="173"/>
      <c r="AS414" s="172"/>
      <c r="AT414" s="172"/>
      <c r="AU414" s="172"/>
      <c r="AV414" s="172"/>
      <c r="AW414" s="172"/>
      <c r="AX414" s="172"/>
      <c r="AY414" s="172"/>
      <c r="AZ414" s="172"/>
      <c r="BA414" s="172"/>
      <c r="BB414" s="172"/>
      <c r="BC414" s="172"/>
      <c r="BD414" s="172"/>
      <c r="BE414" s="172"/>
      <c r="BF414" s="172"/>
      <c r="BG414" s="172"/>
      <c r="BH414" s="172"/>
      <c r="BI414" s="172"/>
      <c r="BJ414" s="172"/>
      <c r="BK414" s="172"/>
      <c r="BL414" s="172"/>
      <c r="BM414" s="172"/>
      <c r="BN414" s="172"/>
      <c r="BO414" s="172"/>
      <c r="BP414" s="172"/>
      <c r="BQ414" s="172"/>
      <c r="BR414" s="172"/>
      <c r="BS414" s="172"/>
      <c r="BT414" s="172"/>
      <c r="BU414" s="172"/>
      <c r="BV414" s="172"/>
      <c r="BW414" s="172"/>
      <c r="BX414" s="172"/>
      <c r="BY414" s="174"/>
      <c r="BZ414" s="172"/>
      <c r="CA414" s="172"/>
      <c r="CD414" s="194"/>
      <c r="CE414" s="194"/>
      <c r="CF414" s="194"/>
      <c r="CG414" s="194"/>
      <c r="CH414" s="195"/>
      <c r="CI414" s="194"/>
      <c r="CJ414" s="194"/>
      <c r="CK414" s="194"/>
      <c r="CL414" s="196"/>
      <c r="CM414" s="196"/>
      <c r="CN414" s="194"/>
      <c r="CO414" s="197"/>
      <c r="CP414" s="196"/>
      <c r="CQ414" s="196"/>
      <c r="CR414" s="196"/>
      <c r="CS414" s="196"/>
      <c r="CT414" s="196"/>
      <c r="CU414" s="196"/>
      <c r="CV414" s="194"/>
      <c r="CW414" s="194"/>
      <c r="CX414" s="194"/>
      <c r="CY414" s="194"/>
      <c r="CZ414" s="194"/>
      <c r="DA414" s="194"/>
      <c r="DB414" s="194"/>
      <c r="DC414" s="194"/>
      <c r="DD414" s="194"/>
      <c r="DE414" s="194"/>
      <c r="DF414" s="196"/>
      <c r="DG414" s="198"/>
      <c r="DH414" s="194"/>
      <c r="DI414" s="194"/>
    </row>
    <row r="415" spans="1:113" s="24" customFormat="1" hidden="1" x14ac:dyDescent="0.3">
      <c r="A415" s="172"/>
      <c r="B415" s="172"/>
      <c r="C415" s="172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  <c r="AG415" s="173"/>
      <c r="AH415" s="173"/>
      <c r="AI415" s="173"/>
      <c r="AJ415" s="173"/>
      <c r="AK415" s="173"/>
      <c r="AL415" s="173"/>
      <c r="AM415" s="173"/>
      <c r="AN415" s="173"/>
      <c r="AO415" s="173"/>
      <c r="AP415" s="173"/>
      <c r="AQ415" s="173"/>
      <c r="AR415" s="173"/>
      <c r="AS415" s="172"/>
      <c r="AT415" s="172"/>
      <c r="AU415" s="172"/>
      <c r="AV415" s="172"/>
      <c r="AW415" s="172"/>
      <c r="AX415" s="172"/>
      <c r="AY415" s="172"/>
      <c r="AZ415" s="172"/>
      <c r="BA415" s="172"/>
      <c r="BB415" s="172"/>
      <c r="BC415" s="172"/>
      <c r="BD415" s="172"/>
      <c r="BE415" s="172"/>
      <c r="BF415" s="172"/>
      <c r="BG415" s="172"/>
      <c r="BH415" s="172"/>
      <c r="BI415" s="172"/>
      <c r="BJ415" s="172"/>
      <c r="BK415" s="172"/>
      <c r="BL415" s="172"/>
      <c r="BM415" s="172"/>
      <c r="BN415" s="172"/>
      <c r="BO415" s="172"/>
      <c r="BP415" s="172"/>
      <c r="BQ415" s="172"/>
      <c r="BR415" s="172"/>
      <c r="BS415" s="172"/>
      <c r="BT415" s="172"/>
      <c r="BU415" s="172"/>
      <c r="BV415" s="172"/>
      <c r="BW415" s="172"/>
      <c r="BX415" s="172"/>
      <c r="BY415" s="174"/>
      <c r="BZ415" s="172"/>
      <c r="CA415" s="172"/>
      <c r="CD415" s="194"/>
      <c r="CE415" s="194"/>
      <c r="CF415" s="194"/>
      <c r="CG415" s="194"/>
      <c r="CH415" s="195"/>
      <c r="CI415" s="194"/>
      <c r="CJ415" s="194"/>
      <c r="CK415" s="194"/>
      <c r="CL415" s="196"/>
      <c r="CM415" s="196"/>
      <c r="CN415" s="194"/>
      <c r="CO415" s="197"/>
      <c r="CP415" s="196"/>
      <c r="CQ415" s="196"/>
      <c r="CR415" s="196"/>
      <c r="CS415" s="196"/>
      <c r="CT415" s="196"/>
      <c r="CU415" s="196"/>
      <c r="CV415" s="194"/>
      <c r="CW415" s="194"/>
      <c r="CX415" s="194"/>
      <c r="CY415" s="194"/>
      <c r="CZ415" s="194"/>
      <c r="DA415" s="194"/>
      <c r="DB415" s="194"/>
      <c r="DC415" s="194"/>
      <c r="DD415" s="194"/>
      <c r="DE415" s="194"/>
      <c r="DF415" s="196"/>
      <c r="DG415" s="198"/>
      <c r="DH415" s="194"/>
      <c r="DI415" s="194"/>
    </row>
    <row r="416" spans="1:113" s="24" customFormat="1" hidden="1" x14ac:dyDescent="0.3">
      <c r="A416" s="172"/>
      <c r="B416" s="172"/>
      <c r="C416" s="172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  <c r="AG416" s="173"/>
      <c r="AH416" s="173"/>
      <c r="AI416" s="173"/>
      <c r="AJ416" s="173"/>
      <c r="AK416" s="173"/>
      <c r="AL416" s="173"/>
      <c r="AM416" s="173"/>
      <c r="AN416" s="173"/>
      <c r="AO416" s="173"/>
      <c r="AP416" s="173"/>
      <c r="AQ416" s="173"/>
      <c r="AR416" s="173"/>
      <c r="AS416" s="172"/>
      <c r="AT416" s="172"/>
      <c r="AU416" s="172"/>
      <c r="AV416" s="172"/>
      <c r="AW416" s="172"/>
      <c r="AX416" s="172"/>
      <c r="AY416" s="172"/>
      <c r="AZ416" s="172"/>
      <c r="BA416" s="172"/>
      <c r="BB416" s="172"/>
      <c r="BC416" s="172"/>
      <c r="BD416" s="172"/>
      <c r="BE416" s="172"/>
      <c r="BF416" s="172"/>
      <c r="BG416" s="172"/>
      <c r="BH416" s="172"/>
      <c r="BI416" s="172"/>
      <c r="BJ416" s="172"/>
      <c r="BK416" s="172"/>
      <c r="BL416" s="172"/>
      <c r="BM416" s="172"/>
      <c r="BN416" s="172"/>
      <c r="BO416" s="172"/>
      <c r="BP416" s="172"/>
      <c r="BQ416" s="172"/>
      <c r="BR416" s="172"/>
      <c r="BS416" s="172"/>
      <c r="BT416" s="172"/>
      <c r="BU416" s="172"/>
      <c r="BV416" s="172"/>
      <c r="BW416" s="172"/>
      <c r="BX416" s="172"/>
      <c r="BY416" s="174"/>
      <c r="BZ416" s="172"/>
      <c r="CA416" s="172"/>
      <c r="CD416" s="194"/>
      <c r="CE416" s="194"/>
      <c r="CF416" s="194"/>
      <c r="CG416" s="194"/>
      <c r="CH416" s="195"/>
      <c r="CI416" s="194"/>
      <c r="CJ416" s="194"/>
      <c r="CK416" s="194"/>
      <c r="CL416" s="196"/>
      <c r="CM416" s="196"/>
      <c r="CN416" s="194"/>
      <c r="CO416" s="197"/>
      <c r="CP416" s="196"/>
      <c r="CQ416" s="196"/>
      <c r="CR416" s="196"/>
      <c r="CS416" s="196"/>
      <c r="CT416" s="196"/>
      <c r="CU416" s="196"/>
      <c r="CV416" s="194"/>
      <c r="CW416" s="194"/>
      <c r="CX416" s="194"/>
      <c r="CY416" s="194"/>
      <c r="CZ416" s="194"/>
      <c r="DA416" s="194"/>
      <c r="DB416" s="194"/>
      <c r="DC416" s="194"/>
      <c r="DD416" s="194"/>
      <c r="DE416" s="194"/>
      <c r="DF416" s="196"/>
      <c r="DG416" s="198"/>
      <c r="DH416" s="194"/>
      <c r="DI416" s="194"/>
    </row>
    <row r="417" spans="1:113" s="24" customFormat="1" hidden="1" x14ac:dyDescent="0.3">
      <c r="A417" s="172"/>
      <c r="B417" s="172"/>
      <c r="C417" s="172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  <c r="AG417" s="173"/>
      <c r="AH417" s="173"/>
      <c r="AI417" s="173"/>
      <c r="AJ417" s="173"/>
      <c r="AK417" s="173"/>
      <c r="AL417" s="173"/>
      <c r="AM417" s="173"/>
      <c r="AN417" s="173"/>
      <c r="AO417" s="173"/>
      <c r="AP417" s="173"/>
      <c r="AQ417" s="173"/>
      <c r="AR417" s="173"/>
      <c r="AS417" s="172"/>
      <c r="AT417" s="172"/>
      <c r="AU417" s="172"/>
      <c r="AV417" s="172"/>
      <c r="AW417" s="172"/>
      <c r="AX417" s="172"/>
      <c r="AY417" s="172"/>
      <c r="AZ417" s="172"/>
      <c r="BA417" s="172"/>
      <c r="BB417" s="172"/>
      <c r="BC417" s="172"/>
      <c r="BD417" s="172"/>
      <c r="BE417" s="172"/>
      <c r="BF417" s="172"/>
      <c r="BG417" s="172"/>
      <c r="BH417" s="172"/>
      <c r="BI417" s="172"/>
      <c r="BJ417" s="172"/>
      <c r="BK417" s="172"/>
      <c r="BL417" s="172"/>
      <c r="BM417" s="172"/>
      <c r="BN417" s="172"/>
      <c r="BO417" s="172"/>
      <c r="BP417" s="172"/>
      <c r="BQ417" s="172"/>
      <c r="BR417" s="172"/>
      <c r="BS417" s="172"/>
      <c r="BT417" s="172"/>
      <c r="BU417" s="172"/>
      <c r="BV417" s="172"/>
      <c r="BW417" s="172"/>
      <c r="BX417" s="172"/>
      <c r="BY417" s="174"/>
      <c r="BZ417" s="172"/>
      <c r="CA417" s="172"/>
      <c r="CD417" s="194"/>
      <c r="CE417" s="194"/>
      <c r="CF417" s="194"/>
      <c r="CG417" s="194"/>
      <c r="CH417" s="195"/>
      <c r="CI417" s="194"/>
      <c r="CJ417" s="194"/>
      <c r="CK417" s="194"/>
      <c r="CL417" s="196"/>
      <c r="CM417" s="196"/>
      <c r="CN417" s="194"/>
      <c r="CO417" s="197"/>
      <c r="CP417" s="196"/>
      <c r="CQ417" s="196"/>
      <c r="CR417" s="196"/>
      <c r="CS417" s="196"/>
      <c r="CT417" s="196"/>
      <c r="CU417" s="196"/>
      <c r="CV417" s="194"/>
      <c r="CW417" s="194"/>
      <c r="CX417" s="194"/>
      <c r="CY417" s="194"/>
      <c r="CZ417" s="194"/>
      <c r="DA417" s="194"/>
      <c r="DB417" s="194"/>
      <c r="DC417" s="194"/>
      <c r="DD417" s="194"/>
      <c r="DE417" s="194"/>
      <c r="DF417" s="196"/>
      <c r="DG417" s="198"/>
      <c r="DH417" s="194"/>
      <c r="DI417" s="194"/>
    </row>
    <row r="418" spans="1:113" s="24" customFormat="1" hidden="1" x14ac:dyDescent="0.3">
      <c r="A418" s="172"/>
      <c r="B418" s="172"/>
      <c r="C418" s="172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  <c r="AG418" s="173"/>
      <c r="AH418" s="173"/>
      <c r="AI418" s="173"/>
      <c r="AJ418" s="173"/>
      <c r="AK418" s="173"/>
      <c r="AL418" s="173"/>
      <c r="AM418" s="173"/>
      <c r="AN418" s="173"/>
      <c r="AO418" s="173"/>
      <c r="AP418" s="173"/>
      <c r="AQ418" s="173"/>
      <c r="AR418" s="173"/>
      <c r="AS418" s="172"/>
      <c r="AT418" s="172"/>
      <c r="AU418" s="172"/>
      <c r="AV418" s="172"/>
      <c r="AW418" s="172"/>
      <c r="AX418" s="172"/>
      <c r="AY418" s="172"/>
      <c r="AZ418" s="172"/>
      <c r="BA418" s="172"/>
      <c r="BB418" s="172"/>
      <c r="BC418" s="172"/>
      <c r="BD418" s="172"/>
      <c r="BE418" s="172"/>
      <c r="BF418" s="172"/>
      <c r="BG418" s="172"/>
      <c r="BH418" s="172"/>
      <c r="BI418" s="172"/>
      <c r="BJ418" s="172"/>
      <c r="BK418" s="172"/>
      <c r="BL418" s="172"/>
      <c r="BM418" s="172"/>
      <c r="BN418" s="172"/>
      <c r="BO418" s="172"/>
      <c r="BP418" s="172"/>
      <c r="BQ418" s="172"/>
      <c r="BR418" s="172"/>
      <c r="BS418" s="172"/>
      <c r="BT418" s="172"/>
      <c r="BU418" s="172"/>
      <c r="BV418" s="172"/>
      <c r="BW418" s="172"/>
      <c r="BX418" s="172"/>
      <c r="BY418" s="174"/>
      <c r="BZ418" s="172"/>
      <c r="CA418" s="172"/>
      <c r="CD418" s="194"/>
      <c r="CE418" s="194"/>
      <c r="CF418" s="194"/>
      <c r="CG418" s="194"/>
      <c r="CH418" s="195"/>
      <c r="CI418" s="194"/>
      <c r="CJ418" s="194"/>
      <c r="CK418" s="194"/>
      <c r="CL418" s="196"/>
      <c r="CM418" s="196"/>
      <c r="CN418" s="194"/>
      <c r="CO418" s="197"/>
      <c r="CP418" s="196"/>
      <c r="CQ418" s="196"/>
      <c r="CR418" s="196"/>
      <c r="CS418" s="196"/>
      <c r="CT418" s="196"/>
      <c r="CU418" s="196"/>
      <c r="CV418" s="194"/>
      <c r="CW418" s="194"/>
      <c r="CX418" s="194"/>
      <c r="CY418" s="194"/>
      <c r="CZ418" s="194"/>
      <c r="DA418" s="194"/>
      <c r="DB418" s="194"/>
      <c r="DC418" s="194"/>
      <c r="DD418" s="194"/>
      <c r="DE418" s="194"/>
      <c r="DF418" s="196"/>
      <c r="DG418" s="198"/>
      <c r="DH418" s="194"/>
      <c r="DI418" s="194"/>
    </row>
    <row r="419" spans="1:113" s="24" customFormat="1" hidden="1" x14ac:dyDescent="0.3">
      <c r="A419" s="172"/>
      <c r="B419" s="172"/>
      <c r="C419" s="172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  <c r="AG419" s="173"/>
      <c r="AH419" s="173"/>
      <c r="AI419" s="173"/>
      <c r="AJ419" s="173"/>
      <c r="AK419" s="173"/>
      <c r="AL419" s="173"/>
      <c r="AM419" s="173"/>
      <c r="AN419" s="173"/>
      <c r="AO419" s="173"/>
      <c r="AP419" s="173"/>
      <c r="AQ419" s="173"/>
      <c r="AR419" s="173"/>
      <c r="AS419" s="172"/>
      <c r="AT419" s="172"/>
      <c r="AU419" s="172"/>
      <c r="AV419" s="172"/>
      <c r="AW419" s="172"/>
      <c r="AX419" s="172"/>
      <c r="AY419" s="172"/>
      <c r="AZ419" s="172"/>
      <c r="BA419" s="172"/>
      <c r="BB419" s="172"/>
      <c r="BC419" s="172"/>
      <c r="BD419" s="172"/>
      <c r="BE419" s="172"/>
      <c r="BF419" s="172"/>
      <c r="BG419" s="172"/>
      <c r="BH419" s="172"/>
      <c r="BI419" s="172"/>
      <c r="BJ419" s="172"/>
      <c r="BK419" s="172"/>
      <c r="BL419" s="172"/>
      <c r="BM419" s="172"/>
      <c r="BN419" s="172"/>
      <c r="BO419" s="172"/>
      <c r="BP419" s="172"/>
      <c r="BQ419" s="172"/>
      <c r="BR419" s="172"/>
      <c r="BS419" s="172"/>
      <c r="BT419" s="172"/>
      <c r="BU419" s="172"/>
      <c r="BV419" s="172"/>
      <c r="BW419" s="172"/>
      <c r="BX419" s="172"/>
      <c r="BY419" s="174"/>
      <c r="BZ419" s="172"/>
      <c r="CA419" s="172"/>
      <c r="CD419" s="194"/>
      <c r="CE419" s="194"/>
      <c r="CF419" s="194"/>
      <c r="CG419" s="194"/>
      <c r="CH419" s="195"/>
      <c r="CI419" s="194"/>
      <c r="CJ419" s="194"/>
      <c r="CK419" s="194"/>
      <c r="CL419" s="196"/>
      <c r="CM419" s="196"/>
      <c r="CN419" s="194"/>
      <c r="CO419" s="197"/>
      <c r="CP419" s="196"/>
      <c r="CQ419" s="196"/>
      <c r="CR419" s="196"/>
      <c r="CS419" s="196"/>
      <c r="CT419" s="196"/>
      <c r="CU419" s="196"/>
      <c r="CV419" s="194"/>
      <c r="CW419" s="194"/>
      <c r="CX419" s="194"/>
      <c r="CY419" s="194"/>
      <c r="CZ419" s="194"/>
      <c r="DA419" s="194"/>
      <c r="DB419" s="194"/>
      <c r="DC419" s="194"/>
      <c r="DD419" s="194"/>
      <c r="DE419" s="194"/>
      <c r="DF419" s="196"/>
      <c r="DG419" s="198"/>
      <c r="DH419" s="194"/>
      <c r="DI419" s="194"/>
    </row>
    <row r="420" spans="1:113" s="24" customFormat="1" hidden="1" x14ac:dyDescent="0.3">
      <c r="A420" s="172"/>
      <c r="B420" s="172"/>
      <c r="C420" s="172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  <c r="AG420" s="173"/>
      <c r="AH420" s="173"/>
      <c r="AI420" s="173"/>
      <c r="AJ420" s="173"/>
      <c r="AK420" s="173"/>
      <c r="AL420" s="173"/>
      <c r="AM420" s="173"/>
      <c r="AN420" s="173"/>
      <c r="AO420" s="173"/>
      <c r="AP420" s="173"/>
      <c r="AQ420" s="173"/>
      <c r="AR420" s="173"/>
      <c r="AS420" s="172"/>
      <c r="AT420" s="172"/>
      <c r="AU420" s="172"/>
      <c r="AV420" s="172"/>
      <c r="AW420" s="172"/>
      <c r="AX420" s="172"/>
      <c r="AY420" s="172"/>
      <c r="AZ420" s="172"/>
      <c r="BA420" s="172"/>
      <c r="BB420" s="172"/>
      <c r="BC420" s="172"/>
      <c r="BD420" s="172"/>
      <c r="BE420" s="172"/>
      <c r="BF420" s="172"/>
      <c r="BG420" s="172"/>
      <c r="BH420" s="172"/>
      <c r="BI420" s="172"/>
      <c r="BJ420" s="172"/>
      <c r="BK420" s="172"/>
      <c r="BL420" s="172"/>
      <c r="BM420" s="172"/>
      <c r="BN420" s="172"/>
      <c r="BO420" s="172"/>
      <c r="BP420" s="172"/>
      <c r="BQ420" s="172"/>
      <c r="BR420" s="172"/>
      <c r="BS420" s="172"/>
      <c r="BT420" s="172"/>
      <c r="BU420" s="172"/>
      <c r="BV420" s="172"/>
      <c r="BW420" s="172"/>
      <c r="BX420" s="172"/>
      <c r="BY420" s="174"/>
      <c r="BZ420" s="172"/>
      <c r="CA420" s="172"/>
      <c r="CD420" s="194"/>
      <c r="CE420" s="194"/>
      <c r="CF420" s="194"/>
      <c r="CG420" s="194"/>
      <c r="CH420" s="195"/>
      <c r="CI420" s="194"/>
      <c r="CJ420" s="194"/>
      <c r="CK420" s="194"/>
      <c r="CL420" s="196"/>
      <c r="CM420" s="196"/>
      <c r="CN420" s="194"/>
      <c r="CO420" s="197"/>
      <c r="CP420" s="196"/>
      <c r="CQ420" s="196"/>
      <c r="CR420" s="196"/>
      <c r="CS420" s="196"/>
      <c r="CT420" s="196"/>
      <c r="CU420" s="196"/>
      <c r="CV420" s="194"/>
      <c r="CW420" s="194"/>
      <c r="CX420" s="194"/>
      <c r="CY420" s="194"/>
      <c r="CZ420" s="194"/>
      <c r="DA420" s="194"/>
      <c r="DB420" s="194"/>
      <c r="DC420" s="194"/>
      <c r="DD420" s="194"/>
      <c r="DE420" s="194"/>
      <c r="DF420" s="196"/>
      <c r="DG420" s="198"/>
      <c r="DH420" s="194"/>
      <c r="DI420" s="194"/>
    </row>
    <row r="421" spans="1:113" s="24" customFormat="1" hidden="1" x14ac:dyDescent="0.3">
      <c r="A421" s="172"/>
      <c r="B421" s="172"/>
      <c r="C421" s="172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  <c r="AG421" s="173"/>
      <c r="AH421" s="173"/>
      <c r="AI421" s="173"/>
      <c r="AJ421" s="173"/>
      <c r="AK421" s="173"/>
      <c r="AL421" s="173"/>
      <c r="AM421" s="173"/>
      <c r="AN421" s="173"/>
      <c r="AO421" s="173"/>
      <c r="AP421" s="173"/>
      <c r="AQ421" s="173"/>
      <c r="AR421" s="173"/>
      <c r="AS421" s="172"/>
      <c r="AT421" s="172"/>
      <c r="AU421" s="172"/>
      <c r="AV421" s="172"/>
      <c r="AW421" s="172"/>
      <c r="AX421" s="172"/>
      <c r="AY421" s="172"/>
      <c r="AZ421" s="172"/>
      <c r="BA421" s="172"/>
      <c r="BB421" s="172"/>
      <c r="BC421" s="172"/>
      <c r="BD421" s="172"/>
      <c r="BE421" s="172"/>
      <c r="BF421" s="172"/>
      <c r="BG421" s="172"/>
      <c r="BH421" s="172"/>
      <c r="BI421" s="172"/>
      <c r="BJ421" s="172"/>
      <c r="BK421" s="172"/>
      <c r="BL421" s="172"/>
      <c r="BM421" s="172"/>
      <c r="BN421" s="172"/>
      <c r="BO421" s="172"/>
      <c r="BP421" s="172"/>
      <c r="BQ421" s="172"/>
      <c r="BR421" s="172"/>
      <c r="BS421" s="172"/>
      <c r="BT421" s="172"/>
      <c r="BU421" s="172"/>
      <c r="BV421" s="172"/>
      <c r="BW421" s="172"/>
      <c r="BX421" s="172"/>
      <c r="BY421" s="174"/>
      <c r="BZ421" s="172"/>
      <c r="CA421" s="172"/>
      <c r="CD421" s="194"/>
      <c r="CE421" s="194"/>
      <c r="CF421" s="194"/>
      <c r="CG421" s="194"/>
      <c r="CH421" s="195"/>
      <c r="CI421" s="194"/>
      <c r="CJ421" s="194"/>
      <c r="CK421" s="194"/>
      <c r="CL421" s="196"/>
      <c r="CM421" s="196"/>
      <c r="CN421" s="194"/>
      <c r="CO421" s="197"/>
      <c r="CP421" s="196"/>
      <c r="CQ421" s="196"/>
      <c r="CR421" s="196"/>
      <c r="CS421" s="196"/>
      <c r="CT421" s="196"/>
      <c r="CU421" s="196"/>
      <c r="CV421" s="194"/>
      <c r="CW421" s="194"/>
      <c r="CX421" s="194"/>
      <c r="CY421" s="194"/>
      <c r="CZ421" s="194"/>
      <c r="DA421" s="194"/>
      <c r="DB421" s="194"/>
      <c r="DC421" s="194"/>
      <c r="DD421" s="194"/>
      <c r="DE421" s="194"/>
      <c r="DF421" s="196"/>
      <c r="DG421" s="198"/>
      <c r="DH421" s="194"/>
      <c r="DI421" s="194"/>
    </row>
    <row r="422" spans="1:113" s="24" customFormat="1" hidden="1" x14ac:dyDescent="0.3">
      <c r="A422" s="172"/>
      <c r="B422" s="172"/>
      <c r="C422" s="172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  <c r="AG422" s="173"/>
      <c r="AH422" s="173"/>
      <c r="AI422" s="173"/>
      <c r="AJ422" s="173"/>
      <c r="AK422" s="173"/>
      <c r="AL422" s="173"/>
      <c r="AM422" s="173"/>
      <c r="AN422" s="173"/>
      <c r="AO422" s="173"/>
      <c r="AP422" s="173"/>
      <c r="AQ422" s="173"/>
      <c r="AR422" s="173"/>
      <c r="AS422" s="172"/>
      <c r="AT422" s="172"/>
      <c r="AU422" s="172"/>
      <c r="AV422" s="172"/>
      <c r="AW422" s="172"/>
      <c r="AX422" s="172"/>
      <c r="AY422" s="172"/>
      <c r="AZ422" s="172"/>
      <c r="BA422" s="172"/>
      <c r="BB422" s="172"/>
      <c r="BC422" s="172"/>
      <c r="BD422" s="172"/>
      <c r="BE422" s="172"/>
      <c r="BF422" s="172"/>
      <c r="BG422" s="172"/>
      <c r="BH422" s="172"/>
      <c r="BI422" s="172"/>
      <c r="BJ422" s="172"/>
      <c r="BK422" s="172"/>
      <c r="BL422" s="172"/>
      <c r="BM422" s="172"/>
      <c r="BN422" s="172"/>
      <c r="BO422" s="172"/>
      <c r="BP422" s="172"/>
      <c r="BQ422" s="172"/>
      <c r="BR422" s="172"/>
      <c r="BS422" s="172"/>
      <c r="BT422" s="172"/>
      <c r="BU422" s="172"/>
      <c r="BV422" s="172"/>
      <c r="BW422" s="172"/>
      <c r="BX422" s="172"/>
      <c r="BY422" s="174"/>
      <c r="BZ422" s="172"/>
      <c r="CA422" s="172"/>
      <c r="CD422" s="194"/>
      <c r="CE422" s="194"/>
      <c r="CF422" s="194"/>
      <c r="CG422" s="194"/>
      <c r="CH422" s="195"/>
      <c r="CI422" s="194"/>
      <c r="CJ422" s="194"/>
      <c r="CK422" s="194"/>
      <c r="CL422" s="196"/>
      <c r="CM422" s="196"/>
      <c r="CN422" s="194"/>
      <c r="CO422" s="197"/>
      <c r="CP422" s="196"/>
      <c r="CQ422" s="196"/>
      <c r="CR422" s="196"/>
      <c r="CS422" s="196"/>
      <c r="CT422" s="196"/>
      <c r="CU422" s="196"/>
      <c r="CV422" s="194"/>
      <c r="CW422" s="194"/>
      <c r="CX422" s="194"/>
      <c r="CY422" s="194"/>
      <c r="CZ422" s="194"/>
      <c r="DA422" s="194"/>
      <c r="DB422" s="194"/>
      <c r="DC422" s="194"/>
      <c r="DD422" s="194"/>
      <c r="DE422" s="194"/>
      <c r="DF422" s="196"/>
      <c r="DG422" s="198"/>
      <c r="DH422" s="194"/>
      <c r="DI422" s="194"/>
    </row>
    <row r="423" spans="1:113" s="24" customFormat="1" hidden="1" x14ac:dyDescent="0.3">
      <c r="A423" s="172"/>
      <c r="B423" s="172"/>
      <c r="C423" s="172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  <c r="AG423" s="173"/>
      <c r="AH423" s="173"/>
      <c r="AI423" s="173"/>
      <c r="AJ423" s="173"/>
      <c r="AK423" s="173"/>
      <c r="AL423" s="173"/>
      <c r="AM423" s="173"/>
      <c r="AN423" s="173"/>
      <c r="AO423" s="173"/>
      <c r="AP423" s="173"/>
      <c r="AQ423" s="173"/>
      <c r="AR423" s="173"/>
      <c r="AS423" s="172"/>
      <c r="AT423" s="172"/>
      <c r="AU423" s="172"/>
      <c r="AV423" s="172"/>
      <c r="AW423" s="172"/>
      <c r="AX423" s="172"/>
      <c r="AY423" s="172"/>
      <c r="AZ423" s="172"/>
      <c r="BA423" s="172"/>
      <c r="BB423" s="172"/>
      <c r="BC423" s="172"/>
      <c r="BD423" s="172"/>
      <c r="BE423" s="172"/>
      <c r="BF423" s="172"/>
      <c r="BG423" s="172"/>
      <c r="BH423" s="172"/>
      <c r="BI423" s="172"/>
      <c r="BJ423" s="172"/>
      <c r="BK423" s="172"/>
      <c r="BL423" s="172"/>
      <c r="BM423" s="172"/>
      <c r="BN423" s="172"/>
      <c r="BO423" s="172"/>
      <c r="BP423" s="172"/>
      <c r="BQ423" s="172"/>
      <c r="BR423" s="172"/>
      <c r="BS423" s="172"/>
      <c r="BT423" s="172"/>
      <c r="BU423" s="172"/>
      <c r="BV423" s="172"/>
      <c r="BW423" s="172"/>
      <c r="BX423" s="172"/>
      <c r="BY423" s="174"/>
      <c r="BZ423" s="172"/>
      <c r="CA423" s="172"/>
      <c r="CD423" s="194"/>
      <c r="CE423" s="194"/>
      <c r="CF423" s="194"/>
      <c r="CG423" s="194"/>
      <c r="CH423" s="195"/>
      <c r="CI423" s="194"/>
      <c r="CJ423" s="194"/>
      <c r="CK423" s="194"/>
      <c r="CL423" s="196"/>
      <c r="CM423" s="196"/>
      <c r="CN423" s="194"/>
      <c r="CO423" s="197"/>
      <c r="CP423" s="196"/>
      <c r="CQ423" s="196"/>
      <c r="CR423" s="196"/>
      <c r="CS423" s="196"/>
      <c r="CT423" s="196"/>
      <c r="CU423" s="196"/>
      <c r="CV423" s="194"/>
      <c r="CW423" s="194"/>
      <c r="CX423" s="194"/>
      <c r="CY423" s="194"/>
      <c r="CZ423" s="194"/>
      <c r="DA423" s="194"/>
      <c r="DB423" s="194"/>
      <c r="DC423" s="194"/>
      <c r="DD423" s="194"/>
      <c r="DE423" s="194"/>
      <c r="DF423" s="196"/>
      <c r="DG423" s="198"/>
      <c r="DH423" s="194"/>
      <c r="DI423" s="194"/>
    </row>
    <row r="424" spans="1:113" s="24" customFormat="1" hidden="1" x14ac:dyDescent="0.3">
      <c r="A424" s="172"/>
      <c r="B424" s="172"/>
      <c r="C424" s="172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  <c r="AE424" s="173"/>
      <c r="AF424" s="173"/>
      <c r="AG424" s="173"/>
      <c r="AH424" s="173"/>
      <c r="AI424" s="173"/>
      <c r="AJ424" s="173"/>
      <c r="AK424" s="173"/>
      <c r="AL424" s="173"/>
      <c r="AM424" s="173"/>
      <c r="AN424" s="173"/>
      <c r="AO424" s="173"/>
      <c r="AP424" s="173"/>
      <c r="AQ424" s="173"/>
      <c r="AR424" s="173"/>
      <c r="AS424" s="172"/>
      <c r="AT424" s="172"/>
      <c r="AU424" s="172"/>
      <c r="AV424" s="172"/>
      <c r="AW424" s="172"/>
      <c r="AX424" s="172"/>
      <c r="AY424" s="172"/>
      <c r="AZ424" s="172"/>
      <c r="BA424" s="172"/>
      <c r="BB424" s="172"/>
      <c r="BC424" s="172"/>
      <c r="BD424" s="172"/>
      <c r="BE424" s="172"/>
      <c r="BF424" s="172"/>
      <c r="BG424" s="172"/>
      <c r="BH424" s="172"/>
      <c r="BI424" s="172"/>
      <c r="BJ424" s="172"/>
      <c r="BK424" s="172"/>
      <c r="BL424" s="172"/>
      <c r="BM424" s="172"/>
      <c r="BN424" s="172"/>
      <c r="BO424" s="172"/>
      <c r="BP424" s="172"/>
      <c r="BQ424" s="172"/>
      <c r="BR424" s="172"/>
      <c r="BS424" s="172"/>
      <c r="BT424" s="172"/>
      <c r="BU424" s="172"/>
      <c r="BV424" s="172"/>
      <c r="BW424" s="172"/>
      <c r="BX424" s="172"/>
      <c r="BY424" s="174"/>
      <c r="BZ424" s="172"/>
      <c r="CA424" s="172"/>
      <c r="CD424" s="194"/>
      <c r="CE424" s="194"/>
      <c r="CF424" s="194"/>
      <c r="CG424" s="194"/>
      <c r="CH424" s="195"/>
      <c r="CI424" s="194"/>
      <c r="CJ424" s="194"/>
      <c r="CK424" s="194"/>
      <c r="CL424" s="196"/>
      <c r="CM424" s="196"/>
      <c r="CN424" s="194"/>
      <c r="CO424" s="197"/>
      <c r="CP424" s="196"/>
      <c r="CQ424" s="196"/>
      <c r="CR424" s="196"/>
      <c r="CS424" s="196"/>
      <c r="CT424" s="196"/>
      <c r="CU424" s="196"/>
      <c r="CV424" s="194"/>
      <c r="CW424" s="194"/>
      <c r="CX424" s="194"/>
      <c r="CY424" s="194"/>
      <c r="CZ424" s="194"/>
      <c r="DA424" s="194"/>
      <c r="DB424" s="194"/>
      <c r="DC424" s="194"/>
      <c r="DD424" s="194"/>
      <c r="DE424" s="194"/>
      <c r="DF424" s="196"/>
      <c r="DG424" s="198"/>
      <c r="DH424" s="194"/>
      <c r="DI424" s="194"/>
    </row>
    <row r="425" spans="1:113" s="24" customFormat="1" hidden="1" x14ac:dyDescent="0.3">
      <c r="A425" s="172"/>
      <c r="B425" s="172"/>
      <c r="C425" s="172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  <c r="AE425" s="173"/>
      <c r="AF425" s="173"/>
      <c r="AG425" s="173"/>
      <c r="AH425" s="173"/>
      <c r="AI425" s="173"/>
      <c r="AJ425" s="173"/>
      <c r="AK425" s="173"/>
      <c r="AL425" s="173"/>
      <c r="AM425" s="173"/>
      <c r="AN425" s="173"/>
      <c r="AO425" s="173"/>
      <c r="AP425" s="173"/>
      <c r="AQ425" s="173"/>
      <c r="AR425" s="173"/>
      <c r="AS425" s="172"/>
      <c r="AT425" s="172"/>
      <c r="AU425" s="172"/>
      <c r="AV425" s="172"/>
      <c r="AW425" s="172"/>
      <c r="AX425" s="172"/>
      <c r="AY425" s="172"/>
      <c r="AZ425" s="172"/>
      <c r="BA425" s="172"/>
      <c r="BB425" s="172"/>
      <c r="BC425" s="172"/>
      <c r="BD425" s="172"/>
      <c r="BE425" s="172"/>
      <c r="BF425" s="172"/>
      <c r="BG425" s="172"/>
      <c r="BH425" s="172"/>
      <c r="BI425" s="172"/>
      <c r="BJ425" s="172"/>
      <c r="BK425" s="172"/>
      <c r="BL425" s="172"/>
      <c r="BM425" s="172"/>
      <c r="BN425" s="172"/>
      <c r="BO425" s="172"/>
      <c r="BP425" s="172"/>
      <c r="BQ425" s="172"/>
      <c r="BR425" s="172"/>
      <c r="BS425" s="172"/>
      <c r="BT425" s="172"/>
      <c r="BU425" s="172"/>
      <c r="BV425" s="172"/>
      <c r="BW425" s="172"/>
      <c r="BX425" s="172"/>
      <c r="BY425" s="174"/>
      <c r="BZ425" s="172"/>
      <c r="CA425" s="172"/>
      <c r="CD425" s="194"/>
      <c r="CE425" s="194"/>
      <c r="CF425" s="194"/>
      <c r="CG425" s="194"/>
      <c r="CH425" s="195"/>
      <c r="CI425" s="194"/>
      <c r="CJ425" s="194"/>
      <c r="CK425" s="194"/>
      <c r="CL425" s="196"/>
      <c r="CM425" s="196"/>
      <c r="CN425" s="194"/>
      <c r="CO425" s="197"/>
      <c r="CP425" s="196"/>
      <c r="CQ425" s="196"/>
      <c r="CR425" s="196"/>
      <c r="CS425" s="196"/>
      <c r="CT425" s="196"/>
      <c r="CU425" s="196"/>
      <c r="CV425" s="194"/>
      <c r="CW425" s="194"/>
      <c r="CX425" s="194"/>
      <c r="CY425" s="194"/>
      <c r="CZ425" s="194"/>
      <c r="DA425" s="194"/>
      <c r="DB425" s="194"/>
      <c r="DC425" s="194"/>
      <c r="DD425" s="194"/>
      <c r="DE425" s="194"/>
      <c r="DF425" s="196"/>
      <c r="DG425" s="198"/>
      <c r="DH425" s="194"/>
      <c r="DI425" s="194"/>
    </row>
    <row r="426" spans="1:113" s="24" customFormat="1" hidden="1" x14ac:dyDescent="0.3">
      <c r="A426" s="172"/>
      <c r="B426" s="172"/>
      <c r="C426" s="172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  <c r="AE426" s="173"/>
      <c r="AF426" s="173"/>
      <c r="AG426" s="173"/>
      <c r="AH426" s="173"/>
      <c r="AI426" s="173"/>
      <c r="AJ426" s="173"/>
      <c r="AK426" s="173"/>
      <c r="AL426" s="173"/>
      <c r="AM426" s="173"/>
      <c r="AN426" s="173"/>
      <c r="AO426" s="173"/>
      <c r="AP426" s="173"/>
      <c r="AQ426" s="173"/>
      <c r="AR426" s="173"/>
      <c r="AS426" s="172"/>
      <c r="AT426" s="172"/>
      <c r="AU426" s="172"/>
      <c r="AV426" s="172"/>
      <c r="AW426" s="172"/>
      <c r="AX426" s="172"/>
      <c r="AY426" s="172"/>
      <c r="AZ426" s="172"/>
      <c r="BA426" s="172"/>
      <c r="BB426" s="172"/>
      <c r="BC426" s="172"/>
      <c r="BD426" s="172"/>
      <c r="BE426" s="172"/>
      <c r="BF426" s="172"/>
      <c r="BG426" s="172"/>
      <c r="BH426" s="172"/>
      <c r="BI426" s="172"/>
      <c r="BJ426" s="172"/>
      <c r="BK426" s="172"/>
      <c r="BL426" s="172"/>
      <c r="BM426" s="172"/>
      <c r="BN426" s="172"/>
      <c r="BO426" s="172"/>
      <c r="BP426" s="172"/>
      <c r="BQ426" s="172"/>
      <c r="BR426" s="172"/>
      <c r="BS426" s="172"/>
      <c r="BT426" s="172"/>
      <c r="BU426" s="172"/>
      <c r="BV426" s="172"/>
      <c r="BW426" s="172"/>
      <c r="BX426" s="172"/>
      <c r="BY426" s="174"/>
      <c r="BZ426" s="172"/>
      <c r="CA426" s="172"/>
      <c r="CD426" s="194"/>
      <c r="CE426" s="194"/>
      <c r="CF426" s="194"/>
      <c r="CG426" s="194"/>
      <c r="CH426" s="195"/>
      <c r="CI426" s="194"/>
      <c r="CJ426" s="194"/>
      <c r="CK426" s="194"/>
      <c r="CL426" s="196"/>
      <c r="CM426" s="196"/>
      <c r="CN426" s="194"/>
      <c r="CO426" s="197"/>
      <c r="CP426" s="196"/>
      <c r="CQ426" s="196"/>
      <c r="CR426" s="196"/>
      <c r="CS426" s="196"/>
      <c r="CT426" s="196"/>
      <c r="CU426" s="196"/>
      <c r="CV426" s="194"/>
      <c r="CW426" s="194"/>
      <c r="CX426" s="194"/>
      <c r="CY426" s="194"/>
      <c r="CZ426" s="194"/>
      <c r="DA426" s="194"/>
      <c r="DB426" s="194"/>
      <c r="DC426" s="194"/>
      <c r="DD426" s="194"/>
      <c r="DE426" s="194"/>
      <c r="DF426" s="196"/>
      <c r="DG426" s="198"/>
      <c r="DH426" s="194"/>
      <c r="DI426" s="194"/>
    </row>
    <row r="427" spans="1:113" s="24" customFormat="1" hidden="1" x14ac:dyDescent="0.3">
      <c r="A427" s="172"/>
      <c r="B427" s="172"/>
      <c r="C427" s="172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  <c r="AE427" s="173"/>
      <c r="AF427" s="173"/>
      <c r="AG427" s="173"/>
      <c r="AH427" s="173"/>
      <c r="AI427" s="173"/>
      <c r="AJ427" s="173"/>
      <c r="AK427" s="173"/>
      <c r="AL427" s="173"/>
      <c r="AM427" s="173"/>
      <c r="AN427" s="173"/>
      <c r="AO427" s="173"/>
      <c r="AP427" s="173"/>
      <c r="AQ427" s="173"/>
      <c r="AR427" s="173"/>
      <c r="AS427" s="172"/>
      <c r="AT427" s="172"/>
      <c r="AU427" s="172"/>
      <c r="AV427" s="172"/>
      <c r="AW427" s="172"/>
      <c r="AX427" s="172"/>
      <c r="AY427" s="172"/>
      <c r="AZ427" s="172"/>
      <c r="BA427" s="172"/>
      <c r="BB427" s="172"/>
      <c r="BC427" s="172"/>
      <c r="BD427" s="172"/>
      <c r="BE427" s="172"/>
      <c r="BF427" s="172"/>
      <c r="BG427" s="172"/>
      <c r="BH427" s="172"/>
      <c r="BI427" s="172"/>
      <c r="BJ427" s="172"/>
      <c r="BK427" s="172"/>
      <c r="BL427" s="172"/>
      <c r="BM427" s="172"/>
      <c r="BN427" s="172"/>
      <c r="BO427" s="172"/>
      <c r="BP427" s="172"/>
      <c r="BQ427" s="172"/>
      <c r="BR427" s="172"/>
      <c r="BS427" s="172"/>
      <c r="BT427" s="172"/>
      <c r="BU427" s="172"/>
      <c r="BV427" s="172"/>
      <c r="BW427" s="172"/>
      <c r="BX427" s="172"/>
      <c r="BY427" s="174"/>
      <c r="BZ427" s="172"/>
      <c r="CA427" s="172"/>
      <c r="CD427" s="194"/>
      <c r="CE427" s="194"/>
      <c r="CF427" s="194"/>
      <c r="CG427" s="194"/>
      <c r="CH427" s="195"/>
      <c r="CI427" s="194"/>
      <c r="CJ427" s="194"/>
      <c r="CK427" s="194"/>
      <c r="CL427" s="196"/>
      <c r="CM427" s="196"/>
      <c r="CN427" s="194"/>
      <c r="CO427" s="197"/>
      <c r="CP427" s="196"/>
      <c r="CQ427" s="196"/>
      <c r="CR427" s="196"/>
      <c r="CS427" s="196"/>
      <c r="CT427" s="196"/>
      <c r="CU427" s="196"/>
      <c r="CV427" s="194"/>
      <c r="CW427" s="194"/>
      <c r="CX427" s="194"/>
      <c r="CY427" s="194"/>
      <c r="CZ427" s="194"/>
      <c r="DA427" s="194"/>
      <c r="DB427" s="194"/>
      <c r="DC427" s="194"/>
      <c r="DD427" s="194"/>
      <c r="DE427" s="194"/>
      <c r="DF427" s="196"/>
      <c r="DG427" s="198"/>
      <c r="DH427" s="194"/>
      <c r="DI427" s="194"/>
    </row>
    <row r="428" spans="1:113" s="24" customFormat="1" hidden="1" x14ac:dyDescent="0.3">
      <c r="A428" s="172"/>
      <c r="B428" s="172"/>
      <c r="C428" s="172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  <c r="AE428" s="173"/>
      <c r="AF428" s="173"/>
      <c r="AG428" s="173"/>
      <c r="AH428" s="173"/>
      <c r="AI428" s="173"/>
      <c r="AJ428" s="173"/>
      <c r="AK428" s="173"/>
      <c r="AL428" s="173"/>
      <c r="AM428" s="173"/>
      <c r="AN428" s="173"/>
      <c r="AO428" s="173"/>
      <c r="AP428" s="173"/>
      <c r="AQ428" s="173"/>
      <c r="AR428" s="173"/>
      <c r="AS428" s="172"/>
      <c r="AT428" s="172"/>
      <c r="AU428" s="172"/>
      <c r="AV428" s="172"/>
      <c r="AW428" s="172"/>
      <c r="AX428" s="172"/>
      <c r="AY428" s="172"/>
      <c r="AZ428" s="172"/>
      <c r="BA428" s="172"/>
      <c r="BB428" s="172"/>
      <c r="BC428" s="172"/>
      <c r="BD428" s="172"/>
      <c r="BE428" s="172"/>
      <c r="BF428" s="172"/>
      <c r="BG428" s="172"/>
      <c r="BH428" s="172"/>
      <c r="BI428" s="172"/>
      <c r="BJ428" s="172"/>
      <c r="BK428" s="172"/>
      <c r="BL428" s="172"/>
      <c r="BM428" s="172"/>
      <c r="BN428" s="172"/>
      <c r="BO428" s="172"/>
      <c r="BP428" s="172"/>
      <c r="BQ428" s="172"/>
      <c r="BR428" s="172"/>
      <c r="BS428" s="172"/>
      <c r="BT428" s="172"/>
      <c r="BU428" s="172"/>
      <c r="BV428" s="172"/>
      <c r="BW428" s="172"/>
      <c r="BX428" s="172"/>
      <c r="BY428" s="174"/>
      <c r="BZ428" s="172"/>
      <c r="CA428" s="172"/>
      <c r="CD428" s="194"/>
      <c r="CE428" s="194"/>
      <c r="CF428" s="194"/>
      <c r="CG428" s="194"/>
      <c r="CH428" s="195"/>
      <c r="CI428" s="194"/>
      <c r="CJ428" s="194"/>
      <c r="CK428" s="194"/>
      <c r="CL428" s="196"/>
      <c r="CM428" s="196"/>
      <c r="CN428" s="194"/>
      <c r="CO428" s="197"/>
      <c r="CP428" s="196"/>
      <c r="CQ428" s="196"/>
      <c r="CR428" s="196"/>
      <c r="CS428" s="196"/>
      <c r="CT428" s="196"/>
      <c r="CU428" s="196"/>
      <c r="CV428" s="194"/>
      <c r="CW428" s="194"/>
      <c r="CX428" s="194"/>
      <c r="CY428" s="194"/>
      <c r="CZ428" s="194"/>
      <c r="DA428" s="194"/>
      <c r="DB428" s="194"/>
      <c r="DC428" s="194"/>
      <c r="DD428" s="194"/>
      <c r="DE428" s="194"/>
      <c r="DF428" s="196"/>
      <c r="DG428" s="198"/>
      <c r="DH428" s="194"/>
      <c r="DI428" s="194"/>
    </row>
    <row r="429" spans="1:113" s="24" customFormat="1" hidden="1" x14ac:dyDescent="0.3">
      <c r="A429" s="172"/>
      <c r="B429" s="172"/>
      <c r="C429" s="172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  <c r="AE429" s="173"/>
      <c r="AF429" s="173"/>
      <c r="AG429" s="173"/>
      <c r="AH429" s="173"/>
      <c r="AI429" s="173"/>
      <c r="AJ429" s="173"/>
      <c r="AK429" s="173"/>
      <c r="AL429" s="173"/>
      <c r="AM429" s="173"/>
      <c r="AN429" s="173"/>
      <c r="AO429" s="173"/>
      <c r="AP429" s="173"/>
      <c r="AQ429" s="173"/>
      <c r="AR429" s="173"/>
      <c r="AS429" s="172"/>
      <c r="AT429" s="172"/>
      <c r="AU429" s="172"/>
      <c r="AV429" s="172"/>
      <c r="AW429" s="172"/>
      <c r="AX429" s="172"/>
      <c r="AY429" s="172"/>
      <c r="AZ429" s="172"/>
      <c r="BA429" s="172"/>
      <c r="BB429" s="172"/>
      <c r="BC429" s="172"/>
      <c r="BD429" s="172"/>
      <c r="BE429" s="172"/>
      <c r="BF429" s="172"/>
      <c r="BG429" s="172"/>
      <c r="BH429" s="172"/>
      <c r="BI429" s="172"/>
      <c r="BJ429" s="172"/>
      <c r="BK429" s="172"/>
      <c r="BL429" s="172"/>
      <c r="BM429" s="172"/>
      <c r="BN429" s="172"/>
      <c r="BO429" s="172"/>
      <c r="BP429" s="172"/>
      <c r="BQ429" s="172"/>
      <c r="BR429" s="172"/>
      <c r="BS429" s="172"/>
      <c r="BT429" s="172"/>
      <c r="BU429" s="172"/>
      <c r="BV429" s="172"/>
      <c r="BW429" s="172"/>
      <c r="BX429" s="172"/>
      <c r="BY429" s="174"/>
      <c r="BZ429" s="172"/>
      <c r="CA429" s="172"/>
      <c r="CD429" s="194"/>
      <c r="CE429" s="194"/>
      <c r="CF429" s="194"/>
      <c r="CG429" s="194"/>
      <c r="CH429" s="195"/>
      <c r="CI429" s="194"/>
      <c r="CJ429" s="194"/>
      <c r="CK429" s="194"/>
      <c r="CL429" s="196"/>
      <c r="CM429" s="196"/>
      <c r="CN429" s="194"/>
      <c r="CO429" s="197"/>
      <c r="CP429" s="196"/>
      <c r="CQ429" s="196"/>
      <c r="CR429" s="196"/>
      <c r="CS429" s="196"/>
      <c r="CT429" s="196"/>
      <c r="CU429" s="196"/>
      <c r="CV429" s="194"/>
      <c r="CW429" s="194"/>
      <c r="CX429" s="194"/>
      <c r="CY429" s="194"/>
      <c r="CZ429" s="194"/>
      <c r="DA429" s="194"/>
      <c r="DB429" s="194"/>
      <c r="DC429" s="194"/>
      <c r="DD429" s="194"/>
      <c r="DE429" s="194"/>
      <c r="DF429" s="196"/>
      <c r="DG429" s="198"/>
      <c r="DH429" s="194"/>
      <c r="DI429" s="194"/>
    </row>
    <row r="430" spans="1:113" s="24" customFormat="1" hidden="1" x14ac:dyDescent="0.3">
      <c r="A430" s="172"/>
      <c r="B430" s="172"/>
      <c r="C430" s="172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  <c r="AE430" s="173"/>
      <c r="AF430" s="173"/>
      <c r="AG430" s="173"/>
      <c r="AH430" s="173"/>
      <c r="AI430" s="173"/>
      <c r="AJ430" s="173"/>
      <c r="AK430" s="173"/>
      <c r="AL430" s="173"/>
      <c r="AM430" s="173"/>
      <c r="AN430" s="173"/>
      <c r="AO430" s="173"/>
      <c r="AP430" s="173"/>
      <c r="AQ430" s="173"/>
      <c r="AR430" s="173"/>
      <c r="AS430" s="172"/>
      <c r="AT430" s="172"/>
      <c r="AU430" s="172"/>
      <c r="AV430" s="172"/>
      <c r="AW430" s="172"/>
      <c r="AX430" s="172"/>
      <c r="AY430" s="172"/>
      <c r="AZ430" s="172"/>
      <c r="BA430" s="172"/>
      <c r="BB430" s="172"/>
      <c r="BC430" s="172"/>
      <c r="BD430" s="172"/>
      <c r="BE430" s="172"/>
      <c r="BF430" s="172"/>
      <c r="BG430" s="172"/>
      <c r="BH430" s="172"/>
      <c r="BI430" s="172"/>
      <c r="BJ430" s="172"/>
      <c r="BK430" s="172"/>
      <c r="BL430" s="172"/>
      <c r="BM430" s="172"/>
      <c r="BN430" s="172"/>
      <c r="BO430" s="172"/>
      <c r="BP430" s="172"/>
      <c r="BQ430" s="172"/>
      <c r="BR430" s="172"/>
      <c r="BS430" s="172"/>
      <c r="BT430" s="172"/>
      <c r="BU430" s="172"/>
      <c r="BV430" s="172"/>
      <c r="BW430" s="172"/>
      <c r="BX430" s="172"/>
      <c r="BY430" s="174"/>
      <c r="BZ430" s="172"/>
      <c r="CA430" s="172"/>
      <c r="CD430" s="194"/>
      <c r="CE430" s="194"/>
      <c r="CF430" s="194"/>
      <c r="CG430" s="194"/>
      <c r="CH430" s="195"/>
      <c r="CI430" s="194"/>
      <c r="CJ430" s="194"/>
      <c r="CK430" s="194"/>
      <c r="CL430" s="196"/>
      <c r="CM430" s="196"/>
      <c r="CN430" s="194"/>
      <c r="CO430" s="197"/>
      <c r="CP430" s="196"/>
      <c r="CQ430" s="196"/>
      <c r="CR430" s="196"/>
      <c r="CS430" s="196"/>
      <c r="CT430" s="196"/>
      <c r="CU430" s="196"/>
      <c r="CV430" s="194"/>
      <c r="CW430" s="194"/>
      <c r="CX430" s="194"/>
      <c r="CY430" s="194"/>
      <c r="CZ430" s="194"/>
      <c r="DA430" s="194"/>
      <c r="DB430" s="194"/>
      <c r="DC430" s="194"/>
      <c r="DD430" s="194"/>
      <c r="DE430" s="194"/>
      <c r="DF430" s="196"/>
      <c r="DG430" s="198"/>
      <c r="DH430" s="194"/>
      <c r="DI430" s="194"/>
    </row>
    <row r="431" spans="1:113" s="24" customFormat="1" hidden="1" x14ac:dyDescent="0.3">
      <c r="A431" s="172"/>
      <c r="B431" s="172"/>
      <c r="C431" s="172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  <c r="AE431" s="173"/>
      <c r="AF431" s="173"/>
      <c r="AG431" s="173"/>
      <c r="AH431" s="173"/>
      <c r="AI431" s="173"/>
      <c r="AJ431" s="173"/>
      <c r="AK431" s="173"/>
      <c r="AL431" s="173"/>
      <c r="AM431" s="173"/>
      <c r="AN431" s="173"/>
      <c r="AO431" s="173"/>
      <c r="AP431" s="173"/>
      <c r="AQ431" s="173"/>
      <c r="AR431" s="173"/>
      <c r="AS431" s="172"/>
      <c r="AT431" s="172"/>
      <c r="AU431" s="172"/>
      <c r="AV431" s="172"/>
      <c r="AW431" s="172"/>
      <c r="AX431" s="172"/>
      <c r="AY431" s="172"/>
      <c r="AZ431" s="172"/>
      <c r="BA431" s="172"/>
      <c r="BB431" s="172"/>
      <c r="BC431" s="172"/>
      <c r="BD431" s="172"/>
      <c r="BE431" s="172"/>
      <c r="BF431" s="172"/>
      <c r="BG431" s="172"/>
      <c r="BH431" s="172"/>
      <c r="BI431" s="172"/>
      <c r="BJ431" s="172"/>
      <c r="BK431" s="172"/>
      <c r="BL431" s="172"/>
      <c r="BM431" s="172"/>
      <c r="BN431" s="172"/>
      <c r="BO431" s="172"/>
      <c r="BP431" s="172"/>
      <c r="BQ431" s="172"/>
      <c r="BR431" s="172"/>
      <c r="BS431" s="172"/>
      <c r="BT431" s="172"/>
      <c r="BU431" s="172"/>
      <c r="BV431" s="172"/>
      <c r="BW431" s="172"/>
      <c r="BX431" s="172"/>
      <c r="BY431" s="174"/>
      <c r="BZ431" s="172"/>
      <c r="CA431" s="172"/>
      <c r="CD431" s="194"/>
      <c r="CE431" s="194"/>
      <c r="CF431" s="194"/>
      <c r="CG431" s="194"/>
      <c r="CH431" s="195"/>
      <c r="CI431" s="194"/>
      <c r="CJ431" s="194"/>
      <c r="CK431" s="194"/>
      <c r="CL431" s="196"/>
      <c r="CM431" s="196"/>
      <c r="CN431" s="194"/>
      <c r="CO431" s="197"/>
      <c r="CP431" s="196"/>
      <c r="CQ431" s="196"/>
      <c r="CR431" s="196"/>
      <c r="CS431" s="196"/>
      <c r="CT431" s="196"/>
      <c r="CU431" s="196"/>
      <c r="CV431" s="194"/>
      <c r="CW431" s="194"/>
      <c r="CX431" s="194"/>
      <c r="CY431" s="194"/>
      <c r="CZ431" s="194"/>
      <c r="DA431" s="194"/>
      <c r="DB431" s="194"/>
      <c r="DC431" s="194"/>
      <c r="DD431" s="194"/>
      <c r="DE431" s="194"/>
      <c r="DF431" s="196"/>
      <c r="DG431" s="198"/>
      <c r="DH431" s="194"/>
      <c r="DI431" s="194"/>
    </row>
    <row r="432" spans="1:113" s="24" customFormat="1" hidden="1" x14ac:dyDescent="0.3">
      <c r="A432" s="172"/>
      <c r="B432" s="172"/>
      <c r="C432" s="172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  <c r="AE432" s="173"/>
      <c r="AF432" s="173"/>
      <c r="AG432" s="173"/>
      <c r="AH432" s="173"/>
      <c r="AI432" s="173"/>
      <c r="AJ432" s="173"/>
      <c r="AK432" s="173"/>
      <c r="AL432" s="173"/>
      <c r="AM432" s="173"/>
      <c r="AN432" s="173"/>
      <c r="AO432" s="173"/>
      <c r="AP432" s="173"/>
      <c r="AQ432" s="173"/>
      <c r="AR432" s="173"/>
      <c r="AS432" s="172"/>
      <c r="AT432" s="172"/>
      <c r="AU432" s="172"/>
      <c r="AV432" s="172"/>
      <c r="AW432" s="172"/>
      <c r="AX432" s="172"/>
      <c r="AY432" s="172"/>
      <c r="AZ432" s="172"/>
      <c r="BA432" s="172"/>
      <c r="BB432" s="172"/>
      <c r="BC432" s="172"/>
      <c r="BD432" s="172"/>
      <c r="BE432" s="172"/>
      <c r="BF432" s="172"/>
      <c r="BG432" s="172"/>
      <c r="BH432" s="172"/>
      <c r="BI432" s="172"/>
      <c r="BJ432" s="172"/>
      <c r="BK432" s="172"/>
      <c r="BL432" s="172"/>
      <c r="BM432" s="172"/>
      <c r="BN432" s="172"/>
      <c r="BO432" s="172"/>
      <c r="BP432" s="172"/>
      <c r="BQ432" s="172"/>
      <c r="BR432" s="172"/>
      <c r="BS432" s="172"/>
      <c r="BT432" s="172"/>
      <c r="BU432" s="172"/>
      <c r="BV432" s="172"/>
      <c r="BW432" s="172"/>
      <c r="BX432" s="172"/>
      <c r="BY432" s="174"/>
      <c r="BZ432" s="172"/>
      <c r="CA432" s="172"/>
      <c r="CD432" s="194"/>
      <c r="CE432" s="194"/>
      <c r="CF432" s="194"/>
      <c r="CG432" s="194"/>
      <c r="CH432" s="195"/>
      <c r="CI432" s="194"/>
      <c r="CJ432" s="194"/>
      <c r="CK432" s="194"/>
      <c r="CL432" s="196"/>
      <c r="CM432" s="196"/>
      <c r="CN432" s="194"/>
      <c r="CO432" s="197"/>
      <c r="CP432" s="196"/>
      <c r="CQ432" s="196"/>
      <c r="CR432" s="196"/>
      <c r="CS432" s="196"/>
      <c r="CT432" s="196"/>
      <c r="CU432" s="196"/>
      <c r="CV432" s="194"/>
      <c r="CW432" s="194"/>
      <c r="CX432" s="194"/>
      <c r="CY432" s="194"/>
      <c r="CZ432" s="194"/>
      <c r="DA432" s="194"/>
      <c r="DB432" s="194"/>
      <c r="DC432" s="194"/>
      <c r="DD432" s="194"/>
      <c r="DE432" s="194"/>
      <c r="DF432" s="196"/>
      <c r="DG432" s="198"/>
      <c r="DH432" s="194"/>
      <c r="DI432" s="194"/>
    </row>
    <row r="433" spans="1:113" s="24" customFormat="1" hidden="1" x14ac:dyDescent="0.3">
      <c r="A433" s="172"/>
      <c r="B433" s="172"/>
      <c r="C433" s="172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  <c r="AE433" s="173"/>
      <c r="AF433" s="173"/>
      <c r="AG433" s="173"/>
      <c r="AH433" s="173"/>
      <c r="AI433" s="173"/>
      <c r="AJ433" s="173"/>
      <c r="AK433" s="173"/>
      <c r="AL433" s="173"/>
      <c r="AM433" s="173"/>
      <c r="AN433" s="173"/>
      <c r="AO433" s="173"/>
      <c r="AP433" s="173"/>
      <c r="AQ433" s="173"/>
      <c r="AR433" s="173"/>
      <c r="AS433" s="172"/>
      <c r="AT433" s="172"/>
      <c r="AU433" s="172"/>
      <c r="AV433" s="172"/>
      <c r="AW433" s="172"/>
      <c r="AX433" s="172"/>
      <c r="AY433" s="172"/>
      <c r="AZ433" s="172"/>
      <c r="BA433" s="172"/>
      <c r="BB433" s="172"/>
      <c r="BC433" s="172"/>
      <c r="BD433" s="172"/>
      <c r="BE433" s="172"/>
      <c r="BF433" s="172"/>
      <c r="BG433" s="172"/>
      <c r="BH433" s="172"/>
      <c r="BI433" s="172"/>
      <c r="BJ433" s="172"/>
      <c r="BK433" s="172"/>
      <c r="BL433" s="172"/>
      <c r="BM433" s="172"/>
      <c r="BN433" s="172"/>
      <c r="BO433" s="172"/>
      <c r="BP433" s="172"/>
      <c r="BQ433" s="172"/>
      <c r="BR433" s="172"/>
      <c r="BS433" s="172"/>
      <c r="BT433" s="172"/>
      <c r="BU433" s="172"/>
      <c r="BV433" s="172"/>
      <c r="BW433" s="172"/>
      <c r="BX433" s="172"/>
      <c r="BY433" s="174"/>
      <c r="BZ433" s="172"/>
      <c r="CA433" s="172"/>
      <c r="CD433" s="194"/>
      <c r="CE433" s="194"/>
      <c r="CF433" s="194"/>
      <c r="CG433" s="194"/>
      <c r="CH433" s="195"/>
      <c r="CI433" s="194"/>
      <c r="CJ433" s="194"/>
      <c r="CK433" s="194"/>
      <c r="CL433" s="196"/>
      <c r="CM433" s="196"/>
      <c r="CN433" s="194"/>
      <c r="CO433" s="197"/>
      <c r="CP433" s="196"/>
      <c r="CQ433" s="196"/>
      <c r="CR433" s="196"/>
      <c r="CS433" s="196"/>
      <c r="CT433" s="196"/>
      <c r="CU433" s="196"/>
      <c r="CV433" s="194"/>
      <c r="CW433" s="194"/>
      <c r="CX433" s="194"/>
      <c r="CY433" s="194"/>
      <c r="CZ433" s="194"/>
      <c r="DA433" s="194"/>
      <c r="DB433" s="194"/>
      <c r="DC433" s="194"/>
      <c r="DD433" s="194"/>
      <c r="DE433" s="194"/>
      <c r="DF433" s="196"/>
      <c r="DG433" s="198"/>
      <c r="DH433" s="194"/>
      <c r="DI433" s="194"/>
    </row>
    <row r="434" spans="1:113" s="24" customFormat="1" hidden="1" x14ac:dyDescent="0.3">
      <c r="A434" s="172"/>
      <c r="B434" s="172"/>
      <c r="C434" s="172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  <c r="AE434" s="173"/>
      <c r="AF434" s="173"/>
      <c r="AG434" s="173"/>
      <c r="AH434" s="173"/>
      <c r="AI434" s="173"/>
      <c r="AJ434" s="173"/>
      <c r="AK434" s="173"/>
      <c r="AL434" s="173"/>
      <c r="AM434" s="173"/>
      <c r="AN434" s="173"/>
      <c r="AO434" s="173"/>
      <c r="AP434" s="173"/>
      <c r="AQ434" s="173"/>
      <c r="AR434" s="173"/>
      <c r="AS434" s="172"/>
      <c r="AT434" s="172"/>
      <c r="AU434" s="172"/>
      <c r="AV434" s="172"/>
      <c r="AW434" s="172"/>
      <c r="AX434" s="172"/>
      <c r="AY434" s="172"/>
      <c r="AZ434" s="172"/>
      <c r="BA434" s="172"/>
      <c r="BB434" s="172"/>
      <c r="BC434" s="172"/>
      <c r="BD434" s="172"/>
      <c r="BE434" s="172"/>
      <c r="BF434" s="172"/>
      <c r="BG434" s="172"/>
      <c r="BH434" s="172"/>
      <c r="BI434" s="172"/>
      <c r="BJ434" s="172"/>
      <c r="BK434" s="172"/>
      <c r="BL434" s="172"/>
      <c r="BM434" s="172"/>
      <c r="BN434" s="172"/>
      <c r="BO434" s="172"/>
      <c r="BP434" s="172"/>
      <c r="BQ434" s="172"/>
      <c r="BR434" s="172"/>
      <c r="BS434" s="172"/>
      <c r="BT434" s="172"/>
      <c r="BU434" s="172"/>
      <c r="BV434" s="172"/>
      <c r="BW434" s="172"/>
      <c r="BX434" s="172"/>
      <c r="BY434" s="174"/>
      <c r="BZ434" s="172"/>
      <c r="CA434" s="172"/>
      <c r="CD434" s="194"/>
      <c r="CE434" s="194"/>
      <c r="CF434" s="194"/>
      <c r="CG434" s="194"/>
      <c r="CH434" s="195"/>
      <c r="CI434" s="194"/>
      <c r="CJ434" s="194"/>
      <c r="CK434" s="194"/>
      <c r="CL434" s="196"/>
      <c r="CM434" s="196"/>
      <c r="CN434" s="194"/>
      <c r="CO434" s="197"/>
      <c r="CP434" s="196"/>
      <c r="CQ434" s="196"/>
      <c r="CR434" s="196"/>
      <c r="CS434" s="196"/>
      <c r="CT434" s="196"/>
      <c r="CU434" s="196"/>
      <c r="CV434" s="194"/>
      <c r="CW434" s="194"/>
      <c r="CX434" s="194"/>
      <c r="CY434" s="194"/>
      <c r="CZ434" s="194"/>
      <c r="DA434" s="194"/>
      <c r="DB434" s="194"/>
      <c r="DC434" s="194"/>
      <c r="DD434" s="194"/>
      <c r="DE434" s="194"/>
      <c r="DF434" s="196"/>
      <c r="DG434" s="198"/>
      <c r="DH434" s="194"/>
      <c r="DI434" s="194"/>
    </row>
    <row r="435" spans="1:113" s="24" customFormat="1" hidden="1" x14ac:dyDescent="0.3">
      <c r="A435" s="172"/>
      <c r="B435" s="172"/>
      <c r="C435" s="172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  <c r="AE435" s="173"/>
      <c r="AF435" s="173"/>
      <c r="AG435" s="173"/>
      <c r="AH435" s="173"/>
      <c r="AI435" s="173"/>
      <c r="AJ435" s="173"/>
      <c r="AK435" s="173"/>
      <c r="AL435" s="173"/>
      <c r="AM435" s="173"/>
      <c r="AN435" s="173"/>
      <c r="AO435" s="173"/>
      <c r="AP435" s="173"/>
      <c r="AQ435" s="173"/>
      <c r="AR435" s="173"/>
      <c r="AS435" s="172"/>
      <c r="AT435" s="172"/>
      <c r="AU435" s="172"/>
      <c r="AV435" s="172"/>
      <c r="AW435" s="172"/>
      <c r="AX435" s="172"/>
      <c r="AY435" s="172"/>
      <c r="AZ435" s="172"/>
      <c r="BA435" s="172"/>
      <c r="BB435" s="172"/>
      <c r="BC435" s="172"/>
      <c r="BD435" s="172"/>
      <c r="BE435" s="172"/>
      <c r="BF435" s="172"/>
      <c r="BG435" s="172"/>
      <c r="BH435" s="172"/>
      <c r="BI435" s="172"/>
      <c r="BJ435" s="172"/>
      <c r="BK435" s="172"/>
      <c r="BL435" s="172"/>
      <c r="BM435" s="172"/>
      <c r="BN435" s="172"/>
      <c r="BO435" s="172"/>
      <c r="BP435" s="172"/>
      <c r="BQ435" s="172"/>
      <c r="BR435" s="172"/>
      <c r="BS435" s="172"/>
      <c r="BT435" s="172"/>
      <c r="BU435" s="172"/>
      <c r="BV435" s="172"/>
      <c r="BW435" s="172"/>
      <c r="BX435" s="172"/>
      <c r="BY435" s="174"/>
      <c r="BZ435" s="172"/>
      <c r="CA435" s="172"/>
      <c r="CD435" s="194"/>
      <c r="CE435" s="194"/>
      <c r="CF435" s="194"/>
      <c r="CG435" s="194"/>
      <c r="CH435" s="195"/>
      <c r="CI435" s="194"/>
      <c r="CJ435" s="194"/>
      <c r="CK435" s="194"/>
      <c r="CL435" s="196"/>
      <c r="CM435" s="196"/>
      <c r="CN435" s="194"/>
      <c r="CO435" s="197"/>
      <c r="CP435" s="196"/>
      <c r="CQ435" s="196"/>
      <c r="CR435" s="196"/>
      <c r="CS435" s="196"/>
      <c r="CT435" s="196"/>
      <c r="CU435" s="196"/>
      <c r="CV435" s="194"/>
      <c r="CW435" s="194"/>
      <c r="CX435" s="194"/>
      <c r="CY435" s="194"/>
      <c r="CZ435" s="194"/>
      <c r="DA435" s="194"/>
      <c r="DB435" s="194"/>
      <c r="DC435" s="194"/>
      <c r="DD435" s="194"/>
      <c r="DE435" s="194"/>
      <c r="DF435" s="196"/>
      <c r="DG435" s="198"/>
      <c r="DH435" s="194"/>
      <c r="DI435" s="194"/>
    </row>
    <row r="436" spans="1:113" s="24" customFormat="1" hidden="1" x14ac:dyDescent="0.3">
      <c r="A436" s="172"/>
      <c r="B436" s="172"/>
      <c r="C436" s="172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  <c r="AE436" s="173"/>
      <c r="AF436" s="173"/>
      <c r="AG436" s="173"/>
      <c r="AH436" s="173"/>
      <c r="AI436" s="173"/>
      <c r="AJ436" s="173"/>
      <c r="AK436" s="173"/>
      <c r="AL436" s="173"/>
      <c r="AM436" s="173"/>
      <c r="AN436" s="173"/>
      <c r="AO436" s="173"/>
      <c r="AP436" s="173"/>
      <c r="AQ436" s="173"/>
      <c r="AR436" s="173"/>
      <c r="AS436" s="172"/>
      <c r="AT436" s="172"/>
      <c r="AU436" s="172"/>
      <c r="AV436" s="172"/>
      <c r="AW436" s="172"/>
      <c r="AX436" s="172"/>
      <c r="AY436" s="172"/>
      <c r="AZ436" s="172"/>
      <c r="BA436" s="172"/>
      <c r="BB436" s="172"/>
      <c r="BC436" s="172"/>
      <c r="BD436" s="172"/>
      <c r="BE436" s="172"/>
      <c r="BF436" s="172"/>
      <c r="BG436" s="172"/>
      <c r="BH436" s="172"/>
      <c r="BI436" s="172"/>
      <c r="BJ436" s="172"/>
      <c r="BK436" s="172"/>
      <c r="BL436" s="172"/>
      <c r="BM436" s="172"/>
      <c r="BN436" s="172"/>
      <c r="BO436" s="172"/>
      <c r="BP436" s="172"/>
      <c r="BQ436" s="172"/>
      <c r="BR436" s="172"/>
      <c r="BS436" s="172"/>
      <c r="BT436" s="172"/>
      <c r="BU436" s="172"/>
      <c r="BV436" s="172"/>
      <c r="BW436" s="172"/>
      <c r="BX436" s="172"/>
      <c r="BY436" s="174"/>
      <c r="BZ436" s="172"/>
      <c r="CA436" s="172"/>
      <c r="CD436" s="194"/>
      <c r="CE436" s="194"/>
      <c r="CF436" s="194"/>
      <c r="CG436" s="194"/>
      <c r="CH436" s="195"/>
      <c r="CI436" s="194"/>
      <c r="CJ436" s="194"/>
      <c r="CK436" s="194"/>
      <c r="CL436" s="196"/>
      <c r="CM436" s="196"/>
      <c r="CN436" s="194"/>
      <c r="CO436" s="197"/>
      <c r="CP436" s="196"/>
      <c r="CQ436" s="196"/>
      <c r="CR436" s="196"/>
      <c r="CS436" s="196"/>
      <c r="CT436" s="196"/>
      <c r="CU436" s="196"/>
      <c r="CV436" s="194"/>
      <c r="CW436" s="194"/>
      <c r="CX436" s="194"/>
      <c r="CY436" s="194"/>
      <c r="CZ436" s="194"/>
      <c r="DA436" s="194"/>
      <c r="DB436" s="194"/>
      <c r="DC436" s="194"/>
      <c r="DD436" s="194"/>
      <c r="DE436" s="194"/>
      <c r="DF436" s="196"/>
      <c r="DG436" s="198"/>
      <c r="DH436" s="194"/>
      <c r="DI436" s="194"/>
    </row>
    <row r="437" spans="1:113" s="24" customFormat="1" hidden="1" x14ac:dyDescent="0.3">
      <c r="A437" s="172"/>
      <c r="B437" s="172"/>
      <c r="C437" s="172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  <c r="AE437" s="173"/>
      <c r="AF437" s="173"/>
      <c r="AG437" s="173"/>
      <c r="AH437" s="173"/>
      <c r="AI437" s="173"/>
      <c r="AJ437" s="173"/>
      <c r="AK437" s="173"/>
      <c r="AL437" s="173"/>
      <c r="AM437" s="173"/>
      <c r="AN437" s="173"/>
      <c r="AO437" s="173"/>
      <c r="AP437" s="173"/>
      <c r="AQ437" s="173"/>
      <c r="AR437" s="173"/>
      <c r="AS437" s="172"/>
      <c r="AT437" s="172"/>
      <c r="AU437" s="172"/>
      <c r="AV437" s="172"/>
      <c r="AW437" s="172"/>
      <c r="AX437" s="172"/>
      <c r="AY437" s="172"/>
      <c r="AZ437" s="172"/>
      <c r="BA437" s="172"/>
      <c r="BB437" s="172"/>
      <c r="BC437" s="172"/>
      <c r="BD437" s="172"/>
      <c r="BE437" s="172"/>
      <c r="BF437" s="172"/>
      <c r="BG437" s="172"/>
      <c r="BH437" s="172"/>
      <c r="BI437" s="172"/>
      <c r="BJ437" s="172"/>
      <c r="BK437" s="172"/>
      <c r="BL437" s="172"/>
      <c r="BM437" s="172"/>
      <c r="BN437" s="172"/>
      <c r="BO437" s="172"/>
      <c r="BP437" s="172"/>
      <c r="BQ437" s="172"/>
      <c r="BR437" s="172"/>
      <c r="BS437" s="172"/>
      <c r="BT437" s="172"/>
      <c r="BU437" s="172"/>
      <c r="BV437" s="172"/>
      <c r="BW437" s="172"/>
      <c r="BX437" s="172"/>
      <c r="BY437" s="174"/>
      <c r="BZ437" s="172"/>
      <c r="CA437" s="172"/>
      <c r="CD437" s="194"/>
      <c r="CE437" s="194"/>
      <c r="CF437" s="194"/>
      <c r="CG437" s="194"/>
      <c r="CH437" s="195"/>
      <c r="CI437" s="194"/>
      <c r="CJ437" s="194"/>
      <c r="CK437" s="194"/>
      <c r="CL437" s="196"/>
      <c r="CM437" s="196"/>
      <c r="CN437" s="194"/>
      <c r="CO437" s="197"/>
      <c r="CP437" s="196"/>
      <c r="CQ437" s="196"/>
      <c r="CR437" s="196"/>
      <c r="CS437" s="196"/>
      <c r="CT437" s="196"/>
      <c r="CU437" s="196"/>
      <c r="CV437" s="194"/>
      <c r="CW437" s="194"/>
      <c r="CX437" s="194"/>
      <c r="CY437" s="194"/>
      <c r="CZ437" s="194"/>
      <c r="DA437" s="194"/>
      <c r="DB437" s="194"/>
      <c r="DC437" s="194"/>
      <c r="DD437" s="194"/>
      <c r="DE437" s="194"/>
      <c r="DF437" s="196"/>
      <c r="DG437" s="198"/>
      <c r="DH437" s="194"/>
      <c r="DI437" s="194"/>
    </row>
    <row r="438" spans="1:113" s="24" customFormat="1" hidden="1" x14ac:dyDescent="0.3">
      <c r="A438" s="172"/>
      <c r="B438" s="172"/>
      <c r="C438" s="172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  <c r="AE438" s="173"/>
      <c r="AF438" s="173"/>
      <c r="AG438" s="173"/>
      <c r="AH438" s="173"/>
      <c r="AI438" s="173"/>
      <c r="AJ438" s="173"/>
      <c r="AK438" s="173"/>
      <c r="AL438" s="173"/>
      <c r="AM438" s="173"/>
      <c r="AN438" s="173"/>
      <c r="AO438" s="173"/>
      <c r="AP438" s="173"/>
      <c r="AQ438" s="173"/>
      <c r="AR438" s="173"/>
      <c r="AS438" s="172"/>
      <c r="AT438" s="172"/>
      <c r="AU438" s="172"/>
      <c r="AV438" s="172"/>
      <c r="AW438" s="172"/>
      <c r="AX438" s="172"/>
      <c r="AY438" s="172"/>
      <c r="AZ438" s="172"/>
      <c r="BA438" s="172"/>
      <c r="BB438" s="172"/>
      <c r="BC438" s="172"/>
      <c r="BD438" s="172"/>
      <c r="BE438" s="172"/>
      <c r="BF438" s="172"/>
      <c r="BG438" s="172"/>
      <c r="BH438" s="172"/>
      <c r="BI438" s="172"/>
      <c r="BJ438" s="172"/>
      <c r="BK438" s="172"/>
      <c r="BL438" s="172"/>
      <c r="BM438" s="172"/>
      <c r="BN438" s="172"/>
      <c r="BO438" s="172"/>
      <c r="BP438" s="172"/>
      <c r="BQ438" s="172"/>
      <c r="BR438" s="172"/>
      <c r="BS438" s="172"/>
      <c r="BT438" s="172"/>
      <c r="BU438" s="172"/>
      <c r="BV438" s="172"/>
      <c r="BW438" s="172"/>
      <c r="BX438" s="172"/>
      <c r="BY438" s="174"/>
      <c r="BZ438" s="172"/>
      <c r="CA438" s="172"/>
      <c r="CD438" s="194"/>
      <c r="CE438" s="194"/>
      <c r="CF438" s="194"/>
      <c r="CG438" s="194"/>
      <c r="CH438" s="195"/>
      <c r="CI438" s="194"/>
      <c r="CJ438" s="194"/>
      <c r="CK438" s="194"/>
      <c r="CL438" s="196"/>
      <c r="CM438" s="196"/>
      <c r="CN438" s="194"/>
      <c r="CO438" s="197"/>
      <c r="CP438" s="196"/>
      <c r="CQ438" s="196"/>
      <c r="CR438" s="196"/>
      <c r="CS438" s="196"/>
      <c r="CT438" s="196"/>
      <c r="CU438" s="196"/>
      <c r="CV438" s="194"/>
      <c r="CW438" s="194"/>
      <c r="CX438" s="194"/>
      <c r="CY438" s="194"/>
      <c r="CZ438" s="194"/>
      <c r="DA438" s="194"/>
      <c r="DB438" s="194"/>
      <c r="DC438" s="194"/>
      <c r="DD438" s="194"/>
      <c r="DE438" s="194"/>
      <c r="DF438" s="196"/>
      <c r="DG438" s="198"/>
      <c r="DH438" s="194"/>
      <c r="DI438" s="194"/>
    </row>
    <row r="439" spans="1:113" s="24" customFormat="1" hidden="1" x14ac:dyDescent="0.3">
      <c r="A439" s="172"/>
      <c r="B439" s="172"/>
      <c r="C439" s="172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  <c r="AE439" s="173"/>
      <c r="AF439" s="173"/>
      <c r="AG439" s="173"/>
      <c r="AH439" s="173"/>
      <c r="AI439" s="173"/>
      <c r="AJ439" s="173"/>
      <c r="AK439" s="173"/>
      <c r="AL439" s="173"/>
      <c r="AM439" s="173"/>
      <c r="AN439" s="173"/>
      <c r="AO439" s="173"/>
      <c r="AP439" s="173"/>
      <c r="AQ439" s="173"/>
      <c r="AR439" s="173"/>
      <c r="AS439" s="172"/>
      <c r="AT439" s="172"/>
      <c r="AU439" s="172"/>
      <c r="AV439" s="172"/>
      <c r="AW439" s="172"/>
      <c r="AX439" s="172"/>
      <c r="AY439" s="172"/>
      <c r="AZ439" s="172"/>
      <c r="BA439" s="172"/>
      <c r="BB439" s="172"/>
      <c r="BC439" s="172"/>
      <c r="BD439" s="172"/>
      <c r="BE439" s="172"/>
      <c r="BF439" s="172"/>
      <c r="BG439" s="172"/>
      <c r="BH439" s="172"/>
      <c r="BI439" s="172"/>
      <c r="BJ439" s="172"/>
      <c r="BK439" s="172"/>
      <c r="BL439" s="172"/>
      <c r="BM439" s="172"/>
      <c r="BN439" s="172"/>
      <c r="BO439" s="172"/>
      <c r="BP439" s="172"/>
      <c r="BQ439" s="172"/>
      <c r="BR439" s="172"/>
      <c r="BS439" s="172"/>
      <c r="BT439" s="172"/>
      <c r="BU439" s="172"/>
      <c r="BV439" s="172"/>
      <c r="BW439" s="172"/>
      <c r="BX439" s="172"/>
      <c r="BY439" s="174"/>
      <c r="BZ439" s="172"/>
      <c r="CA439" s="172"/>
      <c r="CD439" s="194"/>
      <c r="CE439" s="194"/>
      <c r="CF439" s="194"/>
      <c r="CG439" s="194"/>
      <c r="CH439" s="195"/>
      <c r="CI439" s="194"/>
      <c r="CJ439" s="194"/>
      <c r="CK439" s="194"/>
      <c r="CL439" s="196"/>
      <c r="CM439" s="196"/>
      <c r="CN439" s="194"/>
      <c r="CO439" s="197"/>
      <c r="CP439" s="196"/>
      <c r="CQ439" s="196"/>
      <c r="CR439" s="196"/>
      <c r="CS439" s="196"/>
      <c r="CT439" s="196"/>
      <c r="CU439" s="196"/>
      <c r="CV439" s="194"/>
      <c r="CW439" s="194"/>
      <c r="CX439" s="194"/>
      <c r="CY439" s="194"/>
      <c r="CZ439" s="194"/>
      <c r="DA439" s="194"/>
      <c r="DB439" s="194"/>
      <c r="DC439" s="194"/>
      <c r="DD439" s="194"/>
      <c r="DE439" s="194"/>
      <c r="DF439" s="196"/>
      <c r="DG439" s="198"/>
      <c r="DH439" s="194"/>
      <c r="DI439" s="194"/>
    </row>
    <row r="440" spans="1:113" s="24" customFormat="1" hidden="1" x14ac:dyDescent="0.3">
      <c r="A440" s="172"/>
      <c r="B440" s="172"/>
      <c r="C440" s="172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  <c r="AE440" s="173"/>
      <c r="AF440" s="173"/>
      <c r="AG440" s="173"/>
      <c r="AH440" s="173"/>
      <c r="AI440" s="173"/>
      <c r="AJ440" s="173"/>
      <c r="AK440" s="173"/>
      <c r="AL440" s="173"/>
      <c r="AM440" s="173"/>
      <c r="AN440" s="173"/>
      <c r="AO440" s="173"/>
      <c r="AP440" s="173"/>
      <c r="AQ440" s="173"/>
      <c r="AR440" s="173"/>
      <c r="AS440" s="172"/>
      <c r="AT440" s="172"/>
      <c r="AU440" s="172"/>
      <c r="AV440" s="172"/>
      <c r="AW440" s="172"/>
      <c r="AX440" s="172"/>
      <c r="AY440" s="172"/>
      <c r="AZ440" s="172"/>
      <c r="BA440" s="172"/>
      <c r="BB440" s="172"/>
      <c r="BC440" s="172"/>
      <c r="BD440" s="172"/>
      <c r="BE440" s="172"/>
      <c r="BF440" s="172"/>
      <c r="BG440" s="172"/>
      <c r="BH440" s="172"/>
      <c r="BI440" s="172"/>
      <c r="BJ440" s="172"/>
      <c r="BK440" s="172"/>
      <c r="BL440" s="172"/>
      <c r="BM440" s="172"/>
      <c r="BN440" s="172"/>
      <c r="BO440" s="172"/>
      <c r="BP440" s="172"/>
      <c r="BQ440" s="172"/>
      <c r="BR440" s="172"/>
      <c r="BS440" s="172"/>
      <c r="BT440" s="172"/>
      <c r="BU440" s="172"/>
      <c r="BV440" s="172"/>
      <c r="BW440" s="172"/>
      <c r="BX440" s="172"/>
      <c r="BY440" s="174"/>
      <c r="BZ440" s="172"/>
      <c r="CA440" s="172"/>
      <c r="CD440" s="194"/>
      <c r="CE440" s="194"/>
      <c r="CF440" s="194"/>
      <c r="CG440" s="194"/>
      <c r="CH440" s="195"/>
      <c r="CI440" s="194"/>
      <c r="CJ440" s="194"/>
      <c r="CK440" s="194"/>
      <c r="CL440" s="196"/>
      <c r="CM440" s="196"/>
      <c r="CN440" s="194"/>
      <c r="CO440" s="197"/>
      <c r="CP440" s="196"/>
      <c r="CQ440" s="196"/>
      <c r="CR440" s="196"/>
      <c r="CS440" s="196"/>
      <c r="CT440" s="196"/>
      <c r="CU440" s="196"/>
      <c r="CV440" s="194"/>
      <c r="CW440" s="194"/>
      <c r="CX440" s="194"/>
      <c r="CY440" s="194"/>
      <c r="CZ440" s="194"/>
      <c r="DA440" s="194"/>
      <c r="DB440" s="194"/>
      <c r="DC440" s="194"/>
      <c r="DD440" s="194"/>
      <c r="DE440" s="194"/>
      <c r="DF440" s="196"/>
      <c r="DG440" s="198"/>
      <c r="DH440" s="194"/>
      <c r="DI440" s="194"/>
    </row>
    <row r="441" spans="1:113" s="24" customFormat="1" hidden="1" x14ac:dyDescent="0.3">
      <c r="A441" s="172"/>
      <c r="B441" s="172"/>
      <c r="C441" s="172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  <c r="AE441" s="173"/>
      <c r="AF441" s="173"/>
      <c r="AG441" s="173"/>
      <c r="AH441" s="173"/>
      <c r="AI441" s="173"/>
      <c r="AJ441" s="173"/>
      <c r="AK441" s="173"/>
      <c r="AL441" s="173"/>
      <c r="AM441" s="173"/>
      <c r="AN441" s="173"/>
      <c r="AO441" s="173"/>
      <c r="AP441" s="173"/>
      <c r="AQ441" s="173"/>
      <c r="AR441" s="173"/>
      <c r="AS441" s="172"/>
      <c r="AT441" s="172"/>
      <c r="AU441" s="172"/>
      <c r="AV441" s="172"/>
      <c r="AW441" s="172"/>
      <c r="AX441" s="172"/>
      <c r="AY441" s="172"/>
      <c r="AZ441" s="172"/>
      <c r="BA441" s="172"/>
      <c r="BB441" s="172"/>
      <c r="BC441" s="172"/>
      <c r="BD441" s="172"/>
      <c r="BE441" s="172"/>
      <c r="BF441" s="172"/>
      <c r="BG441" s="172"/>
      <c r="BH441" s="172"/>
      <c r="BI441" s="172"/>
      <c r="BJ441" s="172"/>
      <c r="BK441" s="172"/>
      <c r="BL441" s="172"/>
      <c r="BM441" s="172"/>
      <c r="BN441" s="172"/>
      <c r="BO441" s="172"/>
      <c r="BP441" s="172"/>
      <c r="BQ441" s="172"/>
      <c r="BR441" s="172"/>
      <c r="BS441" s="172"/>
      <c r="BT441" s="172"/>
      <c r="BU441" s="172"/>
      <c r="BV441" s="172"/>
      <c r="BW441" s="172"/>
      <c r="BX441" s="172"/>
      <c r="BY441" s="174"/>
      <c r="BZ441" s="172"/>
      <c r="CA441" s="172"/>
      <c r="CD441" s="194"/>
      <c r="CE441" s="194"/>
      <c r="CF441" s="194"/>
      <c r="CG441" s="194"/>
      <c r="CH441" s="195"/>
      <c r="CI441" s="194"/>
      <c r="CJ441" s="194"/>
      <c r="CK441" s="194"/>
      <c r="CL441" s="196"/>
      <c r="CM441" s="196"/>
      <c r="CN441" s="194"/>
      <c r="CO441" s="197"/>
      <c r="CP441" s="196"/>
      <c r="CQ441" s="196"/>
      <c r="CR441" s="196"/>
      <c r="CS441" s="196"/>
      <c r="CT441" s="196"/>
      <c r="CU441" s="196"/>
      <c r="CV441" s="194"/>
      <c r="CW441" s="194"/>
      <c r="CX441" s="194"/>
      <c r="CY441" s="194"/>
      <c r="CZ441" s="194"/>
      <c r="DA441" s="194"/>
      <c r="DB441" s="194"/>
      <c r="DC441" s="194"/>
      <c r="DD441" s="194"/>
      <c r="DE441" s="194"/>
      <c r="DF441" s="196"/>
      <c r="DG441" s="198"/>
      <c r="DH441" s="194"/>
      <c r="DI441" s="194"/>
    </row>
    <row r="442" spans="1:113" s="24" customFormat="1" hidden="1" x14ac:dyDescent="0.3">
      <c r="A442" s="172"/>
      <c r="B442" s="172"/>
      <c r="C442" s="172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  <c r="AE442" s="173"/>
      <c r="AF442" s="173"/>
      <c r="AG442" s="173"/>
      <c r="AH442" s="173"/>
      <c r="AI442" s="173"/>
      <c r="AJ442" s="173"/>
      <c r="AK442" s="173"/>
      <c r="AL442" s="173"/>
      <c r="AM442" s="173"/>
      <c r="AN442" s="173"/>
      <c r="AO442" s="173"/>
      <c r="AP442" s="173"/>
      <c r="AQ442" s="173"/>
      <c r="AR442" s="173"/>
      <c r="AS442" s="172"/>
      <c r="AT442" s="172"/>
      <c r="AU442" s="172"/>
      <c r="AV442" s="172"/>
      <c r="AW442" s="172"/>
      <c r="AX442" s="172"/>
      <c r="AY442" s="172"/>
      <c r="AZ442" s="172"/>
      <c r="BA442" s="172"/>
      <c r="BB442" s="172"/>
      <c r="BC442" s="172"/>
      <c r="BD442" s="172"/>
      <c r="BE442" s="172"/>
      <c r="BF442" s="172"/>
      <c r="BG442" s="172"/>
      <c r="BH442" s="172"/>
      <c r="BI442" s="172"/>
      <c r="BJ442" s="172"/>
      <c r="BK442" s="172"/>
      <c r="BL442" s="172"/>
      <c r="BM442" s="172"/>
      <c r="BN442" s="172"/>
      <c r="BO442" s="172"/>
      <c r="BP442" s="172"/>
      <c r="BQ442" s="172"/>
      <c r="BR442" s="172"/>
      <c r="BS442" s="172"/>
      <c r="BT442" s="172"/>
      <c r="BU442" s="172"/>
      <c r="BV442" s="172"/>
      <c r="BW442" s="172"/>
      <c r="BX442" s="172"/>
      <c r="BY442" s="174"/>
      <c r="BZ442" s="172"/>
      <c r="CA442" s="172"/>
      <c r="CD442" s="194"/>
      <c r="CE442" s="194"/>
      <c r="CF442" s="194"/>
      <c r="CG442" s="194"/>
      <c r="CH442" s="195"/>
      <c r="CI442" s="194"/>
      <c r="CJ442" s="194"/>
      <c r="CK442" s="194"/>
      <c r="CL442" s="196"/>
      <c r="CM442" s="196"/>
      <c r="CN442" s="194"/>
      <c r="CO442" s="197"/>
      <c r="CP442" s="196"/>
      <c r="CQ442" s="196"/>
      <c r="CR442" s="196"/>
      <c r="CS442" s="196"/>
      <c r="CT442" s="196"/>
      <c r="CU442" s="196"/>
      <c r="CV442" s="194"/>
      <c r="CW442" s="194"/>
      <c r="CX442" s="194"/>
      <c r="CY442" s="194"/>
      <c r="CZ442" s="194"/>
      <c r="DA442" s="194"/>
      <c r="DB442" s="194"/>
      <c r="DC442" s="194"/>
      <c r="DD442" s="194"/>
      <c r="DE442" s="194"/>
      <c r="DF442" s="196"/>
      <c r="DG442" s="198"/>
      <c r="DH442" s="194"/>
      <c r="DI442" s="194"/>
    </row>
    <row r="443" spans="1:113" s="24" customFormat="1" hidden="1" x14ac:dyDescent="0.3">
      <c r="A443" s="172"/>
      <c r="B443" s="172"/>
      <c r="C443" s="172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  <c r="AE443" s="173"/>
      <c r="AF443" s="173"/>
      <c r="AG443" s="173"/>
      <c r="AH443" s="173"/>
      <c r="AI443" s="173"/>
      <c r="AJ443" s="173"/>
      <c r="AK443" s="173"/>
      <c r="AL443" s="173"/>
      <c r="AM443" s="173"/>
      <c r="AN443" s="173"/>
      <c r="AO443" s="173"/>
      <c r="AP443" s="173"/>
      <c r="AQ443" s="173"/>
      <c r="AR443" s="173"/>
      <c r="AS443" s="172"/>
      <c r="AT443" s="172"/>
      <c r="AU443" s="172"/>
      <c r="AV443" s="172"/>
      <c r="AW443" s="172"/>
      <c r="AX443" s="172"/>
      <c r="AY443" s="172"/>
      <c r="AZ443" s="172"/>
      <c r="BA443" s="172"/>
      <c r="BB443" s="172"/>
      <c r="BC443" s="172"/>
      <c r="BD443" s="172"/>
      <c r="BE443" s="172"/>
      <c r="BF443" s="172"/>
      <c r="BG443" s="172"/>
      <c r="BH443" s="172"/>
      <c r="BI443" s="172"/>
      <c r="BJ443" s="172"/>
      <c r="BK443" s="172"/>
      <c r="BL443" s="172"/>
      <c r="BM443" s="172"/>
      <c r="BN443" s="172"/>
      <c r="BO443" s="172"/>
      <c r="BP443" s="172"/>
      <c r="BQ443" s="172"/>
      <c r="BR443" s="172"/>
      <c r="BS443" s="172"/>
      <c r="BT443" s="172"/>
      <c r="BU443" s="172"/>
      <c r="BV443" s="172"/>
      <c r="BW443" s="172"/>
      <c r="BX443" s="172"/>
      <c r="BY443" s="174"/>
      <c r="BZ443" s="172"/>
      <c r="CA443" s="172"/>
      <c r="CD443" s="194"/>
      <c r="CE443" s="194"/>
      <c r="CF443" s="194"/>
      <c r="CG443" s="194"/>
      <c r="CH443" s="195"/>
      <c r="CI443" s="194"/>
      <c r="CJ443" s="194"/>
      <c r="CK443" s="194"/>
      <c r="CL443" s="196"/>
      <c r="CM443" s="196"/>
      <c r="CN443" s="194"/>
      <c r="CO443" s="197"/>
      <c r="CP443" s="196"/>
      <c r="CQ443" s="196"/>
      <c r="CR443" s="196"/>
      <c r="CS443" s="196"/>
      <c r="CT443" s="196"/>
      <c r="CU443" s="196"/>
      <c r="CV443" s="194"/>
      <c r="CW443" s="194"/>
      <c r="CX443" s="194"/>
      <c r="CY443" s="194"/>
      <c r="CZ443" s="194"/>
      <c r="DA443" s="194"/>
      <c r="DB443" s="194"/>
      <c r="DC443" s="194"/>
      <c r="DD443" s="194"/>
      <c r="DE443" s="194"/>
      <c r="DF443" s="196"/>
      <c r="DG443" s="198"/>
      <c r="DH443" s="194"/>
      <c r="DI443" s="194"/>
    </row>
    <row r="444" spans="1:113" s="24" customFormat="1" hidden="1" x14ac:dyDescent="0.3">
      <c r="A444" s="172"/>
      <c r="B444" s="172"/>
      <c r="C444" s="172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  <c r="AE444" s="173"/>
      <c r="AF444" s="173"/>
      <c r="AG444" s="173"/>
      <c r="AH444" s="173"/>
      <c r="AI444" s="173"/>
      <c r="AJ444" s="173"/>
      <c r="AK444" s="173"/>
      <c r="AL444" s="173"/>
      <c r="AM444" s="173"/>
      <c r="AN444" s="173"/>
      <c r="AO444" s="173"/>
      <c r="AP444" s="173"/>
      <c r="AQ444" s="173"/>
      <c r="AR444" s="173"/>
      <c r="AS444" s="172"/>
      <c r="AT444" s="172"/>
      <c r="AU444" s="172"/>
      <c r="AV444" s="172"/>
      <c r="AW444" s="172"/>
      <c r="AX444" s="172"/>
      <c r="AY444" s="172"/>
      <c r="AZ444" s="172"/>
      <c r="BA444" s="172"/>
      <c r="BB444" s="172"/>
      <c r="BC444" s="172"/>
      <c r="BD444" s="172"/>
      <c r="BE444" s="172"/>
      <c r="BF444" s="172"/>
      <c r="BG444" s="172"/>
      <c r="BH444" s="172"/>
      <c r="BI444" s="172"/>
      <c r="BJ444" s="172"/>
      <c r="BK444" s="172"/>
      <c r="BL444" s="172"/>
      <c r="BM444" s="172"/>
      <c r="BN444" s="172"/>
      <c r="BO444" s="172"/>
      <c r="BP444" s="172"/>
      <c r="BQ444" s="172"/>
      <c r="BR444" s="172"/>
      <c r="BS444" s="172"/>
      <c r="BT444" s="172"/>
      <c r="BU444" s="172"/>
      <c r="BV444" s="172"/>
      <c r="BW444" s="172"/>
      <c r="BX444" s="172"/>
      <c r="BY444" s="174"/>
      <c r="BZ444" s="172"/>
      <c r="CA444" s="172"/>
      <c r="CD444" s="194"/>
      <c r="CE444" s="194"/>
      <c r="CF444" s="194"/>
      <c r="CG444" s="194"/>
      <c r="CH444" s="195"/>
      <c r="CI444" s="194"/>
      <c r="CJ444" s="194"/>
      <c r="CK444" s="194"/>
      <c r="CL444" s="196"/>
      <c r="CM444" s="196"/>
      <c r="CN444" s="194"/>
      <c r="CO444" s="197"/>
      <c r="CP444" s="196"/>
      <c r="CQ444" s="196"/>
      <c r="CR444" s="196"/>
      <c r="CS444" s="196"/>
      <c r="CT444" s="196"/>
      <c r="CU444" s="196"/>
      <c r="CV444" s="194"/>
      <c r="CW444" s="194"/>
      <c r="CX444" s="194"/>
      <c r="CY444" s="194"/>
      <c r="CZ444" s="194"/>
      <c r="DA444" s="194"/>
      <c r="DB444" s="194"/>
      <c r="DC444" s="194"/>
      <c r="DD444" s="194"/>
      <c r="DE444" s="194"/>
      <c r="DF444" s="196"/>
      <c r="DG444" s="198"/>
      <c r="DH444" s="194"/>
      <c r="DI444" s="194"/>
    </row>
    <row r="445" spans="1:113" s="24" customFormat="1" hidden="1" x14ac:dyDescent="0.3">
      <c r="A445" s="172"/>
      <c r="B445" s="172"/>
      <c r="C445" s="172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  <c r="AE445" s="173"/>
      <c r="AF445" s="173"/>
      <c r="AG445" s="173"/>
      <c r="AH445" s="173"/>
      <c r="AI445" s="173"/>
      <c r="AJ445" s="173"/>
      <c r="AK445" s="173"/>
      <c r="AL445" s="173"/>
      <c r="AM445" s="173"/>
      <c r="AN445" s="173"/>
      <c r="AO445" s="173"/>
      <c r="AP445" s="173"/>
      <c r="AQ445" s="173"/>
      <c r="AR445" s="173"/>
      <c r="AS445" s="172"/>
      <c r="AT445" s="172"/>
      <c r="AU445" s="172"/>
      <c r="AV445" s="172"/>
      <c r="AW445" s="172"/>
      <c r="AX445" s="172"/>
      <c r="AY445" s="172"/>
      <c r="AZ445" s="172"/>
      <c r="BA445" s="172"/>
      <c r="BB445" s="172"/>
      <c r="BC445" s="172"/>
      <c r="BD445" s="172"/>
      <c r="BE445" s="172"/>
      <c r="BF445" s="172"/>
      <c r="BG445" s="172"/>
      <c r="BH445" s="172"/>
      <c r="BI445" s="172"/>
      <c r="BJ445" s="172"/>
      <c r="BK445" s="172"/>
      <c r="BL445" s="172"/>
      <c r="BM445" s="172"/>
      <c r="BN445" s="172"/>
      <c r="BO445" s="172"/>
      <c r="BP445" s="172"/>
      <c r="BQ445" s="172"/>
      <c r="BR445" s="172"/>
      <c r="BS445" s="172"/>
      <c r="BT445" s="172"/>
      <c r="BU445" s="172"/>
      <c r="BV445" s="172"/>
      <c r="BW445" s="172"/>
      <c r="BX445" s="172"/>
      <c r="BY445" s="174"/>
      <c r="BZ445" s="172"/>
      <c r="CA445" s="172"/>
      <c r="CD445" s="194"/>
      <c r="CE445" s="194"/>
      <c r="CF445" s="194"/>
      <c r="CG445" s="194"/>
      <c r="CH445" s="195"/>
      <c r="CI445" s="194"/>
      <c r="CJ445" s="194"/>
      <c r="CK445" s="194"/>
      <c r="CL445" s="196"/>
      <c r="CM445" s="196"/>
      <c r="CN445" s="194"/>
      <c r="CO445" s="197"/>
      <c r="CP445" s="196"/>
      <c r="CQ445" s="196"/>
      <c r="CR445" s="196"/>
      <c r="CS445" s="196"/>
      <c r="CT445" s="196"/>
      <c r="CU445" s="196"/>
      <c r="CV445" s="194"/>
      <c r="CW445" s="194"/>
      <c r="CX445" s="194"/>
      <c r="CY445" s="194"/>
      <c r="CZ445" s="194"/>
      <c r="DA445" s="194"/>
      <c r="DB445" s="194"/>
      <c r="DC445" s="194"/>
      <c r="DD445" s="194"/>
      <c r="DE445" s="194"/>
      <c r="DF445" s="196"/>
      <c r="DG445" s="198"/>
      <c r="DH445" s="194"/>
      <c r="DI445" s="194"/>
    </row>
    <row r="446" spans="1:113" s="24" customFormat="1" hidden="1" x14ac:dyDescent="0.3">
      <c r="A446" s="172"/>
      <c r="B446" s="172"/>
      <c r="C446" s="172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  <c r="AE446" s="173"/>
      <c r="AF446" s="173"/>
      <c r="AG446" s="173"/>
      <c r="AH446" s="173"/>
      <c r="AI446" s="173"/>
      <c r="AJ446" s="173"/>
      <c r="AK446" s="173"/>
      <c r="AL446" s="173"/>
      <c r="AM446" s="173"/>
      <c r="AN446" s="173"/>
      <c r="AO446" s="173"/>
      <c r="AP446" s="173"/>
      <c r="AQ446" s="173"/>
      <c r="AR446" s="173"/>
      <c r="AS446" s="172"/>
      <c r="AT446" s="172"/>
      <c r="AU446" s="172"/>
      <c r="AV446" s="172"/>
      <c r="AW446" s="172"/>
      <c r="AX446" s="172"/>
      <c r="AY446" s="172"/>
      <c r="AZ446" s="172"/>
      <c r="BA446" s="172"/>
      <c r="BB446" s="172"/>
      <c r="BC446" s="172"/>
      <c r="BD446" s="172"/>
      <c r="BE446" s="172"/>
      <c r="BF446" s="172"/>
      <c r="BG446" s="172"/>
      <c r="BH446" s="172"/>
      <c r="BI446" s="172"/>
      <c r="BJ446" s="172"/>
      <c r="BK446" s="172"/>
      <c r="BL446" s="172"/>
      <c r="BM446" s="172"/>
      <c r="BN446" s="172"/>
      <c r="BO446" s="172"/>
      <c r="BP446" s="172"/>
      <c r="BQ446" s="172"/>
      <c r="BR446" s="172"/>
      <c r="BS446" s="172"/>
      <c r="BT446" s="172"/>
      <c r="BU446" s="172"/>
      <c r="BV446" s="172"/>
      <c r="BW446" s="172"/>
      <c r="BX446" s="172"/>
      <c r="BY446" s="174"/>
      <c r="BZ446" s="172"/>
      <c r="CA446" s="172"/>
      <c r="CD446" s="194"/>
      <c r="CE446" s="194"/>
      <c r="CF446" s="194"/>
      <c r="CG446" s="194"/>
      <c r="CH446" s="195"/>
      <c r="CI446" s="194"/>
      <c r="CJ446" s="194"/>
      <c r="CK446" s="194"/>
      <c r="CL446" s="196"/>
      <c r="CM446" s="196"/>
      <c r="CN446" s="194"/>
      <c r="CO446" s="197"/>
      <c r="CP446" s="196"/>
      <c r="CQ446" s="196"/>
      <c r="CR446" s="196"/>
      <c r="CS446" s="196"/>
      <c r="CT446" s="196"/>
      <c r="CU446" s="196"/>
      <c r="CV446" s="194"/>
      <c r="CW446" s="194"/>
      <c r="CX446" s="194"/>
      <c r="CY446" s="194"/>
      <c r="CZ446" s="194"/>
      <c r="DA446" s="194"/>
      <c r="DB446" s="194"/>
      <c r="DC446" s="194"/>
      <c r="DD446" s="194"/>
      <c r="DE446" s="194"/>
      <c r="DF446" s="196"/>
      <c r="DG446" s="198"/>
      <c r="DH446" s="194"/>
      <c r="DI446" s="194"/>
    </row>
    <row r="447" spans="1:113" s="24" customFormat="1" hidden="1" x14ac:dyDescent="0.3">
      <c r="A447" s="172"/>
      <c r="B447" s="172"/>
      <c r="C447" s="172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  <c r="AE447" s="173"/>
      <c r="AF447" s="173"/>
      <c r="AG447" s="173"/>
      <c r="AH447" s="173"/>
      <c r="AI447" s="173"/>
      <c r="AJ447" s="173"/>
      <c r="AK447" s="173"/>
      <c r="AL447" s="173"/>
      <c r="AM447" s="173"/>
      <c r="AN447" s="173"/>
      <c r="AO447" s="173"/>
      <c r="AP447" s="173"/>
      <c r="AQ447" s="173"/>
      <c r="AR447" s="173"/>
      <c r="AS447" s="172"/>
      <c r="AT447" s="172"/>
      <c r="AU447" s="172"/>
      <c r="AV447" s="172"/>
      <c r="AW447" s="172"/>
      <c r="AX447" s="172"/>
      <c r="AY447" s="172"/>
      <c r="AZ447" s="172"/>
      <c r="BA447" s="172"/>
      <c r="BB447" s="172"/>
      <c r="BC447" s="172"/>
      <c r="BD447" s="172"/>
      <c r="BE447" s="172"/>
      <c r="BF447" s="172"/>
      <c r="BG447" s="172"/>
      <c r="BH447" s="172"/>
      <c r="BI447" s="172"/>
      <c r="BJ447" s="172"/>
      <c r="BK447" s="172"/>
      <c r="BL447" s="172"/>
      <c r="BM447" s="172"/>
      <c r="BN447" s="172"/>
      <c r="BO447" s="172"/>
      <c r="BP447" s="172"/>
      <c r="BQ447" s="172"/>
      <c r="BR447" s="172"/>
      <c r="BS447" s="172"/>
      <c r="BT447" s="172"/>
      <c r="BU447" s="172"/>
      <c r="BV447" s="172"/>
      <c r="BW447" s="172"/>
      <c r="BX447" s="172"/>
      <c r="BY447" s="174"/>
      <c r="BZ447" s="172"/>
      <c r="CA447" s="172"/>
      <c r="CD447" s="194"/>
      <c r="CE447" s="194"/>
      <c r="CF447" s="194"/>
      <c r="CG447" s="194"/>
      <c r="CH447" s="195"/>
      <c r="CI447" s="194"/>
      <c r="CJ447" s="194"/>
      <c r="CK447" s="194"/>
      <c r="CL447" s="196"/>
      <c r="CM447" s="196"/>
      <c r="CN447" s="194"/>
      <c r="CO447" s="197"/>
      <c r="CP447" s="196"/>
      <c r="CQ447" s="196"/>
      <c r="CR447" s="196"/>
      <c r="CS447" s="196"/>
      <c r="CT447" s="196"/>
      <c r="CU447" s="196"/>
      <c r="CV447" s="194"/>
      <c r="CW447" s="194"/>
      <c r="CX447" s="194"/>
      <c r="CY447" s="194"/>
      <c r="CZ447" s="194"/>
      <c r="DA447" s="194"/>
      <c r="DB447" s="194"/>
      <c r="DC447" s="194"/>
      <c r="DD447" s="194"/>
      <c r="DE447" s="194"/>
      <c r="DF447" s="196"/>
      <c r="DG447" s="198"/>
      <c r="DH447" s="194"/>
      <c r="DI447" s="194"/>
    </row>
    <row r="448" spans="1:113" s="24" customFormat="1" hidden="1" x14ac:dyDescent="0.3">
      <c r="A448" s="172"/>
      <c r="B448" s="172"/>
      <c r="C448" s="172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  <c r="AE448" s="173"/>
      <c r="AF448" s="173"/>
      <c r="AG448" s="173"/>
      <c r="AH448" s="173"/>
      <c r="AI448" s="173"/>
      <c r="AJ448" s="173"/>
      <c r="AK448" s="173"/>
      <c r="AL448" s="173"/>
      <c r="AM448" s="173"/>
      <c r="AN448" s="173"/>
      <c r="AO448" s="173"/>
      <c r="AP448" s="173"/>
      <c r="AQ448" s="173"/>
      <c r="AR448" s="173"/>
      <c r="AS448" s="172"/>
      <c r="AT448" s="172"/>
      <c r="AU448" s="172"/>
      <c r="AV448" s="172"/>
      <c r="AW448" s="172"/>
      <c r="AX448" s="172"/>
      <c r="AY448" s="172"/>
      <c r="AZ448" s="172"/>
      <c r="BA448" s="172"/>
      <c r="BB448" s="172"/>
      <c r="BC448" s="172"/>
      <c r="BD448" s="172"/>
      <c r="BE448" s="172"/>
      <c r="BF448" s="172"/>
      <c r="BG448" s="172"/>
      <c r="BH448" s="172"/>
      <c r="BI448" s="172"/>
      <c r="BJ448" s="172"/>
      <c r="BK448" s="172"/>
      <c r="BL448" s="172"/>
      <c r="BM448" s="172"/>
      <c r="BN448" s="172"/>
      <c r="BO448" s="172"/>
      <c r="BP448" s="172"/>
      <c r="BQ448" s="172"/>
      <c r="BR448" s="172"/>
      <c r="BS448" s="172"/>
      <c r="BT448" s="172"/>
      <c r="BU448" s="172"/>
      <c r="BV448" s="172"/>
      <c r="BW448" s="172"/>
      <c r="BX448" s="172"/>
      <c r="BY448" s="174"/>
      <c r="BZ448" s="172"/>
      <c r="CA448" s="172"/>
      <c r="CD448" s="194"/>
      <c r="CE448" s="194"/>
      <c r="CF448" s="194"/>
      <c r="CG448" s="194"/>
      <c r="CH448" s="195"/>
      <c r="CI448" s="194"/>
      <c r="CJ448" s="194"/>
      <c r="CK448" s="194"/>
      <c r="CL448" s="196"/>
      <c r="CM448" s="196"/>
      <c r="CN448" s="194"/>
      <c r="CO448" s="197"/>
      <c r="CP448" s="196"/>
      <c r="CQ448" s="196"/>
      <c r="CR448" s="196"/>
      <c r="CS448" s="196"/>
      <c r="CT448" s="196"/>
      <c r="CU448" s="196"/>
      <c r="CV448" s="194"/>
      <c r="CW448" s="194"/>
      <c r="CX448" s="194"/>
      <c r="CY448" s="194"/>
      <c r="CZ448" s="194"/>
      <c r="DA448" s="194"/>
      <c r="DB448" s="194"/>
      <c r="DC448" s="194"/>
      <c r="DD448" s="194"/>
      <c r="DE448" s="194"/>
      <c r="DF448" s="196"/>
      <c r="DG448" s="198"/>
      <c r="DH448" s="194"/>
      <c r="DI448" s="194"/>
    </row>
    <row r="449" spans="1:113" s="24" customFormat="1" hidden="1" x14ac:dyDescent="0.3">
      <c r="A449" s="172"/>
      <c r="B449" s="172"/>
      <c r="C449" s="172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  <c r="AE449" s="173"/>
      <c r="AF449" s="173"/>
      <c r="AG449" s="173"/>
      <c r="AH449" s="173"/>
      <c r="AI449" s="173"/>
      <c r="AJ449" s="173"/>
      <c r="AK449" s="173"/>
      <c r="AL449" s="173"/>
      <c r="AM449" s="173"/>
      <c r="AN449" s="173"/>
      <c r="AO449" s="173"/>
      <c r="AP449" s="173"/>
      <c r="AQ449" s="173"/>
      <c r="AR449" s="173"/>
      <c r="AS449" s="172"/>
      <c r="AT449" s="172"/>
      <c r="AU449" s="172"/>
      <c r="AV449" s="172"/>
      <c r="AW449" s="172"/>
      <c r="AX449" s="172"/>
      <c r="AY449" s="172"/>
      <c r="AZ449" s="172"/>
      <c r="BA449" s="172"/>
      <c r="BB449" s="172"/>
      <c r="BC449" s="172"/>
      <c r="BD449" s="172"/>
      <c r="BE449" s="172"/>
      <c r="BF449" s="172"/>
      <c r="BG449" s="172"/>
      <c r="BH449" s="172"/>
      <c r="BI449" s="172"/>
      <c r="BJ449" s="172"/>
      <c r="BK449" s="172"/>
      <c r="BL449" s="172"/>
      <c r="BM449" s="172"/>
      <c r="BN449" s="172"/>
      <c r="BO449" s="172"/>
      <c r="BP449" s="172"/>
      <c r="BQ449" s="172"/>
      <c r="BR449" s="172"/>
      <c r="BS449" s="172"/>
      <c r="BT449" s="172"/>
      <c r="BU449" s="172"/>
      <c r="BV449" s="172"/>
      <c r="BW449" s="172"/>
      <c r="BX449" s="172"/>
      <c r="BY449" s="174"/>
      <c r="BZ449" s="172"/>
      <c r="CA449" s="172"/>
      <c r="CD449" s="194"/>
      <c r="CE449" s="194"/>
      <c r="CF449" s="194"/>
      <c r="CG449" s="194"/>
      <c r="CH449" s="195"/>
      <c r="CI449" s="194"/>
      <c r="CJ449" s="194"/>
      <c r="CK449" s="194"/>
      <c r="CL449" s="196"/>
      <c r="CM449" s="196"/>
      <c r="CN449" s="194"/>
      <c r="CO449" s="197"/>
      <c r="CP449" s="196"/>
      <c r="CQ449" s="196"/>
      <c r="CR449" s="196"/>
      <c r="CS449" s="196"/>
      <c r="CT449" s="196"/>
      <c r="CU449" s="196"/>
      <c r="CV449" s="194"/>
      <c r="CW449" s="194"/>
      <c r="CX449" s="194"/>
      <c r="CY449" s="194"/>
      <c r="CZ449" s="194"/>
      <c r="DA449" s="194"/>
      <c r="DB449" s="194"/>
      <c r="DC449" s="194"/>
      <c r="DD449" s="194"/>
      <c r="DE449" s="194"/>
      <c r="DF449" s="196"/>
      <c r="DG449" s="198"/>
      <c r="DH449" s="194"/>
      <c r="DI449" s="194"/>
    </row>
    <row r="450" spans="1:113" s="24" customFormat="1" hidden="1" x14ac:dyDescent="0.3">
      <c r="A450" s="172"/>
      <c r="B450" s="172"/>
      <c r="C450" s="172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  <c r="AE450" s="173"/>
      <c r="AF450" s="173"/>
      <c r="AG450" s="173"/>
      <c r="AH450" s="173"/>
      <c r="AI450" s="173"/>
      <c r="AJ450" s="173"/>
      <c r="AK450" s="173"/>
      <c r="AL450" s="173"/>
      <c r="AM450" s="173"/>
      <c r="AN450" s="173"/>
      <c r="AO450" s="173"/>
      <c r="AP450" s="173"/>
      <c r="AQ450" s="173"/>
      <c r="AR450" s="173"/>
      <c r="AS450" s="172"/>
      <c r="AT450" s="172"/>
      <c r="AU450" s="172"/>
      <c r="AV450" s="172"/>
      <c r="AW450" s="172"/>
      <c r="AX450" s="172"/>
      <c r="AY450" s="172"/>
      <c r="AZ450" s="172"/>
      <c r="BA450" s="172"/>
      <c r="BB450" s="172"/>
      <c r="BC450" s="172"/>
      <c r="BD450" s="172"/>
      <c r="BE450" s="172"/>
      <c r="BF450" s="172"/>
      <c r="BG450" s="172"/>
      <c r="BH450" s="172"/>
      <c r="BI450" s="172"/>
      <c r="BJ450" s="172"/>
      <c r="BK450" s="172"/>
      <c r="BL450" s="172"/>
      <c r="BM450" s="172"/>
      <c r="BN450" s="172"/>
      <c r="BO450" s="172"/>
      <c r="BP450" s="172"/>
      <c r="BQ450" s="172"/>
      <c r="BR450" s="172"/>
      <c r="BS450" s="172"/>
      <c r="BT450" s="172"/>
      <c r="BU450" s="172"/>
      <c r="BV450" s="172"/>
      <c r="BW450" s="172"/>
      <c r="BX450" s="172"/>
      <c r="BY450" s="174"/>
      <c r="BZ450" s="172"/>
      <c r="CA450" s="172"/>
      <c r="CD450" s="194"/>
      <c r="CE450" s="194"/>
      <c r="CF450" s="194"/>
      <c r="CG450" s="194"/>
      <c r="CH450" s="195"/>
      <c r="CI450" s="194"/>
      <c r="CJ450" s="194"/>
      <c r="CK450" s="194"/>
      <c r="CL450" s="196"/>
      <c r="CM450" s="196"/>
      <c r="CN450" s="194"/>
      <c r="CO450" s="197"/>
      <c r="CP450" s="196"/>
      <c r="CQ450" s="196"/>
      <c r="CR450" s="196"/>
      <c r="CS450" s="196"/>
      <c r="CT450" s="196"/>
      <c r="CU450" s="196"/>
      <c r="CV450" s="194"/>
      <c r="CW450" s="194"/>
      <c r="CX450" s="194"/>
      <c r="CY450" s="194"/>
      <c r="CZ450" s="194"/>
      <c r="DA450" s="194"/>
      <c r="DB450" s="194"/>
      <c r="DC450" s="194"/>
      <c r="DD450" s="194"/>
      <c r="DE450" s="194"/>
      <c r="DF450" s="196"/>
      <c r="DG450" s="198"/>
      <c r="DH450" s="194"/>
      <c r="DI450" s="194"/>
    </row>
    <row r="451" spans="1:113" s="24" customFormat="1" hidden="1" x14ac:dyDescent="0.3">
      <c r="A451" s="172"/>
      <c r="B451" s="172"/>
      <c r="C451" s="172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  <c r="AE451" s="173"/>
      <c r="AF451" s="173"/>
      <c r="AG451" s="173"/>
      <c r="AH451" s="173"/>
      <c r="AI451" s="173"/>
      <c r="AJ451" s="173"/>
      <c r="AK451" s="173"/>
      <c r="AL451" s="173"/>
      <c r="AM451" s="173"/>
      <c r="AN451" s="173"/>
      <c r="AO451" s="173"/>
      <c r="AP451" s="173"/>
      <c r="AQ451" s="173"/>
      <c r="AR451" s="173"/>
      <c r="AS451" s="172"/>
      <c r="AT451" s="172"/>
      <c r="AU451" s="172"/>
      <c r="AV451" s="172"/>
      <c r="AW451" s="172"/>
      <c r="AX451" s="172"/>
      <c r="AY451" s="172"/>
      <c r="AZ451" s="172"/>
      <c r="BA451" s="172"/>
      <c r="BB451" s="172"/>
      <c r="BC451" s="172"/>
      <c r="BD451" s="172"/>
      <c r="BE451" s="172"/>
      <c r="BF451" s="172"/>
      <c r="BG451" s="172"/>
      <c r="BH451" s="172"/>
      <c r="BI451" s="172"/>
      <c r="BJ451" s="172"/>
      <c r="BK451" s="172"/>
      <c r="BL451" s="172"/>
      <c r="BM451" s="172"/>
      <c r="BN451" s="172"/>
      <c r="BO451" s="172"/>
      <c r="BP451" s="172"/>
      <c r="BQ451" s="172"/>
      <c r="BR451" s="172"/>
      <c r="BS451" s="172"/>
      <c r="BT451" s="172"/>
      <c r="BU451" s="172"/>
      <c r="BV451" s="172"/>
      <c r="BW451" s="172"/>
      <c r="BX451" s="172"/>
      <c r="BY451" s="174"/>
      <c r="BZ451" s="172"/>
      <c r="CA451" s="172"/>
      <c r="CD451" s="194"/>
      <c r="CE451" s="194"/>
      <c r="CF451" s="194"/>
      <c r="CG451" s="194"/>
      <c r="CH451" s="195"/>
      <c r="CI451" s="194"/>
      <c r="CJ451" s="194"/>
      <c r="CK451" s="194"/>
      <c r="CL451" s="196"/>
      <c r="CM451" s="196"/>
      <c r="CN451" s="194"/>
      <c r="CO451" s="197"/>
      <c r="CP451" s="196"/>
      <c r="CQ451" s="196"/>
      <c r="CR451" s="196"/>
      <c r="CS451" s="196"/>
      <c r="CT451" s="196"/>
      <c r="CU451" s="196"/>
      <c r="CV451" s="194"/>
      <c r="CW451" s="194"/>
      <c r="CX451" s="194"/>
      <c r="CY451" s="194"/>
      <c r="CZ451" s="194"/>
      <c r="DA451" s="194"/>
      <c r="DB451" s="194"/>
      <c r="DC451" s="194"/>
      <c r="DD451" s="194"/>
      <c r="DE451" s="194"/>
      <c r="DF451" s="196"/>
      <c r="DG451" s="198"/>
      <c r="DH451" s="194"/>
      <c r="DI451" s="194"/>
    </row>
    <row r="452" spans="1:113" s="24" customFormat="1" hidden="1" x14ac:dyDescent="0.3">
      <c r="A452" s="172"/>
      <c r="B452" s="172"/>
      <c r="C452" s="172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  <c r="AE452" s="173"/>
      <c r="AF452" s="173"/>
      <c r="AG452" s="173"/>
      <c r="AH452" s="173"/>
      <c r="AI452" s="173"/>
      <c r="AJ452" s="173"/>
      <c r="AK452" s="173"/>
      <c r="AL452" s="173"/>
      <c r="AM452" s="173"/>
      <c r="AN452" s="173"/>
      <c r="AO452" s="173"/>
      <c r="AP452" s="173"/>
      <c r="AQ452" s="173"/>
      <c r="AR452" s="173"/>
      <c r="AS452" s="172"/>
      <c r="AT452" s="172"/>
      <c r="AU452" s="172"/>
      <c r="AV452" s="172"/>
      <c r="AW452" s="172"/>
      <c r="AX452" s="172"/>
      <c r="AY452" s="172"/>
      <c r="AZ452" s="172"/>
      <c r="BA452" s="172"/>
      <c r="BB452" s="172"/>
      <c r="BC452" s="172"/>
      <c r="BD452" s="172"/>
      <c r="BE452" s="172"/>
      <c r="BF452" s="172"/>
      <c r="BG452" s="172"/>
      <c r="BH452" s="172"/>
      <c r="BI452" s="172"/>
      <c r="BJ452" s="172"/>
      <c r="BK452" s="172"/>
      <c r="BL452" s="172"/>
      <c r="BM452" s="172"/>
      <c r="BN452" s="172"/>
      <c r="BO452" s="172"/>
      <c r="BP452" s="172"/>
      <c r="BQ452" s="172"/>
      <c r="BR452" s="172"/>
      <c r="BS452" s="172"/>
      <c r="BT452" s="172"/>
      <c r="BU452" s="172"/>
      <c r="BV452" s="172"/>
      <c r="BW452" s="172"/>
      <c r="BX452" s="172"/>
      <c r="BY452" s="174"/>
      <c r="BZ452" s="172"/>
      <c r="CA452" s="172"/>
      <c r="CD452" s="194"/>
      <c r="CE452" s="194"/>
      <c r="CF452" s="194"/>
      <c r="CG452" s="194"/>
      <c r="CH452" s="195"/>
      <c r="CI452" s="194"/>
      <c r="CJ452" s="194"/>
      <c r="CK452" s="194"/>
      <c r="CL452" s="196"/>
      <c r="CM452" s="196"/>
      <c r="CN452" s="194"/>
      <c r="CO452" s="197"/>
      <c r="CP452" s="196"/>
      <c r="CQ452" s="196"/>
      <c r="CR452" s="196"/>
      <c r="CS452" s="196"/>
      <c r="CT452" s="196"/>
      <c r="CU452" s="196"/>
      <c r="CV452" s="194"/>
      <c r="CW452" s="194"/>
      <c r="CX452" s="194"/>
      <c r="CY452" s="194"/>
      <c r="CZ452" s="194"/>
      <c r="DA452" s="194"/>
      <c r="DB452" s="194"/>
      <c r="DC452" s="194"/>
      <c r="DD452" s="194"/>
      <c r="DE452" s="194"/>
      <c r="DF452" s="196"/>
      <c r="DG452" s="198"/>
      <c r="DH452" s="194"/>
      <c r="DI452" s="194"/>
    </row>
    <row r="453" spans="1:113" s="24" customFormat="1" hidden="1" x14ac:dyDescent="0.3">
      <c r="A453" s="172"/>
      <c r="B453" s="172"/>
      <c r="C453" s="172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  <c r="AE453" s="173"/>
      <c r="AF453" s="173"/>
      <c r="AG453" s="173"/>
      <c r="AH453" s="173"/>
      <c r="AI453" s="173"/>
      <c r="AJ453" s="173"/>
      <c r="AK453" s="173"/>
      <c r="AL453" s="173"/>
      <c r="AM453" s="173"/>
      <c r="AN453" s="173"/>
      <c r="AO453" s="173"/>
      <c r="AP453" s="173"/>
      <c r="AQ453" s="173"/>
      <c r="AR453" s="173"/>
      <c r="AS453" s="172"/>
      <c r="AT453" s="172"/>
      <c r="AU453" s="172"/>
      <c r="AV453" s="172"/>
      <c r="AW453" s="172"/>
      <c r="AX453" s="172"/>
      <c r="AY453" s="172"/>
      <c r="AZ453" s="172"/>
      <c r="BA453" s="172"/>
      <c r="BB453" s="172"/>
      <c r="BC453" s="172"/>
      <c r="BD453" s="172"/>
      <c r="BE453" s="172"/>
      <c r="BF453" s="172"/>
      <c r="BG453" s="172"/>
      <c r="BH453" s="172"/>
      <c r="BI453" s="172"/>
      <c r="BJ453" s="172"/>
      <c r="BK453" s="172"/>
      <c r="BL453" s="172"/>
      <c r="BM453" s="172"/>
      <c r="BN453" s="172"/>
      <c r="BO453" s="172"/>
      <c r="BP453" s="172"/>
      <c r="BQ453" s="172"/>
      <c r="BR453" s="172"/>
      <c r="BS453" s="172"/>
      <c r="BT453" s="172"/>
      <c r="BU453" s="172"/>
      <c r="BV453" s="172"/>
      <c r="BW453" s="172"/>
      <c r="BX453" s="172"/>
      <c r="BY453" s="174"/>
      <c r="BZ453" s="172"/>
      <c r="CA453" s="172"/>
      <c r="CD453" s="194"/>
      <c r="CE453" s="194"/>
      <c r="CF453" s="194"/>
      <c r="CG453" s="194"/>
      <c r="CH453" s="195"/>
      <c r="CI453" s="194"/>
      <c r="CJ453" s="194"/>
      <c r="CK453" s="194"/>
      <c r="CL453" s="196"/>
      <c r="CM453" s="196"/>
      <c r="CN453" s="194"/>
      <c r="CO453" s="197"/>
      <c r="CP453" s="196"/>
      <c r="CQ453" s="196"/>
      <c r="CR453" s="196"/>
      <c r="CS453" s="196"/>
      <c r="CT453" s="196"/>
      <c r="CU453" s="196"/>
      <c r="CV453" s="194"/>
      <c r="CW453" s="194"/>
      <c r="CX453" s="194"/>
      <c r="CY453" s="194"/>
      <c r="CZ453" s="194"/>
      <c r="DA453" s="194"/>
      <c r="DB453" s="194"/>
      <c r="DC453" s="194"/>
      <c r="DD453" s="194"/>
      <c r="DE453" s="194"/>
      <c r="DF453" s="196"/>
      <c r="DG453" s="198"/>
      <c r="DH453" s="194"/>
      <c r="DI453" s="194"/>
    </row>
    <row r="454" spans="1:113" s="24" customFormat="1" hidden="1" x14ac:dyDescent="0.3">
      <c r="A454" s="172"/>
      <c r="B454" s="172"/>
      <c r="C454" s="172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  <c r="AE454" s="173"/>
      <c r="AF454" s="173"/>
      <c r="AG454" s="173"/>
      <c r="AH454" s="173"/>
      <c r="AI454" s="173"/>
      <c r="AJ454" s="173"/>
      <c r="AK454" s="173"/>
      <c r="AL454" s="173"/>
      <c r="AM454" s="173"/>
      <c r="AN454" s="173"/>
      <c r="AO454" s="173"/>
      <c r="AP454" s="173"/>
      <c r="AQ454" s="173"/>
      <c r="AR454" s="173"/>
      <c r="AS454" s="172"/>
      <c r="AT454" s="172"/>
      <c r="AU454" s="172"/>
      <c r="AV454" s="172"/>
      <c r="AW454" s="172"/>
      <c r="AX454" s="172"/>
      <c r="AY454" s="172"/>
      <c r="AZ454" s="172"/>
      <c r="BA454" s="172"/>
      <c r="BB454" s="172"/>
      <c r="BC454" s="172"/>
      <c r="BD454" s="172"/>
      <c r="BE454" s="172"/>
      <c r="BF454" s="172"/>
      <c r="BG454" s="172"/>
      <c r="BH454" s="172"/>
      <c r="BI454" s="172"/>
      <c r="BJ454" s="172"/>
      <c r="BK454" s="172"/>
      <c r="BL454" s="172"/>
      <c r="BM454" s="172"/>
      <c r="BN454" s="172"/>
      <c r="BO454" s="172"/>
      <c r="BP454" s="172"/>
      <c r="BQ454" s="172"/>
      <c r="BR454" s="172"/>
      <c r="BS454" s="172"/>
      <c r="BT454" s="172"/>
      <c r="BU454" s="172"/>
      <c r="BV454" s="172"/>
      <c r="BW454" s="172"/>
      <c r="BX454" s="172"/>
      <c r="BY454" s="174"/>
      <c r="BZ454" s="172"/>
      <c r="CA454" s="172"/>
      <c r="CD454" s="194"/>
      <c r="CE454" s="194"/>
      <c r="CF454" s="194"/>
      <c r="CG454" s="194"/>
      <c r="CH454" s="195"/>
      <c r="CI454" s="194"/>
      <c r="CJ454" s="194"/>
      <c r="CK454" s="194"/>
      <c r="CL454" s="196"/>
      <c r="CM454" s="196"/>
      <c r="CN454" s="194"/>
      <c r="CO454" s="197"/>
      <c r="CP454" s="196"/>
      <c r="CQ454" s="196"/>
      <c r="CR454" s="196"/>
      <c r="CS454" s="196"/>
      <c r="CT454" s="196"/>
      <c r="CU454" s="196"/>
      <c r="CV454" s="194"/>
      <c r="CW454" s="194"/>
      <c r="CX454" s="194"/>
      <c r="CY454" s="194"/>
      <c r="CZ454" s="194"/>
      <c r="DA454" s="194"/>
      <c r="DB454" s="194"/>
      <c r="DC454" s="194"/>
      <c r="DD454" s="194"/>
      <c r="DE454" s="194"/>
      <c r="DF454" s="196"/>
      <c r="DG454" s="198"/>
      <c r="DH454" s="194"/>
      <c r="DI454" s="194"/>
    </row>
    <row r="455" spans="1:113" s="24" customFormat="1" hidden="1" x14ac:dyDescent="0.3">
      <c r="A455" s="172"/>
      <c r="B455" s="172"/>
      <c r="C455" s="172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  <c r="AE455" s="173"/>
      <c r="AF455" s="173"/>
      <c r="AG455" s="173"/>
      <c r="AH455" s="173"/>
      <c r="AI455" s="173"/>
      <c r="AJ455" s="173"/>
      <c r="AK455" s="173"/>
      <c r="AL455" s="173"/>
      <c r="AM455" s="173"/>
      <c r="AN455" s="173"/>
      <c r="AO455" s="173"/>
      <c r="AP455" s="173"/>
      <c r="AQ455" s="173"/>
      <c r="AR455" s="173"/>
      <c r="AS455" s="172"/>
      <c r="AT455" s="172"/>
      <c r="AU455" s="172"/>
      <c r="AV455" s="172"/>
      <c r="AW455" s="172"/>
      <c r="AX455" s="172"/>
      <c r="AY455" s="172"/>
      <c r="AZ455" s="172"/>
      <c r="BA455" s="172"/>
      <c r="BB455" s="172"/>
      <c r="BC455" s="172"/>
      <c r="BD455" s="172"/>
      <c r="BE455" s="172"/>
      <c r="BF455" s="172"/>
      <c r="BG455" s="172"/>
      <c r="BH455" s="172"/>
      <c r="BI455" s="172"/>
      <c r="BJ455" s="172"/>
      <c r="BK455" s="172"/>
      <c r="BL455" s="172"/>
      <c r="BM455" s="172"/>
      <c r="BN455" s="172"/>
      <c r="BO455" s="172"/>
      <c r="BP455" s="172"/>
      <c r="BQ455" s="172"/>
      <c r="BR455" s="172"/>
      <c r="BS455" s="172"/>
      <c r="BT455" s="172"/>
      <c r="BU455" s="172"/>
      <c r="BV455" s="172"/>
      <c r="BW455" s="172"/>
      <c r="BX455" s="172"/>
      <c r="BY455" s="174"/>
      <c r="BZ455" s="172"/>
      <c r="CA455" s="172"/>
      <c r="CD455" s="194"/>
      <c r="CE455" s="194"/>
      <c r="CF455" s="194"/>
      <c r="CG455" s="194"/>
      <c r="CH455" s="195"/>
      <c r="CI455" s="194"/>
      <c r="CJ455" s="194"/>
      <c r="CK455" s="194"/>
      <c r="CL455" s="196"/>
      <c r="CM455" s="196"/>
      <c r="CN455" s="194"/>
      <c r="CO455" s="197"/>
      <c r="CP455" s="196"/>
      <c r="CQ455" s="196"/>
      <c r="CR455" s="196"/>
      <c r="CS455" s="196"/>
      <c r="CT455" s="196"/>
      <c r="CU455" s="196"/>
      <c r="CV455" s="194"/>
      <c r="CW455" s="194"/>
      <c r="CX455" s="194"/>
      <c r="CY455" s="194"/>
      <c r="CZ455" s="194"/>
      <c r="DA455" s="194"/>
      <c r="DB455" s="194"/>
      <c r="DC455" s="194"/>
      <c r="DD455" s="194"/>
      <c r="DE455" s="194"/>
      <c r="DF455" s="196"/>
      <c r="DG455" s="198"/>
      <c r="DH455" s="194"/>
      <c r="DI455" s="194"/>
    </row>
    <row r="456" spans="1:113" s="24" customFormat="1" hidden="1" x14ac:dyDescent="0.3">
      <c r="A456" s="172"/>
      <c r="B456" s="172"/>
      <c r="C456" s="172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  <c r="AE456" s="173"/>
      <c r="AF456" s="173"/>
      <c r="AG456" s="173"/>
      <c r="AH456" s="173"/>
      <c r="AI456" s="173"/>
      <c r="AJ456" s="173"/>
      <c r="AK456" s="173"/>
      <c r="AL456" s="173"/>
      <c r="AM456" s="173"/>
      <c r="AN456" s="173"/>
      <c r="AO456" s="173"/>
      <c r="AP456" s="173"/>
      <c r="AQ456" s="173"/>
      <c r="AR456" s="173"/>
      <c r="AS456" s="172"/>
      <c r="AT456" s="172"/>
      <c r="AU456" s="172"/>
      <c r="AV456" s="172"/>
      <c r="AW456" s="172"/>
      <c r="AX456" s="172"/>
      <c r="AY456" s="172"/>
      <c r="AZ456" s="172"/>
      <c r="BA456" s="172"/>
      <c r="BB456" s="172"/>
      <c r="BC456" s="172"/>
      <c r="BD456" s="172"/>
      <c r="BE456" s="172"/>
      <c r="BF456" s="172"/>
      <c r="BG456" s="172"/>
      <c r="BH456" s="172"/>
      <c r="BI456" s="172"/>
      <c r="BJ456" s="172"/>
      <c r="BK456" s="172"/>
      <c r="BL456" s="172"/>
      <c r="BM456" s="172"/>
      <c r="BN456" s="172"/>
      <c r="BO456" s="172"/>
      <c r="BP456" s="172"/>
      <c r="BQ456" s="172"/>
      <c r="BR456" s="172"/>
      <c r="BS456" s="172"/>
      <c r="BT456" s="172"/>
      <c r="BU456" s="172"/>
      <c r="BV456" s="172"/>
      <c r="BW456" s="172"/>
      <c r="BX456" s="172"/>
      <c r="BY456" s="174"/>
      <c r="BZ456" s="172"/>
      <c r="CA456" s="172"/>
      <c r="CD456" s="194"/>
      <c r="CE456" s="194"/>
      <c r="CF456" s="194"/>
      <c r="CG456" s="194"/>
      <c r="CH456" s="195"/>
      <c r="CI456" s="194"/>
      <c r="CJ456" s="194"/>
      <c r="CK456" s="194"/>
      <c r="CL456" s="196"/>
      <c r="CM456" s="196"/>
      <c r="CN456" s="194"/>
      <c r="CO456" s="197"/>
      <c r="CP456" s="196"/>
      <c r="CQ456" s="196"/>
      <c r="CR456" s="196"/>
      <c r="CS456" s="196"/>
      <c r="CT456" s="196"/>
      <c r="CU456" s="196"/>
      <c r="CV456" s="194"/>
      <c r="CW456" s="194"/>
      <c r="CX456" s="194"/>
      <c r="CY456" s="194"/>
      <c r="CZ456" s="194"/>
      <c r="DA456" s="194"/>
      <c r="DB456" s="194"/>
      <c r="DC456" s="194"/>
      <c r="DD456" s="194"/>
      <c r="DE456" s="194"/>
      <c r="DF456" s="196"/>
      <c r="DG456" s="198"/>
      <c r="DH456" s="194"/>
      <c r="DI456" s="194"/>
    </row>
    <row r="457" spans="1:113" s="24" customFormat="1" hidden="1" x14ac:dyDescent="0.3">
      <c r="A457" s="172"/>
      <c r="B457" s="172"/>
      <c r="C457" s="172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  <c r="AE457" s="173"/>
      <c r="AF457" s="173"/>
      <c r="AG457" s="173"/>
      <c r="AH457" s="173"/>
      <c r="AI457" s="173"/>
      <c r="AJ457" s="173"/>
      <c r="AK457" s="173"/>
      <c r="AL457" s="173"/>
      <c r="AM457" s="173"/>
      <c r="AN457" s="173"/>
      <c r="AO457" s="173"/>
      <c r="AP457" s="173"/>
      <c r="AQ457" s="173"/>
      <c r="AR457" s="173"/>
      <c r="AS457" s="172"/>
      <c r="AT457" s="172"/>
      <c r="AU457" s="172"/>
      <c r="AV457" s="172"/>
      <c r="AW457" s="172"/>
      <c r="AX457" s="172"/>
      <c r="AY457" s="172"/>
      <c r="AZ457" s="172"/>
      <c r="BA457" s="172"/>
      <c r="BB457" s="172"/>
      <c r="BC457" s="172"/>
      <c r="BD457" s="172"/>
      <c r="BE457" s="172"/>
      <c r="BF457" s="172"/>
      <c r="BG457" s="172"/>
      <c r="BH457" s="172"/>
      <c r="BI457" s="172"/>
      <c r="BJ457" s="172"/>
      <c r="BK457" s="172"/>
      <c r="BL457" s="172"/>
      <c r="BM457" s="172"/>
      <c r="BN457" s="172"/>
      <c r="BO457" s="172"/>
      <c r="BP457" s="172"/>
      <c r="BQ457" s="172"/>
      <c r="BR457" s="172"/>
      <c r="BS457" s="172"/>
      <c r="BT457" s="172"/>
      <c r="BU457" s="172"/>
      <c r="BV457" s="172"/>
      <c r="BW457" s="172"/>
      <c r="BX457" s="172"/>
      <c r="BY457" s="174"/>
      <c r="BZ457" s="172"/>
      <c r="CA457" s="172"/>
      <c r="CD457" s="194"/>
      <c r="CE457" s="194"/>
      <c r="CF457" s="194"/>
      <c r="CG457" s="194"/>
      <c r="CH457" s="195"/>
      <c r="CI457" s="194"/>
      <c r="CJ457" s="194"/>
      <c r="CK457" s="194"/>
      <c r="CL457" s="196"/>
      <c r="CM457" s="196"/>
      <c r="CN457" s="194"/>
      <c r="CO457" s="197"/>
      <c r="CP457" s="196"/>
      <c r="CQ457" s="196"/>
      <c r="CR457" s="196"/>
      <c r="CS457" s="196"/>
      <c r="CT457" s="196"/>
      <c r="CU457" s="196"/>
      <c r="CV457" s="194"/>
      <c r="CW457" s="194"/>
      <c r="CX457" s="194"/>
      <c r="CY457" s="194"/>
      <c r="CZ457" s="194"/>
      <c r="DA457" s="194"/>
      <c r="DB457" s="194"/>
      <c r="DC457" s="194"/>
      <c r="DD457" s="194"/>
      <c r="DE457" s="194"/>
      <c r="DF457" s="196"/>
      <c r="DG457" s="198"/>
      <c r="DH457" s="194"/>
      <c r="DI457" s="194"/>
    </row>
    <row r="458" spans="1:113" s="24" customFormat="1" hidden="1" x14ac:dyDescent="0.3">
      <c r="A458" s="172"/>
      <c r="B458" s="172"/>
      <c r="C458" s="172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  <c r="AE458" s="173"/>
      <c r="AF458" s="173"/>
      <c r="AG458" s="173"/>
      <c r="AH458" s="173"/>
      <c r="AI458" s="173"/>
      <c r="AJ458" s="173"/>
      <c r="AK458" s="173"/>
      <c r="AL458" s="173"/>
      <c r="AM458" s="173"/>
      <c r="AN458" s="173"/>
      <c r="AO458" s="173"/>
      <c r="AP458" s="173"/>
      <c r="AQ458" s="173"/>
      <c r="AR458" s="173"/>
      <c r="AS458" s="172"/>
      <c r="AT458" s="172"/>
      <c r="AU458" s="172"/>
      <c r="AV458" s="172"/>
      <c r="AW458" s="172"/>
      <c r="AX458" s="172"/>
      <c r="AY458" s="172"/>
      <c r="AZ458" s="172"/>
      <c r="BA458" s="172"/>
      <c r="BB458" s="172"/>
      <c r="BC458" s="172"/>
      <c r="BD458" s="172"/>
      <c r="BE458" s="172"/>
      <c r="BF458" s="172"/>
      <c r="BG458" s="172"/>
      <c r="BH458" s="172"/>
      <c r="BI458" s="172"/>
      <c r="BJ458" s="172"/>
      <c r="BK458" s="172"/>
      <c r="BL458" s="172"/>
      <c r="BM458" s="172"/>
      <c r="BN458" s="172"/>
      <c r="BO458" s="172"/>
      <c r="BP458" s="172"/>
      <c r="BQ458" s="172"/>
      <c r="BR458" s="172"/>
      <c r="BS458" s="172"/>
      <c r="BT458" s="172"/>
      <c r="BU458" s="172"/>
      <c r="BV458" s="172"/>
      <c r="BW458" s="172"/>
      <c r="BX458" s="172"/>
      <c r="BY458" s="174"/>
      <c r="BZ458" s="172"/>
      <c r="CA458" s="172"/>
      <c r="CD458" s="194"/>
      <c r="CE458" s="194"/>
      <c r="CF458" s="194"/>
      <c r="CG458" s="194"/>
      <c r="CH458" s="195"/>
      <c r="CI458" s="194"/>
      <c r="CJ458" s="194"/>
      <c r="CK458" s="194"/>
      <c r="CL458" s="196"/>
      <c r="CM458" s="196"/>
      <c r="CN458" s="194"/>
      <c r="CO458" s="197"/>
      <c r="CP458" s="196"/>
      <c r="CQ458" s="196"/>
      <c r="CR458" s="196"/>
      <c r="CS458" s="196"/>
      <c r="CT458" s="196"/>
      <c r="CU458" s="196"/>
      <c r="CV458" s="194"/>
      <c r="CW458" s="194"/>
      <c r="CX458" s="194"/>
      <c r="CY458" s="194"/>
      <c r="CZ458" s="194"/>
      <c r="DA458" s="194"/>
      <c r="DB458" s="194"/>
      <c r="DC458" s="194"/>
      <c r="DD458" s="194"/>
      <c r="DE458" s="194"/>
      <c r="DF458" s="196"/>
      <c r="DG458" s="198"/>
      <c r="DH458" s="194"/>
      <c r="DI458" s="194"/>
    </row>
    <row r="459" spans="1:113" s="24" customFormat="1" hidden="1" x14ac:dyDescent="0.3">
      <c r="A459" s="172"/>
      <c r="B459" s="172"/>
      <c r="C459" s="172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  <c r="AE459" s="173"/>
      <c r="AF459" s="173"/>
      <c r="AG459" s="173"/>
      <c r="AH459" s="173"/>
      <c r="AI459" s="173"/>
      <c r="AJ459" s="173"/>
      <c r="AK459" s="173"/>
      <c r="AL459" s="173"/>
      <c r="AM459" s="173"/>
      <c r="AN459" s="173"/>
      <c r="AO459" s="173"/>
      <c r="AP459" s="173"/>
      <c r="AQ459" s="173"/>
      <c r="AR459" s="173"/>
      <c r="AS459" s="172"/>
      <c r="AT459" s="172"/>
      <c r="AU459" s="172"/>
      <c r="AV459" s="172"/>
      <c r="AW459" s="172"/>
      <c r="AX459" s="172"/>
      <c r="AY459" s="172"/>
      <c r="AZ459" s="172"/>
      <c r="BA459" s="172"/>
      <c r="BB459" s="172"/>
      <c r="BC459" s="172"/>
      <c r="BD459" s="172"/>
      <c r="BE459" s="172"/>
      <c r="BF459" s="172"/>
      <c r="BG459" s="172"/>
      <c r="BH459" s="172"/>
      <c r="BI459" s="172"/>
      <c r="BJ459" s="172"/>
      <c r="BK459" s="172"/>
      <c r="BL459" s="172"/>
      <c r="BM459" s="172"/>
      <c r="BN459" s="172"/>
      <c r="BO459" s="172"/>
      <c r="BP459" s="172"/>
      <c r="BQ459" s="172"/>
      <c r="BR459" s="172"/>
      <c r="BS459" s="172"/>
      <c r="BT459" s="172"/>
      <c r="BU459" s="172"/>
      <c r="BV459" s="172"/>
      <c r="BW459" s="172"/>
      <c r="BX459" s="172"/>
      <c r="BY459" s="174"/>
      <c r="BZ459" s="172"/>
      <c r="CA459" s="172"/>
      <c r="CD459" s="194"/>
      <c r="CE459" s="194"/>
      <c r="CF459" s="194"/>
      <c r="CG459" s="194"/>
      <c r="CH459" s="195"/>
      <c r="CI459" s="194"/>
      <c r="CJ459" s="194"/>
      <c r="CK459" s="194"/>
      <c r="CL459" s="196"/>
      <c r="CM459" s="196"/>
      <c r="CN459" s="194"/>
      <c r="CO459" s="197"/>
      <c r="CP459" s="196"/>
      <c r="CQ459" s="196"/>
      <c r="CR459" s="196"/>
      <c r="CS459" s="196"/>
      <c r="CT459" s="196"/>
      <c r="CU459" s="196"/>
      <c r="CV459" s="194"/>
      <c r="CW459" s="194"/>
      <c r="CX459" s="194"/>
      <c r="CY459" s="194"/>
      <c r="CZ459" s="194"/>
      <c r="DA459" s="194"/>
      <c r="DB459" s="194"/>
      <c r="DC459" s="194"/>
      <c r="DD459" s="194"/>
      <c r="DE459" s="194"/>
      <c r="DF459" s="196"/>
      <c r="DG459" s="198"/>
      <c r="DH459" s="194"/>
      <c r="DI459" s="194"/>
    </row>
    <row r="460" spans="1:113" s="24" customFormat="1" hidden="1" x14ac:dyDescent="0.3">
      <c r="A460" s="172"/>
      <c r="B460" s="172"/>
      <c r="C460" s="172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  <c r="AE460" s="173"/>
      <c r="AF460" s="173"/>
      <c r="AG460" s="173"/>
      <c r="AH460" s="173"/>
      <c r="AI460" s="173"/>
      <c r="AJ460" s="173"/>
      <c r="AK460" s="173"/>
      <c r="AL460" s="173"/>
      <c r="AM460" s="173"/>
      <c r="AN460" s="173"/>
      <c r="AO460" s="173"/>
      <c r="AP460" s="173"/>
      <c r="AQ460" s="173"/>
      <c r="AR460" s="173"/>
      <c r="AS460" s="172"/>
      <c r="AT460" s="172"/>
      <c r="AU460" s="172"/>
      <c r="AV460" s="172"/>
      <c r="AW460" s="172"/>
      <c r="AX460" s="172"/>
      <c r="AY460" s="172"/>
      <c r="AZ460" s="172"/>
      <c r="BA460" s="172"/>
      <c r="BB460" s="172"/>
      <c r="BC460" s="172"/>
      <c r="BD460" s="172"/>
      <c r="BE460" s="172"/>
      <c r="BF460" s="172"/>
      <c r="BG460" s="172"/>
      <c r="BH460" s="172"/>
      <c r="BI460" s="172"/>
      <c r="BJ460" s="172"/>
      <c r="BK460" s="172"/>
      <c r="BL460" s="172"/>
      <c r="BM460" s="172"/>
      <c r="BN460" s="172"/>
      <c r="BO460" s="172"/>
      <c r="BP460" s="172"/>
      <c r="BQ460" s="172"/>
      <c r="BR460" s="172"/>
      <c r="BS460" s="172"/>
      <c r="BT460" s="172"/>
      <c r="BU460" s="172"/>
      <c r="BV460" s="172"/>
      <c r="BW460" s="172"/>
      <c r="BX460" s="172"/>
      <c r="BY460" s="174"/>
      <c r="BZ460" s="172"/>
      <c r="CA460" s="172"/>
      <c r="CD460" s="194"/>
      <c r="CE460" s="194"/>
      <c r="CF460" s="194"/>
      <c r="CG460" s="194"/>
      <c r="CH460" s="195"/>
      <c r="CI460" s="194"/>
      <c r="CJ460" s="194"/>
      <c r="CK460" s="194"/>
      <c r="CL460" s="196"/>
      <c r="CM460" s="196"/>
      <c r="CN460" s="194"/>
      <c r="CO460" s="197"/>
      <c r="CP460" s="196"/>
      <c r="CQ460" s="196"/>
      <c r="CR460" s="196"/>
      <c r="CS460" s="196"/>
      <c r="CT460" s="196"/>
      <c r="CU460" s="196"/>
      <c r="CV460" s="194"/>
      <c r="CW460" s="194"/>
      <c r="CX460" s="194"/>
      <c r="CY460" s="194"/>
      <c r="CZ460" s="194"/>
      <c r="DA460" s="194"/>
      <c r="DB460" s="194"/>
      <c r="DC460" s="194"/>
      <c r="DD460" s="194"/>
      <c r="DE460" s="194"/>
      <c r="DF460" s="196"/>
      <c r="DG460" s="198"/>
      <c r="DH460" s="194"/>
      <c r="DI460" s="194"/>
    </row>
    <row r="461" spans="1:113" s="24" customFormat="1" hidden="1" x14ac:dyDescent="0.3">
      <c r="A461" s="172"/>
      <c r="B461" s="172"/>
      <c r="C461" s="172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  <c r="AE461" s="173"/>
      <c r="AF461" s="173"/>
      <c r="AG461" s="173"/>
      <c r="AH461" s="173"/>
      <c r="AI461" s="173"/>
      <c r="AJ461" s="173"/>
      <c r="AK461" s="173"/>
      <c r="AL461" s="173"/>
      <c r="AM461" s="173"/>
      <c r="AN461" s="173"/>
      <c r="AO461" s="173"/>
      <c r="AP461" s="173"/>
      <c r="AQ461" s="173"/>
      <c r="AR461" s="173"/>
      <c r="AS461" s="172"/>
      <c r="AT461" s="172"/>
      <c r="AU461" s="172"/>
      <c r="AV461" s="172"/>
      <c r="AW461" s="172"/>
      <c r="AX461" s="172"/>
      <c r="AY461" s="172"/>
      <c r="AZ461" s="172"/>
      <c r="BA461" s="172"/>
      <c r="BB461" s="172"/>
      <c r="BC461" s="172"/>
      <c r="BD461" s="172"/>
      <c r="BE461" s="172"/>
      <c r="BF461" s="172"/>
      <c r="BG461" s="172"/>
      <c r="BH461" s="172"/>
      <c r="BI461" s="172"/>
      <c r="BJ461" s="172"/>
      <c r="BK461" s="172"/>
      <c r="BL461" s="172"/>
      <c r="BM461" s="172"/>
      <c r="BN461" s="172"/>
      <c r="BO461" s="172"/>
      <c r="BP461" s="172"/>
      <c r="BQ461" s="172"/>
      <c r="BR461" s="172"/>
      <c r="BS461" s="172"/>
      <c r="BT461" s="172"/>
      <c r="BU461" s="172"/>
      <c r="BV461" s="172"/>
      <c r="BW461" s="172"/>
      <c r="BX461" s="172"/>
      <c r="BY461" s="174"/>
      <c r="BZ461" s="172"/>
      <c r="CA461" s="172"/>
      <c r="CD461" s="194"/>
      <c r="CE461" s="194"/>
      <c r="CF461" s="194"/>
      <c r="CG461" s="194"/>
      <c r="CH461" s="195"/>
      <c r="CI461" s="194"/>
      <c r="CJ461" s="194"/>
      <c r="CK461" s="194"/>
      <c r="CL461" s="196"/>
      <c r="CM461" s="196"/>
      <c r="CN461" s="194"/>
      <c r="CO461" s="197"/>
      <c r="CP461" s="196"/>
      <c r="CQ461" s="196"/>
      <c r="CR461" s="196"/>
      <c r="CS461" s="196"/>
      <c r="CT461" s="196"/>
      <c r="CU461" s="196"/>
      <c r="CV461" s="194"/>
      <c r="CW461" s="194"/>
      <c r="CX461" s="194"/>
      <c r="CY461" s="194"/>
      <c r="CZ461" s="194"/>
      <c r="DA461" s="194"/>
      <c r="DB461" s="194"/>
      <c r="DC461" s="194"/>
      <c r="DD461" s="194"/>
      <c r="DE461" s="194"/>
      <c r="DF461" s="196"/>
      <c r="DG461" s="198"/>
      <c r="DH461" s="194"/>
      <c r="DI461" s="194"/>
    </row>
    <row r="462" spans="1:113" s="24" customFormat="1" hidden="1" x14ac:dyDescent="0.3">
      <c r="A462" s="172"/>
      <c r="B462" s="172"/>
      <c r="C462" s="172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  <c r="AE462" s="173"/>
      <c r="AF462" s="173"/>
      <c r="AG462" s="173"/>
      <c r="AH462" s="173"/>
      <c r="AI462" s="173"/>
      <c r="AJ462" s="173"/>
      <c r="AK462" s="173"/>
      <c r="AL462" s="173"/>
      <c r="AM462" s="173"/>
      <c r="AN462" s="173"/>
      <c r="AO462" s="173"/>
      <c r="AP462" s="173"/>
      <c r="AQ462" s="173"/>
      <c r="AR462" s="173"/>
      <c r="AS462" s="172"/>
      <c r="AT462" s="172"/>
      <c r="AU462" s="172"/>
      <c r="AV462" s="172"/>
      <c r="AW462" s="172"/>
      <c r="AX462" s="172"/>
      <c r="AY462" s="172"/>
      <c r="AZ462" s="172"/>
      <c r="BA462" s="172"/>
      <c r="BB462" s="172"/>
      <c r="BC462" s="172"/>
      <c r="BD462" s="172"/>
      <c r="BE462" s="172"/>
      <c r="BF462" s="172"/>
      <c r="BG462" s="172"/>
      <c r="BH462" s="172"/>
      <c r="BI462" s="172"/>
      <c r="BJ462" s="172"/>
      <c r="BK462" s="172"/>
      <c r="BL462" s="172"/>
      <c r="BM462" s="172"/>
      <c r="BN462" s="172"/>
      <c r="BO462" s="172"/>
      <c r="BP462" s="172"/>
      <c r="BQ462" s="172"/>
      <c r="BR462" s="172"/>
      <c r="BS462" s="172"/>
      <c r="BT462" s="172"/>
      <c r="BU462" s="172"/>
      <c r="BV462" s="172"/>
      <c r="BW462" s="172"/>
      <c r="BX462" s="172"/>
      <c r="BY462" s="174"/>
      <c r="BZ462" s="172"/>
      <c r="CA462" s="172"/>
      <c r="CD462" s="194"/>
      <c r="CE462" s="194"/>
      <c r="CF462" s="194"/>
      <c r="CG462" s="194"/>
      <c r="CH462" s="195"/>
      <c r="CI462" s="194"/>
      <c r="CJ462" s="194"/>
      <c r="CK462" s="194"/>
      <c r="CL462" s="196"/>
      <c r="CM462" s="196"/>
      <c r="CN462" s="194"/>
      <c r="CO462" s="197"/>
      <c r="CP462" s="196"/>
      <c r="CQ462" s="196"/>
      <c r="CR462" s="196"/>
      <c r="CS462" s="196"/>
      <c r="CT462" s="196"/>
      <c r="CU462" s="196"/>
      <c r="CV462" s="194"/>
      <c r="CW462" s="194"/>
      <c r="CX462" s="194"/>
      <c r="CY462" s="194"/>
      <c r="CZ462" s="194"/>
      <c r="DA462" s="194"/>
      <c r="DB462" s="194"/>
      <c r="DC462" s="194"/>
      <c r="DD462" s="194"/>
      <c r="DE462" s="194"/>
      <c r="DF462" s="196"/>
      <c r="DG462" s="198"/>
      <c r="DH462" s="194"/>
      <c r="DI462" s="194"/>
    </row>
    <row r="463" spans="1:113" s="24" customFormat="1" hidden="1" x14ac:dyDescent="0.3">
      <c r="A463" s="172"/>
      <c r="B463" s="172"/>
      <c r="C463" s="172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  <c r="AE463" s="173"/>
      <c r="AF463" s="173"/>
      <c r="AG463" s="173"/>
      <c r="AH463" s="173"/>
      <c r="AI463" s="173"/>
      <c r="AJ463" s="173"/>
      <c r="AK463" s="173"/>
      <c r="AL463" s="173"/>
      <c r="AM463" s="173"/>
      <c r="AN463" s="173"/>
      <c r="AO463" s="173"/>
      <c r="AP463" s="173"/>
      <c r="AQ463" s="173"/>
      <c r="AR463" s="173"/>
      <c r="AS463" s="172"/>
      <c r="AT463" s="172"/>
      <c r="AU463" s="172"/>
      <c r="AV463" s="172"/>
      <c r="AW463" s="172"/>
      <c r="AX463" s="172"/>
      <c r="AY463" s="172"/>
      <c r="AZ463" s="172"/>
      <c r="BA463" s="172"/>
      <c r="BB463" s="172"/>
      <c r="BC463" s="172"/>
      <c r="BD463" s="172"/>
      <c r="BE463" s="172"/>
      <c r="BF463" s="172"/>
      <c r="BG463" s="172"/>
      <c r="BH463" s="172"/>
      <c r="BI463" s="172"/>
      <c r="BJ463" s="172"/>
      <c r="BK463" s="172"/>
      <c r="BL463" s="172"/>
      <c r="BM463" s="172"/>
      <c r="BN463" s="172"/>
      <c r="BO463" s="172"/>
      <c r="BP463" s="172"/>
      <c r="BQ463" s="172"/>
      <c r="BR463" s="172"/>
      <c r="BS463" s="172"/>
      <c r="BT463" s="172"/>
      <c r="BU463" s="172"/>
      <c r="BV463" s="172"/>
      <c r="BW463" s="172"/>
      <c r="BX463" s="172"/>
      <c r="BY463" s="174"/>
      <c r="BZ463" s="172"/>
      <c r="CA463" s="172"/>
      <c r="CD463" s="194"/>
      <c r="CE463" s="194"/>
      <c r="CF463" s="194"/>
      <c r="CG463" s="194"/>
      <c r="CH463" s="195"/>
      <c r="CI463" s="194"/>
      <c r="CJ463" s="194"/>
      <c r="CK463" s="194"/>
      <c r="CL463" s="196"/>
      <c r="CM463" s="196"/>
      <c r="CN463" s="194"/>
      <c r="CO463" s="197"/>
      <c r="CP463" s="196"/>
      <c r="CQ463" s="196"/>
      <c r="CR463" s="196"/>
      <c r="CS463" s="196"/>
      <c r="CT463" s="196"/>
      <c r="CU463" s="196"/>
      <c r="CV463" s="194"/>
      <c r="CW463" s="194"/>
      <c r="CX463" s="194"/>
      <c r="CY463" s="194"/>
      <c r="CZ463" s="194"/>
      <c r="DA463" s="194"/>
      <c r="DB463" s="194"/>
      <c r="DC463" s="194"/>
      <c r="DD463" s="194"/>
      <c r="DE463" s="194"/>
      <c r="DF463" s="196"/>
      <c r="DG463" s="198"/>
      <c r="DH463" s="194"/>
      <c r="DI463" s="194"/>
    </row>
    <row r="464" spans="1:113" s="24" customFormat="1" hidden="1" x14ac:dyDescent="0.3">
      <c r="A464" s="172"/>
      <c r="B464" s="172"/>
      <c r="C464" s="172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  <c r="AE464" s="173"/>
      <c r="AF464" s="173"/>
      <c r="AG464" s="173"/>
      <c r="AH464" s="173"/>
      <c r="AI464" s="173"/>
      <c r="AJ464" s="173"/>
      <c r="AK464" s="173"/>
      <c r="AL464" s="173"/>
      <c r="AM464" s="173"/>
      <c r="AN464" s="173"/>
      <c r="AO464" s="173"/>
      <c r="AP464" s="173"/>
      <c r="AQ464" s="173"/>
      <c r="AR464" s="173"/>
      <c r="AS464" s="172"/>
      <c r="AT464" s="172"/>
      <c r="AU464" s="172"/>
      <c r="AV464" s="172"/>
      <c r="AW464" s="172"/>
      <c r="AX464" s="172"/>
      <c r="AY464" s="172"/>
      <c r="AZ464" s="172"/>
      <c r="BA464" s="172"/>
      <c r="BB464" s="172"/>
      <c r="BC464" s="172"/>
      <c r="BD464" s="172"/>
      <c r="BE464" s="172"/>
      <c r="BF464" s="172"/>
      <c r="BG464" s="172"/>
      <c r="BH464" s="172"/>
      <c r="BI464" s="172"/>
      <c r="BJ464" s="172"/>
      <c r="BK464" s="172"/>
      <c r="BL464" s="172"/>
      <c r="BM464" s="172"/>
      <c r="BN464" s="172"/>
      <c r="BO464" s="172"/>
      <c r="BP464" s="172"/>
      <c r="BQ464" s="172"/>
      <c r="BR464" s="172"/>
      <c r="BS464" s="172"/>
      <c r="BT464" s="172"/>
      <c r="BU464" s="172"/>
      <c r="BV464" s="172"/>
      <c r="BW464" s="172"/>
      <c r="BX464" s="172"/>
      <c r="BY464" s="174"/>
      <c r="BZ464" s="172"/>
      <c r="CA464" s="172"/>
      <c r="CD464" s="194"/>
      <c r="CE464" s="194"/>
      <c r="CF464" s="194"/>
      <c r="CG464" s="194"/>
      <c r="CH464" s="195"/>
      <c r="CI464" s="194"/>
      <c r="CJ464" s="194"/>
      <c r="CK464" s="194"/>
      <c r="CL464" s="196"/>
      <c r="CM464" s="196"/>
      <c r="CN464" s="194"/>
      <c r="CO464" s="197"/>
      <c r="CP464" s="196"/>
      <c r="CQ464" s="196"/>
      <c r="CR464" s="196"/>
      <c r="CS464" s="196"/>
      <c r="CT464" s="196"/>
      <c r="CU464" s="196"/>
      <c r="CV464" s="194"/>
      <c r="CW464" s="194"/>
      <c r="CX464" s="194"/>
      <c r="CY464" s="194"/>
      <c r="CZ464" s="194"/>
      <c r="DA464" s="194"/>
      <c r="DB464" s="194"/>
      <c r="DC464" s="194"/>
      <c r="DD464" s="194"/>
      <c r="DE464" s="194"/>
      <c r="DF464" s="196"/>
      <c r="DG464" s="198"/>
      <c r="DH464" s="194"/>
      <c r="DI464" s="194"/>
    </row>
    <row r="465" spans="1:113" s="24" customFormat="1" hidden="1" x14ac:dyDescent="0.3">
      <c r="A465" s="172"/>
      <c r="B465" s="172"/>
      <c r="C465" s="172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  <c r="AE465" s="173"/>
      <c r="AF465" s="173"/>
      <c r="AG465" s="173"/>
      <c r="AH465" s="173"/>
      <c r="AI465" s="173"/>
      <c r="AJ465" s="173"/>
      <c r="AK465" s="173"/>
      <c r="AL465" s="173"/>
      <c r="AM465" s="173"/>
      <c r="AN465" s="173"/>
      <c r="AO465" s="173"/>
      <c r="AP465" s="173"/>
      <c r="AQ465" s="173"/>
      <c r="AR465" s="173"/>
      <c r="AS465" s="172"/>
      <c r="AT465" s="172"/>
      <c r="AU465" s="172"/>
      <c r="AV465" s="172"/>
      <c r="AW465" s="172"/>
      <c r="AX465" s="172"/>
      <c r="AY465" s="172"/>
      <c r="AZ465" s="172"/>
      <c r="BA465" s="172"/>
      <c r="BB465" s="172"/>
      <c r="BC465" s="172"/>
      <c r="BD465" s="172"/>
      <c r="BE465" s="172"/>
      <c r="BF465" s="172"/>
      <c r="BG465" s="172"/>
      <c r="BH465" s="172"/>
      <c r="BI465" s="172"/>
      <c r="BJ465" s="172"/>
      <c r="BK465" s="172"/>
      <c r="BL465" s="172"/>
      <c r="BM465" s="172"/>
      <c r="BN465" s="172"/>
      <c r="BO465" s="172"/>
      <c r="BP465" s="172"/>
      <c r="BQ465" s="172"/>
      <c r="BR465" s="172"/>
      <c r="BS465" s="172"/>
      <c r="BT465" s="172"/>
      <c r="BU465" s="172"/>
      <c r="BV465" s="172"/>
      <c r="BW465" s="172"/>
      <c r="BX465" s="172"/>
      <c r="BY465" s="174"/>
      <c r="BZ465" s="172"/>
      <c r="CA465" s="172"/>
      <c r="CD465" s="194"/>
      <c r="CE465" s="194"/>
      <c r="CF465" s="194"/>
      <c r="CG465" s="194"/>
      <c r="CH465" s="195"/>
      <c r="CI465" s="194"/>
      <c r="CJ465" s="194"/>
      <c r="CK465" s="194"/>
      <c r="CL465" s="196"/>
      <c r="CM465" s="196"/>
      <c r="CN465" s="194"/>
      <c r="CO465" s="197"/>
      <c r="CP465" s="196"/>
      <c r="CQ465" s="196"/>
      <c r="CR465" s="196"/>
      <c r="CS465" s="196"/>
      <c r="CT465" s="196"/>
      <c r="CU465" s="196"/>
      <c r="CV465" s="194"/>
      <c r="CW465" s="194"/>
      <c r="CX465" s="194"/>
      <c r="CY465" s="194"/>
      <c r="CZ465" s="194"/>
      <c r="DA465" s="194"/>
      <c r="DB465" s="194"/>
      <c r="DC465" s="194"/>
      <c r="DD465" s="194"/>
      <c r="DE465" s="194"/>
      <c r="DF465" s="196"/>
      <c r="DG465" s="198"/>
      <c r="DH465" s="194"/>
      <c r="DI465" s="194"/>
    </row>
    <row r="466" spans="1:113" s="24" customFormat="1" hidden="1" x14ac:dyDescent="0.3">
      <c r="A466" s="172"/>
      <c r="B466" s="172"/>
      <c r="C466" s="172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  <c r="AE466" s="173"/>
      <c r="AF466" s="173"/>
      <c r="AG466" s="173"/>
      <c r="AH466" s="173"/>
      <c r="AI466" s="173"/>
      <c r="AJ466" s="173"/>
      <c r="AK466" s="173"/>
      <c r="AL466" s="173"/>
      <c r="AM466" s="173"/>
      <c r="AN466" s="173"/>
      <c r="AO466" s="173"/>
      <c r="AP466" s="173"/>
      <c r="AQ466" s="173"/>
      <c r="AR466" s="173"/>
      <c r="AS466" s="172"/>
      <c r="AT466" s="172"/>
      <c r="AU466" s="172"/>
      <c r="AV466" s="172"/>
      <c r="AW466" s="172"/>
      <c r="AX466" s="172"/>
      <c r="AY466" s="172"/>
      <c r="AZ466" s="172"/>
      <c r="BA466" s="172"/>
      <c r="BB466" s="172"/>
      <c r="BC466" s="172"/>
      <c r="BD466" s="172"/>
      <c r="BE466" s="172"/>
      <c r="BF466" s="172"/>
      <c r="BG466" s="172"/>
      <c r="BH466" s="172"/>
      <c r="BI466" s="172"/>
      <c r="BJ466" s="172"/>
      <c r="BK466" s="172"/>
      <c r="BL466" s="172"/>
      <c r="BM466" s="172"/>
      <c r="BN466" s="172"/>
      <c r="BO466" s="172"/>
      <c r="BP466" s="172"/>
      <c r="BQ466" s="172"/>
      <c r="BR466" s="172"/>
      <c r="BS466" s="172"/>
      <c r="BT466" s="172"/>
      <c r="BU466" s="172"/>
      <c r="BV466" s="172"/>
      <c r="BW466" s="172"/>
      <c r="BX466" s="172"/>
      <c r="BY466" s="174"/>
      <c r="BZ466" s="172"/>
      <c r="CA466" s="172"/>
      <c r="CD466" s="194"/>
      <c r="CE466" s="194"/>
      <c r="CF466" s="194"/>
      <c r="CG466" s="194"/>
      <c r="CH466" s="195"/>
      <c r="CI466" s="194"/>
      <c r="CJ466" s="194"/>
      <c r="CK466" s="194"/>
      <c r="CL466" s="196"/>
      <c r="CM466" s="196"/>
      <c r="CN466" s="194"/>
      <c r="CO466" s="197"/>
      <c r="CP466" s="196"/>
      <c r="CQ466" s="196"/>
      <c r="CR466" s="196"/>
      <c r="CS466" s="196"/>
      <c r="CT466" s="196"/>
      <c r="CU466" s="196"/>
      <c r="CV466" s="194"/>
      <c r="CW466" s="194"/>
      <c r="CX466" s="194"/>
      <c r="CY466" s="194"/>
      <c r="CZ466" s="194"/>
      <c r="DA466" s="194"/>
      <c r="DB466" s="194"/>
      <c r="DC466" s="194"/>
      <c r="DD466" s="194"/>
      <c r="DE466" s="194"/>
      <c r="DF466" s="196"/>
      <c r="DG466" s="198"/>
      <c r="DH466" s="194"/>
      <c r="DI466" s="194"/>
    </row>
    <row r="467" spans="1:113" s="24" customFormat="1" hidden="1" x14ac:dyDescent="0.3">
      <c r="A467" s="172"/>
      <c r="B467" s="172"/>
      <c r="C467" s="172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  <c r="AE467" s="173"/>
      <c r="AF467" s="173"/>
      <c r="AG467" s="173"/>
      <c r="AH467" s="173"/>
      <c r="AI467" s="173"/>
      <c r="AJ467" s="173"/>
      <c r="AK467" s="173"/>
      <c r="AL467" s="173"/>
      <c r="AM467" s="173"/>
      <c r="AN467" s="173"/>
      <c r="AO467" s="173"/>
      <c r="AP467" s="173"/>
      <c r="AQ467" s="173"/>
      <c r="AR467" s="173"/>
      <c r="AS467" s="172"/>
      <c r="AT467" s="172"/>
      <c r="AU467" s="172"/>
      <c r="AV467" s="172"/>
      <c r="AW467" s="172"/>
      <c r="AX467" s="172"/>
      <c r="AY467" s="172"/>
      <c r="AZ467" s="172"/>
      <c r="BA467" s="172"/>
      <c r="BB467" s="172"/>
      <c r="BC467" s="172"/>
      <c r="BD467" s="172"/>
      <c r="BE467" s="172"/>
      <c r="BF467" s="172"/>
      <c r="BG467" s="172"/>
      <c r="BH467" s="172"/>
      <c r="BI467" s="172"/>
      <c r="BJ467" s="172"/>
      <c r="BK467" s="172"/>
      <c r="BL467" s="172"/>
      <c r="BM467" s="172"/>
      <c r="BN467" s="172"/>
      <c r="BO467" s="172"/>
      <c r="BP467" s="172"/>
      <c r="BQ467" s="172"/>
      <c r="BR467" s="172"/>
      <c r="BS467" s="172"/>
      <c r="BT467" s="172"/>
      <c r="BU467" s="172"/>
      <c r="BV467" s="172"/>
      <c r="BW467" s="172"/>
      <c r="BX467" s="172"/>
      <c r="BY467" s="174"/>
      <c r="BZ467" s="172"/>
      <c r="CA467" s="172"/>
      <c r="CD467" s="194"/>
      <c r="CE467" s="194"/>
      <c r="CF467" s="194"/>
      <c r="CG467" s="194"/>
      <c r="CH467" s="195"/>
      <c r="CI467" s="194"/>
      <c r="CJ467" s="194"/>
      <c r="CK467" s="194"/>
      <c r="CL467" s="196"/>
      <c r="CM467" s="196"/>
      <c r="CN467" s="194"/>
      <c r="CO467" s="197"/>
      <c r="CP467" s="196"/>
      <c r="CQ467" s="196"/>
      <c r="CR467" s="196"/>
      <c r="CS467" s="196"/>
      <c r="CT467" s="196"/>
      <c r="CU467" s="196"/>
      <c r="CV467" s="194"/>
      <c r="CW467" s="194"/>
      <c r="CX467" s="194"/>
      <c r="CY467" s="194"/>
      <c r="CZ467" s="194"/>
      <c r="DA467" s="194"/>
      <c r="DB467" s="194"/>
      <c r="DC467" s="194"/>
      <c r="DD467" s="194"/>
      <c r="DE467" s="194"/>
      <c r="DF467" s="196"/>
      <c r="DG467" s="198"/>
      <c r="DH467" s="194"/>
      <c r="DI467" s="194"/>
    </row>
    <row r="468" spans="1:113" s="24" customFormat="1" hidden="1" x14ac:dyDescent="0.3">
      <c r="A468" s="172"/>
      <c r="B468" s="172"/>
      <c r="C468" s="172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  <c r="AE468" s="173"/>
      <c r="AF468" s="173"/>
      <c r="AG468" s="173"/>
      <c r="AH468" s="173"/>
      <c r="AI468" s="173"/>
      <c r="AJ468" s="173"/>
      <c r="AK468" s="173"/>
      <c r="AL468" s="173"/>
      <c r="AM468" s="173"/>
      <c r="AN468" s="173"/>
      <c r="AO468" s="173"/>
      <c r="AP468" s="173"/>
      <c r="AQ468" s="173"/>
      <c r="AR468" s="173"/>
      <c r="AS468" s="172"/>
      <c r="AT468" s="172"/>
      <c r="AU468" s="172"/>
      <c r="AV468" s="172"/>
      <c r="AW468" s="172"/>
      <c r="AX468" s="172"/>
      <c r="AY468" s="172"/>
      <c r="AZ468" s="172"/>
      <c r="BA468" s="172"/>
      <c r="BB468" s="172"/>
      <c r="BC468" s="172"/>
      <c r="BD468" s="172"/>
      <c r="BE468" s="172"/>
      <c r="BF468" s="172"/>
      <c r="BG468" s="172"/>
      <c r="BH468" s="172"/>
      <c r="BI468" s="172"/>
      <c r="BJ468" s="172"/>
      <c r="BK468" s="172"/>
      <c r="BL468" s="172"/>
      <c r="BM468" s="172"/>
      <c r="BN468" s="172"/>
      <c r="BO468" s="172"/>
      <c r="BP468" s="172"/>
      <c r="BQ468" s="172"/>
      <c r="BR468" s="172"/>
      <c r="BS468" s="172"/>
      <c r="BT468" s="172"/>
      <c r="BU468" s="172"/>
      <c r="BV468" s="172"/>
      <c r="BW468" s="172"/>
      <c r="BX468" s="172"/>
      <c r="BY468" s="174"/>
      <c r="BZ468" s="172"/>
      <c r="CA468" s="172"/>
      <c r="CD468" s="194"/>
      <c r="CE468" s="194"/>
      <c r="CF468" s="194"/>
      <c r="CG468" s="194"/>
      <c r="CH468" s="195"/>
      <c r="CI468" s="194"/>
      <c r="CJ468" s="194"/>
      <c r="CK468" s="194"/>
      <c r="CL468" s="196"/>
      <c r="CM468" s="196"/>
      <c r="CN468" s="194"/>
      <c r="CO468" s="197"/>
      <c r="CP468" s="196"/>
      <c r="CQ468" s="196"/>
      <c r="CR468" s="196"/>
      <c r="CS468" s="196"/>
      <c r="CT468" s="196"/>
      <c r="CU468" s="196"/>
      <c r="CV468" s="194"/>
      <c r="CW468" s="194"/>
      <c r="CX468" s="194"/>
      <c r="CY468" s="194"/>
      <c r="CZ468" s="194"/>
      <c r="DA468" s="194"/>
      <c r="DB468" s="194"/>
      <c r="DC468" s="194"/>
      <c r="DD468" s="194"/>
      <c r="DE468" s="194"/>
      <c r="DF468" s="196"/>
      <c r="DG468" s="198"/>
      <c r="DH468" s="194"/>
      <c r="DI468" s="194"/>
    </row>
    <row r="469" spans="1:113" s="24" customFormat="1" hidden="1" x14ac:dyDescent="0.3">
      <c r="A469" s="172"/>
      <c r="B469" s="172"/>
      <c r="C469" s="172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  <c r="AE469" s="173"/>
      <c r="AF469" s="173"/>
      <c r="AG469" s="173"/>
      <c r="AH469" s="173"/>
      <c r="AI469" s="173"/>
      <c r="AJ469" s="173"/>
      <c r="AK469" s="173"/>
      <c r="AL469" s="173"/>
      <c r="AM469" s="173"/>
      <c r="AN469" s="173"/>
      <c r="AO469" s="173"/>
      <c r="AP469" s="173"/>
      <c r="AQ469" s="173"/>
      <c r="AR469" s="173"/>
      <c r="AS469" s="172"/>
      <c r="AT469" s="172"/>
      <c r="AU469" s="172"/>
      <c r="AV469" s="172"/>
      <c r="AW469" s="172"/>
      <c r="AX469" s="172"/>
      <c r="AY469" s="172"/>
      <c r="AZ469" s="172"/>
      <c r="BA469" s="172"/>
      <c r="BB469" s="172"/>
      <c r="BC469" s="172"/>
      <c r="BD469" s="172"/>
      <c r="BE469" s="172"/>
      <c r="BF469" s="172"/>
      <c r="BG469" s="172"/>
      <c r="BH469" s="172"/>
      <c r="BI469" s="172"/>
      <c r="BJ469" s="172"/>
      <c r="BK469" s="172"/>
      <c r="BL469" s="172"/>
      <c r="BM469" s="172"/>
      <c r="BN469" s="172"/>
      <c r="BO469" s="172"/>
      <c r="BP469" s="172"/>
      <c r="BQ469" s="172"/>
      <c r="BR469" s="172"/>
      <c r="BS469" s="172"/>
      <c r="BT469" s="172"/>
      <c r="BU469" s="172"/>
      <c r="BV469" s="172"/>
      <c r="BW469" s="172"/>
      <c r="BX469" s="172"/>
      <c r="BY469" s="174"/>
      <c r="BZ469" s="172"/>
      <c r="CA469" s="172"/>
      <c r="CD469" s="194"/>
      <c r="CE469" s="194"/>
      <c r="CF469" s="194"/>
      <c r="CG469" s="194"/>
      <c r="CH469" s="195"/>
      <c r="CI469" s="194"/>
      <c r="CJ469" s="194"/>
      <c r="CK469" s="194"/>
      <c r="CL469" s="196"/>
      <c r="CM469" s="196"/>
      <c r="CN469" s="194"/>
      <c r="CO469" s="197"/>
      <c r="CP469" s="196"/>
      <c r="CQ469" s="196"/>
      <c r="CR469" s="196"/>
      <c r="CS469" s="196"/>
      <c r="CT469" s="196"/>
      <c r="CU469" s="196"/>
      <c r="CV469" s="194"/>
      <c r="CW469" s="194"/>
      <c r="CX469" s="194"/>
      <c r="CY469" s="194"/>
      <c r="CZ469" s="194"/>
      <c r="DA469" s="194"/>
      <c r="DB469" s="194"/>
      <c r="DC469" s="194"/>
      <c r="DD469" s="194"/>
      <c r="DE469" s="194"/>
      <c r="DF469" s="196"/>
      <c r="DG469" s="198"/>
      <c r="DH469" s="194"/>
      <c r="DI469" s="194"/>
    </row>
    <row r="470" spans="1:113" s="24" customFormat="1" hidden="1" x14ac:dyDescent="0.3">
      <c r="A470" s="172"/>
      <c r="B470" s="172"/>
      <c r="C470" s="172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  <c r="AE470" s="173"/>
      <c r="AF470" s="173"/>
      <c r="AG470" s="173"/>
      <c r="AH470" s="173"/>
      <c r="AI470" s="173"/>
      <c r="AJ470" s="173"/>
      <c r="AK470" s="173"/>
      <c r="AL470" s="173"/>
      <c r="AM470" s="173"/>
      <c r="AN470" s="173"/>
      <c r="AO470" s="173"/>
      <c r="AP470" s="173"/>
      <c r="AQ470" s="173"/>
      <c r="AR470" s="173"/>
      <c r="AS470" s="172"/>
      <c r="AT470" s="172"/>
      <c r="AU470" s="172"/>
      <c r="AV470" s="172"/>
      <c r="AW470" s="172"/>
      <c r="AX470" s="172"/>
      <c r="AY470" s="172"/>
      <c r="AZ470" s="172"/>
      <c r="BA470" s="172"/>
      <c r="BB470" s="172"/>
      <c r="BC470" s="172"/>
      <c r="BD470" s="172"/>
      <c r="BE470" s="172"/>
      <c r="BF470" s="172"/>
      <c r="BG470" s="172"/>
      <c r="BH470" s="172"/>
      <c r="BI470" s="172"/>
      <c r="BJ470" s="172"/>
      <c r="BK470" s="172"/>
      <c r="BL470" s="172"/>
      <c r="BM470" s="172"/>
      <c r="BN470" s="172"/>
      <c r="BO470" s="172"/>
      <c r="BP470" s="172"/>
      <c r="BQ470" s="172"/>
      <c r="BR470" s="172"/>
      <c r="BS470" s="172"/>
      <c r="BT470" s="172"/>
      <c r="BU470" s="172"/>
      <c r="BV470" s="172"/>
      <c r="BW470" s="172"/>
      <c r="BX470" s="172"/>
      <c r="BY470" s="174"/>
      <c r="BZ470" s="172"/>
      <c r="CA470" s="172"/>
      <c r="CD470" s="194"/>
      <c r="CE470" s="194"/>
      <c r="CF470" s="194"/>
      <c r="CG470" s="194"/>
      <c r="CH470" s="195"/>
      <c r="CI470" s="194"/>
      <c r="CJ470" s="194"/>
      <c r="CK470" s="194"/>
      <c r="CL470" s="196"/>
      <c r="CM470" s="196"/>
      <c r="CN470" s="194"/>
      <c r="CO470" s="197"/>
      <c r="CP470" s="196"/>
      <c r="CQ470" s="196"/>
      <c r="CR470" s="196"/>
      <c r="CS470" s="196"/>
      <c r="CT470" s="196"/>
      <c r="CU470" s="196"/>
      <c r="CV470" s="194"/>
      <c r="CW470" s="194"/>
      <c r="CX470" s="194"/>
      <c r="CY470" s="194"/>
      <c r="CZ470" s="194"/>
      <c r="DA470" s="194"/>
      <c r="DB470" s="194"/>
      <c r="DC470" s="194"/>
      <c r="DD470" s="194"/>
      <c r="DE470" s="194"/>
      <c r="DF470" s="196"/>
      <c r="DG470" s="198"/>
      <c r="DH470" s="194"/>
      <c r="DI470" s="194"/>
    </row>
    <row r="471" spans="1:113" s="24" customFormat="1" hidden="1" x14ac:dyDescent="0.3">
      <c r="A471" s="172"/>
      <c r="B471" s="172"/>
      <c r="C471" s="172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  <c r="AE471" s="173"/>
      <c r="AF471" s="173"/>
      <c r="AG471" s="173"/>
      <c r="AH471" s="173"/>
      <c r="AI471" s="173"/>
      <c r="AJ471" s="173"/>
      <c r="AK471" s="173"/>
      <c r="AL471" s="173"/>
      <c r="AM471" s="173"/>
      <c r="AN471" s="173"/>
      <c r="AO471" s="173"/>
      <c r="AP471" s="173"/>
      <c r="AQ471" s="173"/>
      <c r="AR471" s="173"/>
      <c r="AS471" s="172"/>
      <c r="AT471" s="172"/>
      <c r="AU471" s="172"/>
      <c r="AV471" s="172"/>
      <c r="AW471" s="172"/>
      <c r="AX471" s="172"/>
      <c r="AY471" s="172"/>
      <c r="AZ471" s="172"/>
      <c r="BA471" s="172"/>
      <c r="BB471" s="172"/>
      <c r="BC471" s="172"/>
      <c r="BD471" s="172"/>
      <c r="BE471" s="172"/>
      <c r="BF471" s="172"/>
      <c r="BG471" s="172"/>
      <c r="BH471" s="172"/>
      <c r="BI471" s="172"/>
      <c r="BJ471" s="172"/>
      <c r="BK471" s="172"/>
      <c r="BL471" s="172"/>
      <c r="BM471" s="172"/>
      <c r="BN471" s="172"/>
      <c r="BO471" s="172"/>
      <c r="BP471" s="172"/>
      <c r="BQ471" s="172"/>
      <c r="BR471" s="172"/>
      <c r="BS471" s="172"/>
      <c r="BT471" s="172"/>
      <c r="BU471" s="172"/>
      <c r="BV471" s="172"/>
      <c r="BW471" s="172"/>
      <c r="BX471" s="172"/>
      <c r="BY471" s="174"/>
      <c r="BZ471" s="172"/>
      <c r="CA471" s="172"/>
      <c r="CD471" s="194"/>
      <c r="CE471" s="194"/>
      <c r="CF471" s="194"/>
      <c r="CG471" s="194"/>
      <c r="CH471" s="195"/>
      <c r="CI471" s="194"/>
      <c r="CJ471" s="194"/>
      <c r="CK471" s="194"/>
      <c r="CL471" s="196"/>
      <c r="CM471" s="196"/>
      <c r="CN471" s="194"/>
      <c r="CO471" s="197"/>
      <c r="CP471" s="196"/>
      <c r="CQ471" s="196"/>
      <c r="CR471" s="196"/>
      <c r="CS471" s="196"/>
      <c r="CT471" s="196"/>
      <c r="CU471" s="196"/>
      <c r="CV471" s="194"/>
      <c r="CW471" s="194"/>
      <c r="CX471" s="194"/>
      <c r="CY471" s="194"/>
      <c r="CZ471" s="194"/>
      <c r="DA471" s="194"/>
      <c r="DB471" s="194"/>
      <c r="DC471" s="194"/>
      <c r="DD471" s="194"/>
      <c r="DE471" s="194"/>
      <c r="DF471" s="196"/>
      <c r="DG471" s="198"/>
      <c r="DH471" s="194"/>
      <c r="DI471" s="194"/>
    </row>
    <row r="472" spans="1:113" s="24" customFormat="1" hidden="1" x14ac:dyDescent="0.3">
      <c r="A472" s="172"/>
      <c r="B472" s="172"/>
      <c r="C472" s="172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  <c r="AE472" s="173"/>
      <c r="AF472" s="173"/>
      <c r="AG472" s="173"/>
      <c r="AH472" s="173"/>
      <c r="AI472" s="173"/>
      <c r="AJ472" s="173"/>
      <c r="AK472" s="173"/>
      <c r="AL472" s="173"/>
      <c r="AM472" s="173"/>
      <c r="AN472" s="173"/>
      <c r="AO472" s="173"/>
      <c r="AP472" s="173"/>
      <c r="AQ472" s="173"/>
      <c r="AR472" s="173"/>
      <c r="AS472" s="172"/>
      <c r="AT472" s="172"/>
      <c r="AU472" s="172"/>
      <c r="AV472" s="172"/>
      <c r="AW472" s="172"/>
      <c r="AX472" s="172"/>
      <c r="AY472" s="172"/>
      <c r="AZ472" s="172"/>
      <c r="BA472" s="172"/>
      <c r="BB472" s="172"/>
      <c r="BC472" s="172"/>
      <c r="BD472" s="172"/>
      <c r="BE472" s="172"/>
      <c r="BF472" s="172"/>
      <c r="BG472" s="172"/>
      <c r="BH472" s="172"/>
      <c r="BI472" s="172"/>
      <c r="BJ472" s="172"/>
      <c r="BK472" s="172"/>
      <c r="BL472" s="172"/>
      <c r="BM472" s="172"/>
      <c r="BN472" s="172"/>
      <c r="BO472" s="172"/>
      <c r="BP472" s="172"/>
      <c r="BQ472" s="172"/>
      <c r="BR472" s="172"/>
      <c r="BS472" s="172"/>
      <c r="BT472" s="172"/>
      <c r="BU472" s="172"/>
      <c r="BV472" s="172"/>
      <c r="BW472" s="172"/>
      <c r="BX472" s="172"/>
      <c r="BY472" s="174"/>
      <c r="BZ472" s="172"/>
      <c r="CA472" s="172"/>
      <c r="CD472" s="194"/>
      <c r="CE472" s="194"/>
      <c r="CF472" s="194"/>
      <c r="CG472" s="194"/>
      <c r="CH472" s="195"/>
      <c r="CI472" s="194"/>
      <c r="CJ472" s="194"/>
      <c r="CK472" s="194"/>
      <c r="CL472" s="196"/>
      <c r="CM472" s="196"/>
      <c r="CN472" s="194"/>
      <c r="CO472" s="197"/>
      <c r="CP472" s="196"/>
      <c r="CQ472" s="196"/>
      <c r="CR472" s="196"/>
      <c r="CS472" s="196"/>
      <c r="CT472" s="196"/>
      <c r="CU472" s="196"/>
      <c r="CV472" s="194"/>
      <c r="CW472" s="194"/>
      <c r="CX472" s="194"/>
      <c r="CY472" s="194"/>
      <c r="CZ472" s="194"/>
      <c r="DA472" s="194"/>
      <c r="DB472" s="194"/>
      <c r="DC472" s="194"/>
      <c r="DD472" s="194"/>
      <c r="DE472" s="194"/>
      <c r="DF472" s="196"/>
      <c r="DG472" s="198"/>
      <c r="DH472" s="194"/>
      <c r="DI472" s="194"/>
    </row>
    <row r="473" spans="1:113" s="24" customFormat="1" hidden="1" x14ac:dyDescent="0.3">
      <c r="A473" s="172"/>
      <c r="B473" s="172"/>
      <c r="C473" s="172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  <c r="AE473" s="173"/>
      <c r="AF473" s="173"/>
      <c r="AG473" s="173"/>
      <c r="AH473" s="173"/>
      <c r="AI473" s="173"/>
      <c r="AJ473" s="173"/>
      <c r="AK473" s="173"/>
      <c r="AL473" s="173"/>
      <c r="AM473" s="173"/>
      <c r="AN473" s="173"/>
      <c r="AO473" s="173"/>
      <c r="AP473" s="173"/>
      <c r="AQ473" s="173"/>
      <c r="AR473" s="173"/>
      <c r="AS473" s="172"/>
      <c r="AT473" s="172"/>
      <c r="AU473" s="172"/>
      <c r="AV473" s="172"/>
      <c r="AW473" s="172"/>
      <c r="AX473" s="172"/>
      <c r="AY473" s="172"/>
      <c r="AZ473" s="172"/>
      <c r="BA473" s="172"/>
      <c r="BB473" s="172"/>
      <c r="BC473" s="172"/>
      <c r="BD473" s="172"/>
      <c r="BE473" s="172"/>
      <c r="BF473" s="172"/>
      <c r="BG473" s="172"/>
      <c r="BH473" s="172"/>
      <c r="BI473" s="172"/>
      <c r="BJ473" s="172"/>
      <c r="BK473" s="172"/>
      <c r="BL473" s="172"/>
      <c r="BM473" s="172"/>
      <c r="BN473" s="172"/>
      <c r="BO473" s="172"/>
      <c r="BP473" s="172"/>
      <c r="BQ473" s="172"/>
      <c r="BR473" s="172"/>
      <c r="BS473" s="172"/>
      <c r="BT473" s="172"/>
      <c r="BU473" s="172"/>
      <c r="BV473" s="172"/>
      <c r="BW473" s="172"/>
      <c r="BX473" s="172"/>
      <c r="BY473" s="174"/>
      <c r="BZ473" s="172"/>
      <c r="CA473" s="172"/>
      <c r="CD473" s="194"/>
      <c r="CE473" s="194"/>
      <c r="CF473" s="194"/>
      <c r="CG473" s="194"/>
      <c r="CH473" s="195"/>
      <c r="CI473" s="194"/>
      <c r="CJ473" s="194"/>
      <c r="CK473" s="194"/>
      <c r="CL473" s="196"/>
      <c r="CM473" s="196"/>
      <c r="CN473" s="194"/>
      <c r="CO473" s="197"/>
      <c r="CP473" s="196"/>
      <c r="CQ473" s="196"/>
      <c r="CR473" s="196"/>
      <c r="CS473" s="196"/>
      <c r="CT473" s="196"/>
      <c r="CU473" s="196"/>
      <c r="CV473" s="194"/>
      <c r="CW473" s="194"/>
      <c r="CX473" s="194"/>
      <c r="CY473" s="194"/>
      <c r="CZ473" s="194"/>
      <c r="DA473" s="194"/>
      <c r="DB473" s="194"/>
      <c r="DC473" s="194"/>
      <c r="DD473" s="194"/>
      <c r="DE473" s="194"/>
      <c r="DF473" s="196"/>
      <c r="DG473" s="198"/>
      <c r="DH473" s="194"/>
      <c r="DI473" s="194"/>
    </row>
    <row r="474" spans="1:113" s="24" customFormat="1" hidden="1" x14ac:dyDescent="0.3">
      <c r="A474" s="172"/>
      <c r="B474" s="172"/>
      <c r="C474" s="172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  <c r="AE474" s="173"/>
      <c r="AF474" s="173"/>
      <c r="AG474" s="173"/>
      <c r="AH474" s="173"/>
      <c r="AI474" s="173"/>
      <c r="AJ474" s="173"/>
      <c r="AK474" s="173"/>
      <c r="AL474" s="173"/>
      <c r="AM474" s="173"/>
      <c r="AN474" s="173"/>
      <c r="AO474" s="173"/>
      <c r="AP474" s="173"/>
      <c r="AQ474" s="173"/>
      <c r="AR474" s="173"/>
      <c r="AS474" s="172"/>
      <c r="AT474" s="172"/>
      <c r="AU474" s="172"/>
      <c r="AV474" s="172"/>
      <c r="AW474" s="172"/>
      <c r="AX474" s="172"/>
      <c r="AY474" s="172"/>
      <c r="AZ474" s="172"/>
      <c r="BA474" s="172"/>
      <c r="BB474" s="172"/>
      <c r="BC474" s="172"/>
      <c r="BD474" s="172"/>
      <c r="BE474" s="172"/>
      <c r="BF474" s="172"/>
      <c r="BG474" s="172"/>
      <c r="BH474" s="172"/>
      <c r="BI474" s="172"/>
      <c r="BJ474" s="172"/>
      <c r="BK474" s="172"/>
      <c r="BL474" s="172"/>
      <c r="BM474" s="172"/>
      <c r="BN474" s="172"/>
      <c r="BO474" s="172"/>
      <c r="BP474" s="172"/>
      <c r="BQ474" s="172"/>
      <c r="BR474" s="172"/>
      <c r="BS474" s="172"/>
      <c r="BT474" s="172"/>
      <c r="BU474" s="172"/>
      <c r="BV474" s="172"/>
      <c r="BW474" s="172"/>
      <c r="BX474" s="172"/>
      <c r="BY474" s="174"/>
      <c r="BZ474" s="172"/>
      <c r="CA474" s="172"/>
      <c r="CD474" s="194"/>
      <c r="CE474" s="194"/>
      <c r="CF474" s="194"/>
      <c r="CG474" s="194"/>
      <c r="CH474" s="195"/>
      <c r="CI474" s="194"/>
      <c r="CJ474" s="194"/>
      <c r="CK474" s="194"/>
      <c r="CL474" s="196"/>
      <c r="CM474" s="196"/>
      <c r="CN474" s="194"/>
      <c r="CO474" s="197"/>
      <c r="CP474" s="196"/>
      <c r="CQ474" s="196"/>
      <c r="CR474" s="196"/>
      <c r="CS474" s="196"/>
      <c r="CT474" s="196"/>
      <c r="CU474" s="196"/>
      <c r="CV474" s="194"/>
      <c r="CW474" s="194"/>
      <c r="CX474" s="194"/>
      <c r="CY474" s="194"/>
      <c r="CZ474" s="194"/>
      <c r="DA474" s="194"/>
      <c r="DB474" s="194"/>
      <c r="DC474" s="194"/>
      <c r="DD474" s="194"/>
      <c r="DE474" s="194"/>
      <c r="DF474" s="196"/>
      <c r="DG474" s="198"/>
      <c r="DH474" s="194"/>
      <c r="DI474" s="194"/>
    </row>
    <row r="475" spans="1:113" s="24" customFormat="1" hidden="1" x14ac:dyDescent="0.3">
      <c r="A475" s="172"/>
      <c r="B475" s="172"/>
      <c r="C475" s="172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  <c r="AE475" s="173"/>
      <c r="AF475" s="173"/>
      <c r="AG475" s="173"/>
      <c r="AH475" s="173"/>
      <c r="AI475" s="173"/>
      <c r="AJ475" s="173"/>
      <c r="AK475" s="173"/>
      <c r="AL475" s="173"/>
      <c r="AM475" s="173"/>
      <c r="AN475" s="173"/>
      <c r="AO475" s="173"/>
      <c r="AP475" s="173"/>
      <c r="AQ475" s="173"/>
      <c r="AR475" s="173"/>
      <c r="AS475" s="172"/>
      <c r="AT475" s="172"/>
      <c r="AU475" s="172"/>
      <c r="AV475" s="172"/>
      <c r="AW475" s="172"/>
      <c r="AX475" s="172"/>
      <c r="AY475" s="172"/>
      <c r="AZ475" s="172"/>
      <c r="BA475" s="172"/>
      <c r="BB475" s="172"/>
      <c r="BC475" s="172"/>
      <c r="BD475" s="172"/>
      <c r="BE475" s="172"/>
      <c r="BF475" s="172"/>
      <c r="BG475" s="172"/>
      <c r="BH475" s="172"/>
      <c r="BI475" s="172"/>
      <c r="BJ475" s="172"/>
      <c r="BK475" s="172"/>
      <c r="BL475" s="172"/>
      <c r="BM475" s="172"/>
      <c r="BN475" s="172"/>
      <c r="BO475" s="172"/>
      <c r="BP475" s="172"/>
      <c r="BQ475" s="172"/>
      <c r="BR475" s="172"/>
      <c r="BS475" s="172"/>
      <c r="BT475" s="172"/>
      <c r="BU475" s="172"/>
      <c r="BV475" s="172"/>
      <c r="BW475" s="172"/>
      <c r="BX475" s="172"/>
      <c r="BY475" s="174"/>
      <c r="BZ475" s="172"/>
      <c r="CA475" s="172"/>
      <c r="CD475" s="194"/>
      <c r="CE475" s="194"/>
      <c r="CF475" s="194"/>
      <c r="CG475" s="194"/>
      <c r="CH475" s="195"/>
      <c r="CI475" s="194"/>
      <c r="CJ475" s="194"/>
      <c r="CK475" s="194"/>
      <c r="CL475" s="196"/>
      <c r="CM475" s="196"/>
      <c r="CN475" s="194"/>
      <c r="CO475" s="197"/>
      <c r="CP475" s="196"/>
      <c r="CQ475" s="196"/>
      <c r="CR475" s="196"/>
      <c r="CS475" s="196"/>
      <c r="CT475" s="196"/>
      <c r="CU475" s="196"/>
      <c r="CV475" s="194"/>
      <c r="CW475" s="194"/>
      <c r="CX475" s="194"/>
      <c r="CY475" s="194"/>
      <c r="CZ475" s="194"/>
      <c r="DA475" s="194"/>
      <c r="DB475" s="194"/>
      <c r="DC475" s="194"/>
      <c r="DD475" s="194"/>
      <c r="DE475" s="194"/>
      <c r="DF475" s="196"/>
      <c r="DG475" s="198"/>
      <c r="DH475" s="194"/>
      <c r="DI475" s="194"/>
    </row>
    <row r="476" spans="1:113" s="24" customFormat="1" hidden="1" x14ac:dyDescent="0.3">
      <c r="A476" s="172"/>
      <c r="B476" s="172"/>
      <c r="C476" s="172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  <c r="AE476" s="173"/>
      <c r="AF476" s="173"/>
      <c r="AG476" s="173"/>
      <c r="AH476" s="173"/>
      <c r="AI476" s="173"/>
      <c r="AJ476" s="173"/>
      <c r="AK476" s="173"/>
      <c r="AL476" s="173"/>
      <c r="AM476" s="173"/>
      <c r="AN476" s="173"/>
      <c r="AO476" s="173"/>
      <c r="AP476" s="173"/>
      <c r="AQ476" s="173"/>
      <c r="AR476" s="173"/>
      <c r="AS476" s="172"/>
      <c r="AT476" s="172"/>
      <c r="AU476" s="172"/>
      <c r="AV476" s="172"/>
      <c r="AW476" s="172"/>
      <c r="AX476" s="172"/>
      <c r="AY476" s="172"/>
      <c r="AZ476" s="172"/>
      <c r="BA476" s="172"/>
      <c r="BB476" s="172"/>
      <c r="BC476" s="172"/>
      <c r="BD476" s="172"/>
      <c r="BE476" s="172"/>
      <c r="BF476" s="172"/>
      <c r="BG476" s="172"/>
      <c r="BH476" s="172"/>
      <c r="BI476" s="172"/>
      <c r="BJ476" s="172"/>
      <c r="BK476" s="172"/>
      <c r="BL476" s="172"/>
      <c r="BM476" s="172"/>
      <c r="BN476" s="172"/>
      <c r="BO476" s="172"/>
      <c r="BP476" s="172"/>
      <c r="BQ476" s="172"/>
      <c r="BR476" s="172"/>
      <c r="BS476" s="172"/>
      <c r="BT476" s="172"/>
      <c r="BU476" s="172"/>
      <c r="BV476" s="172"/>
      <c r="BW476" s="172"/>
      <c r="BX476" s="172"/>
      <c r="BY476" s="174"/>
      <c r="BZ476" s="172"/>
      <c r="CA476" s="172"/>
      <c r="CD476" s="194"/>
      <c r="CE476" s="194"/>
      <c r="CF476" s="194"/>
      <c r="CG476" s="194"/>
      <c r="CH476" s="195"/>
      <c r="CI476" s="194"/>
      <c r="CJ476" s="194"/>
      <c r="CK476" s="194"/>
      <c r="CL476" s="196"/>
      <c r="CM476" s="196"/>
      <c r="CN476" s="194"/>
      <c r="CO476" s="197"/>
      <c r="CP476" s="196"/>
      <c r="CQ476" s="196"/>
      <c r="CR476" s="196"/>
      <c r="CS476" s="196"/>
      <c r="CT476" s="196"/>
      <c r="CU476" s="196"/>
      <c r="CV476" s="194"/>
      <c r="CW476" s="194"/>
      <c r="CX476" s="194"/>
      <c r="CY476" s="194"/>
      <c r="CZ476" s="194"/>
      <c r="DA476" s="194"/>
      <c r="DB476" s="194"/>
      <c r="DC476" s="194"/>
      <c r="DD476" s="194"/>
      <c r="DE476" s="194"/>
      <c r="DF476" s="196"/>
      <c r="DG476" s="198"/>
      <c r="DH476" s="194"/>
      <c r="DI476" s="194"/>
    </row>
    <row r="477" spans="1:113" s="24" customFormat="1" hidden="1" x14ac:dyDescent="0.3">
      <c r="A477" s="172"/>
      <c r="B477" s="172"/>
      <c r="C477" s="172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  <c r="AE477" s="173"/>
      <c r="AF477" s="173"/>
      <c r="AG477" s="173"/>
      <c r="AH477" s="173"/>
      <c r="AI477" s="173"/>
      <c r="AJ477" s="173"/>
      <c r="AK477" s="173"/>
      <c r="AL477" s="173"/>
      <c r="AM477" s="173"/>
      <c r="AN477" s="173"/>
      <c r="AO477" s="173"/>
      <c r="AP477" s="173"/>
      <c r="AQ477" s="173"/>
      <c r="AR477" s="173"/>
      <c r="AS477" s="172"/>
      <c r="AT477" s="172"/>
      <c r="AU477" s="172"/>
      <c r="AV477" s="172"/>
      <c r="AW477" s="172"/>
      <c r="AX477" s="172"/>
      <c r="AY477" s="172"/>
      <c r="AZ477" s="172"/>
      <c r="BA477" s="172"/>
      <c r="BB477" s="172"/>
      <c r="BC477" s="172"/>
      <c r="BD477" s="172"/>
      <c r="BE477" s="172"/>
      <c r="BF477" s="172"/>
      <c r="BG477" s="172"/>
      <c r="BH477" s="172"/>
      <c r="BI477" s="172"/>
      <c r="BJ477" s="172"/>
      <c r="BK477" s="172"/>
      <c r="BL477" s="172"/>
      <c r="BM477" s="172"/>
      <c r="BN477" s="172"/>
      <c r="BO477" s="172"/>
      <c r="BP477" s="172"/>
      <c r="BQ477" s="172"/>
      <c r="BR477" s="172"/>
      <c r="BS477" s="172"/>
      <c r="BT477" s="172"/>
      <c r="BU477" s="172"/>
      <c r="BV477" s="172"/>
      <c r="BW477" s="172"/>
      <c r="BX477" s="172"/>
      <c r="BY477" s="174"/>
      <c r="BZ477" s="172"/>
      <c r="CA477" s="172"/>
      <c r="CD477" s="194"/>
      <c r="CE477" s="194"/>
      <c r="CF477" s="194"/>
      <c r="CG477" s="194"/>
      <c r="CH477" s="195"/>
      <c r="CI477" s="194"/>
      <c r="CJ477" s="194"/>
      <c r="CK477" s="194"/>
      <c r="CL477" s="196"/>
      <c r="CM477" s="196"/>
      <c r="CN477" s="194"/>
      <c r="CO477" s="197"/>
      <c r="CP477" s="196"/>
      <c r="CQ477" s="196"/>
      <c r="CR477" s="196"/>
      <c r="CS477" s="196"/>
      <c r="CT477" s="196"/>
      <c r="CU477" s="196"/>
      <c r="CV477" s="194"/>
      <c r="CW477" s="194"/>
      <c r="CX477" s="194"/>
      <c r="CY477" s="194"/>
      <c r="CZ477" s="194"/>
      <c r="DA477" s="194"/>
      <c r="DB477" s="194"/>
      <c r="DC477" s="194"/>
      <c r="DD477" s="194"/>
      <c r="DE477" s="194"/>
      <c r="DF477" s="196"/>
      <c r="DG477" s="198"/>
      <c r="DH477" s="194"/>
      <c r="DI477" s="194"/>
    </row>
    <row r="478" spans="1:113" s="24" customFormat="1" hidden="1" x14ac:dyDescent="0.3">
      <c r="A478" s="172"/>
      <c r="B478" s="172"/>
      <c r="C478" s="172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  <c r="AE478" s="173"/>
      <c r="AF478" s="173"/>
      <c r="AG478" s="173"/>
      <c r="AH478" s="173"/>
      <c r="AI478" s="173"/>
      <c r="AJ478" s="173"/>
      <c r="AK478" s="173"/>
      <c r="AL478" s="173"/>
      <c r="AM478" s="173"/>
      <c r="AN478" s="173"/>
      <c r="AO478" s="173"/>
      <c r="AP478" s="173"/>
      <c r="AQ478" s="173"/>
      <c r="AR478" s="173"/>
      <c r="AS478" s="172"/>
      <c r="AT478" s="172"/>
      <c r="AU478" s="172"/>
      <c r="AV478" s="172"/>
      <c r="AW478" s="172"/>
      <c r="AX478" s="172"/>
      <c r="AY478" s="172"/>
      <c r="AZ478" s="172"/>
      <c r="BA478" s="172"/>
      <c r="BB478" s="172"/>
      <c r="BC478" s="172"/>
      <c r="BD478" s="172"/>
      <c r="BE478" s="172"/>
      <c r="BF478" s="172"/>
      <c r="BG478" s="172"/>
      <c r="BH478" s="172"/>
      <c r="BI478" s="172"/>
      <c r="BJ478" s="172"/>
      <c r="BK478" s="172"/>
      <c r="BL478" s="172"/>
      <c r="BM478" s="172"/>
      <c r="BN478" s="172"/>
      <c r="BO478" s="172"/>
      <c r="BP478" s="172"/>
      <c r="BQ478" s="172"/>
      <c r="BR478" s="172"/>
      <c r="BS478" s="172"/>
      <c r="BT478" s="172"/>
      <c r="BU478" s="172"/>
      <c r="BV478" s="172"/>
      <c r="BW478" s="172"/>
      <c r="BX478" s="172"/>
      <c r="BY478" s="174"/>
      <c r="BZ478" s="172"/>
      <c r="CA478" s="172"/>
      <c r="CD478" s="194"/>
      <c r="CE478" s="194"/>
      <c r="CF478" s="194"/>
      <c r="CG478" s="194"/>
      <c r="CH478" s="195"/>
      <c r="CI478" s="194"/>
      <c r="CJ478" s="194"/>
      <c r="CK478" s="194"/>
      <c r="CL478" s="196"/>
      <c r="CM478" s="196"/>
      <c r="CN478" s="194"/>
      <c r="CO478" s="197"/>
      <c r="CP478" s="196"/>
      <c r="CQ478" s="196"/>
      <c r="CR478" s="196"/>
      <c r="CS478" s="196"/>
      <c r="CT478" s="196"/>
      <c r="CU478" s="196"/>
      <c r="CV478" s="194"/>
      <c r="CW478" s="194"/>
      <c r="CX478" s="194"/>
      <c r="CY478" s="194"/>
      <c r="CZ478" s="194"/>
      <c r="DA478" s="194"/>
      <c r="DB478" s="194"/>
      <c r="DC478" s="194"/>
      <c r="DD478" s="194"/>
      <c r="DE478" s="194"/>
      <c r="DF478" s="196"/>
      <c r="DG478" s="198"/>
      <c r="DH478" s="194"/>
      <c r="DI478" s="194"/>
    </row>
    <row r="479" spans="1:113" s="24" customFormat="1" hidden="1" x14ac:dyDescent="0.3">
      <c r="A479" s="172"/>
      <c r="B479" s="172"/>
      <c r="C479" s="172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  <c r="AE479" s="173"/>
      <c r="AF479" s="173"/>
      <c r="AG479" s="173"/>
      <c r="AH479" s="173"/>
      <c r="AI479" s="173"/>
      <c r="AJ479" s="173"/>
      <c r="AK479" s="173"/>
      <c r="AL479" s="173"/>
      <c r="AM479" s="173"/>
      <c r="AN479" s="173"/>
      <c r="AO479" s="173"/>
      <c r="AP479" s="173"/>
      <c r="AQ479" s="173"/>
      <c r="AR479" s="173"/>
      <c r="AS479" s="172"/>
      <c r="AT479" s="172"/>
      <c r="AU479" s="172"/>
      <c r="AV479" s="172"/>
      <c r="AW479" s="172"/>
      <c r="AX479" s="172"/>
      <c r="AY479" s="172"/>
      <c r="AZ479" s="172"/>
      <c r="BA479" s="172"/>
      <c r="BB479" s="172"/>
      <c r="BC479" s="172"/>
      <c r="BD479" s="172"/>
      <c r="BE479" s="172"/>
      <c r="BF479" s="172"/>
      <c r="BG479" s="172"/>
      <c r="BH479" s="172"/>
      <c r="BI479" s="172"/>
      <c r="BJ479" s="172"/>
      <c r="BK479" s="172"/>
      <c r="BL479" s="172"/>
      <c r="BM479" s="172"/>
      <c r="BN479" s="172"/>
      <c r="BO479" s="172"/>
      <c r="BP479" s="172"/>
      <c r="BQ479" s="172"/>
      <c r="BR479" s="172"/>
      <c r="BS479" s="172"/>
      <c r="BT479" s="172"/>
      <c r="BU479" s="172"/>
      <c r="BV479" s="172"/>
      <c r="BW479" s="172"/>
      <c r="BX479" s="172"/>
      <c r="BY479" s="174"/>
      <c r="BZ479" s="172"/>
      <c r="CA479" s="172"/>
      <c r="CD479" s="194"/>
      <c r="CE479" s="194"/>
      <c r="CF479" s="194"/>
      <c r="CG479" s="194"/>
      <c r="CH479" s="195"/>
      <c r="CI479" s="194"/>
      <c r="CJ479" s="194"/>
      <c r="CK479" s="194"/>
      <c r="CL479" s="196"/>
      <c r="CM479" s="196"/>
      <c r="CN479" s="194"/>
      <c r="CO479" s="197"/>
      <c r="CP479" s="196"/>
      <c r="CQ479" s="196"/>
      <c r="CR479" s="196"/>
      <c r="CS479" s="196"/>
      <c r="CT479" s="196"/>
      <c r="CU479" s="196"/>
      <c r="CV479" s="194"/>
      <c r="CW479" s="194"/>
      <c r="CX479" s="194"/>
      <c r="CY479" s="194"/>
      <c r="CZ479" s="194"/>
      <c r="DA479" s="194"/>
      <c r="DB479" s="194"/>
      <c r="DC479" s="194"/>
      <c r="DD479" s="194"/>
      <c r="DE479" s="194"/>
      <c r="DF479" s="196"/>
      <c r="DG479" s="198"/>
      <c r="DH479" s="194"/>
      <c r="DI479" s="194"/>
    </row>
    <row r="480" spans="1:113" s="24" customFormat="1" hidden="1" x14ac:dyDescent="0.3">
      <c r="A480" s="172"/>
      <c r="B480" s="172"/>
      <c r="C480" s="172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  <c r="AE480" s="173"/>
      <c r="AF480" s="173"/>
      <c r="AG480" s="173"/>
      <c r="AH480" s="173"/>
      <c r="AI480" s="173"/>
      <c r="AJ480" s="173"/>
      <c r="AK480" s="173"/>
      <c r="AL480" s="173"/>
      <c r="AM480" s="173"/>
      <c r="AN480" s="173"/>
      <c r="AO480" s="173"/>
      <c r="AP480" s="173"/>
      <c r="AQ480" s="173"/>
      <c r="AR480" s="173"/>
      <c r="AS480" s="172"/>
      <c r="AT480" s="172"/>
      <c r="AU480" s="172"/>
      <c r="AV480" s="172"/>
      <c r="AW480" s="172"/>
      <c r="AX480" s="172"/>
      <c r="AY480" s="172"/>
      <c r="AZ480" s="172"/>
      <c r="BA480" s="172"/>
      <c r="BB480" s="172"/>
      <c r="BC480" s="172"/>
      <c r="BD480" s="172"/>
      <c r="BE480" s="172"/>
      <c r="BF480" s="172"/>
      <c r="BG480" s="172"/>
      <c r="BH480" s="172"/>
      <c r="BI480" s="172"/>
      <c r="BJ480" s="172"/>
      <c r="BK480" s="172"/>
      <c r="BL480" s="172"/>
      <c r="BM480" s="172"/>
      <c r="BN480" s="172"/>
      <c r="BO480" s="172"/>
      <c r="BP480" s="172"/>
      <c r="BQ480" s="172"/>
      <c r="BR480" s="172"/>
      <c r="BS480" s="172"/>
      <c r="BT480" s="172"/>
      <c r="BU480" s="172"/>
      <c r="BV480" s="172"/>
      <c r="BW480" s="172"/>
      <c r="BX480" s="172"/>
      <c r="BY480" s="174"/>
      <c r="BZ480" s="172"/>
      <c r="CA480" s="172"/>
      <c r="CD480" s="194"/>
      <c r="CE480" s="194"/>
      <c r="CF480" s="194"/>
      <c r="CG480" s="194"/>
      <c r="CH480" s="195"/>
      <c r="CI480" s="194"/>
      <c r="CJ480" s="194"/>
      <c r="CK480" s="194"/>
      <c r="CL480" s="196"/>
      <c r="CM480" s="196"/>
      <c r="CN480" s="194"/>
      <c r="CO480" s="197"/>
      <c r="CP480" s="196"/>
      <c r="CQ480" s="196"/>
      <c r="CR480" s="196"/>
      <c r="CS480" s="196"/>
      <c r="CT480" s="196"/>
      <c r="CU480" s="196"/>
      <c r="CV480" s="194"/>
      <c r="CW480" s="194"/>
      <c r="CX480" s="194"/>
      <c r="CY480" s="194"/>
      <c r="CZ480" s="194"/>
      <c r="DA480" s="194"/>
      <c r="DB480" s="194"/>
      <c r="DC480" s="194"/>
      <c r="DD480" s="194"/>
      <c r="DE480" s="194"/>
      <c r="DF480" s="196"/>
      <c r="DG480" s="198"/>
      <c r="DH480" s="194"/>
      <c r="DI480" s="194"/>
    </row>
    <row r="481" spans="1:113" s="24" customFormat="1" hidden="1" x14ac:dyDescent="0.3">
      <c r="A481" s="172"/>
      <c r="B481" s="172"/>
      <c r="C481" s="172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  <c r="AE481" s="173"/>
      <c r="AF481" s="173"/>
      <c r="AG481" s="173"/>
      <c r="AH481" s="173"/>
      <c r="AI481" s="173"/>
      <c r="AJ481" s="173"/>
      <c r="AK481" s="173"/>
      <c r="AL481" s="173"/>
      <c r="AM481" s="173"/>
      <c r="AN481" s="173"/>
      <c r="AO481" s="173"/>
      <c r="AP481" s="173"/>
      <c r="AQ481" s="173"/>
      <c r="AR481" s="173"/>
      <c r="AS481" s="172"/>
      <c r="AT481" s="172"/>
      <c r="AU481" s="172"/>
      <c r="AV481" s="172"/>
      <c r="AW481" s="172"/>
      <c r="AX481" s="172"/>
      <c r="AY481" s="172"/>
      <c r="AZ481" s="172"/>
      <c r="BA481" s="172"/>
      <c r="BB481" s="172"/>
      <c r="BC481" s="172"/>
      <c r="BD481" s="172"/>
      <c r="BE481" s="172"/>
      <c r="BF481" s="172"/>
      <c r="BG481" s="172"/>
      <c r="BH481" s="172"/>
      <c r="BI481" s="172"/>
      <c r="BJ481" s="172"/>
      <c r="BK481" s="172"/>
      <c r="BL481" s="172"/>
      <c r="BM481" s="172"/>
      <c r="BN481" s="172"/>
      <c r="BO481" s="172"/>
      <c r="BP481" s="172"/>
      <c r="BQ481" s="172"/>
      <c r="BR481" s="172"/>
      <c r="BS481" s="172"/>
      <c r="BT481" s="172"/>
      <c r="BU481" s="172"/>
      <c r="BV481" s="172"/>
      <c r="BW481" s="172"/>
      <c r="BX481" s="172"/>
      <c r="BY481" s="174"/>
      <c r="BZ481" s="172"/>
      <c r="CA481" s="172"/>
      <c r="CD481" s="194"/>
      <c r="CE481" s="194"/>
      <c r="CF481" s="194"/>
      <c r="CG481" s="194"/>
      <c r="CH481" s="195"/>
      <c r="CI481" s="194"/>
      <c r="CJ481" s="194"/>
      <c r="CK481" s="194"/>
      <c r="CL481" s="196"/>
      <c r="CM481" s="196"/>
      <c r="CN481" s="194"/>
      <c r="CO481" s="197"/>
      <c r="CP481" s="196"/>
      <c r="CQ481" s="196"/>
      <c r="CR481" s="196"/>
      <c r="CS481" s="196"/>
      <c r="CT481" s="196"/>
      <c r="CU481" s="196"/>
      <c r="CV481" s="194"/>
      <c r="CW481" s="194"/>
      <c r="CX481" s="194"/>
      <c r="CY481" s="194"/>
      <c r="CZ481" s="194"/>
      <c r="DA481" s="194"/>
      <c r="DB481" s="194"/>
      <c r="DC481" s="194"/>
      <c r="DD481" s="194"/>
      <c r="DE481" s="194"/>
      <c r="DF481" s="196"/>
      <c r="DG481" s="198"/>
      <c r="DH481" s="194"/>
      <c r="DI481" s="194"/>
    </row>
    <row r="482" spans="1:113" s="24" customFormat="1" hidden="1" x14ac:dyDescent="0.3">
      <c r="A482" s="172"/>
      <c r="B482" s="172"/>
      <c r="C482" s="172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  <c r="AE482" s="173"/>
      <c r="AF482" s="173"/>
      <c r="AG482" s="173"/>
      <c r="AH482" s="173"/>
      <c r="AI482" s="173"/>
      <c r="AJ482" s="173"/>
      <c r="AK482" s="173"/>
      <c r="AL482" s="173"/>
      <c r="AM482" s="173"/>
      <c r="AN482" s="173"/>
      <c r="AO482" s="173"/>
      <c r="AP482" s="173"/>
      <c r="AQ482" s="173"/>
      <c r="AR482" s="173"/>
      <c r="AS482" s="172"/>
      <c r="AT482" s="172"/>
      <c r="AU482" s="172"/>
      <c r="AV482" s="172"/>
      <c r="AW482" s="172"/>
      <c r="AX482" s="172"/>
      <c r="AY482" s="172"/>
      <c r="AZ482" s="172"/>
      <c r="BA482" s="172"/>
      <c r="BB482" s="172"/>
      <c r="BC482" s="172"/>
      <c r="BD482" s="172"/>
      <c r="BE482" s="172"/>
      <c r="BF482" s="172"/>
      <c r="BG482" s="172"/>
      <c r="BH482" s="172"/>
      <c r="BI482" s="172"/>
      <c r="BJ482" s="172"/>
      <c r="BK482" s="172"/>
      <c r="BL482" s="172"/>
      <c r="BM482" s="172"/>
      <c r="BN482" s="172"/>
      <c r="BO482" s="172"/>
      <c r="BP482" s="172"/>
      <c r="BQ482" s="172"/>
      <c r="BR482" s="172"/>
      <c r="BS482" s="172"/>
      <c r="BT482" s="172"/>
      <c r="BU482" s="172"/>
      <c r="BV482" s="172"/>
      <c r="BW482" s="172"/>
      <c r="BX482" s="172"/>
      <c r="BY482" s="174"/>
      <c r="BZ482" s="172"/>
      <c r="CA482" s="172"/>
      <c r="CD482" s="194"/>
      <c r="CE482" s="194"/>
      <c r="CF482" s="194"/>
      <c r="CG482" s="194"/>
      <c r="CH482" s="195"/>
      <c r="CI482" s="194"/>
      <c r="CJ482" s="194"/>
      <c r="CK482" s="194"/>
      <c r="CL482" s="196"/>
      <c r="CM482" s="196"/>
      <c r="CN482" s="194"/>
      <c r="CO482" s="197"/>
      <c r="CP482" s="196"/>
      <c r="CQ482" s="196"/>
      <c r="CR482" s="196"/>
      <c r="CS482" s="196"/>
      <c r="CT482" s="196"/>
      <c r="CU482" s="196"/>
      <c r="CV482" s="194"/>
      <c r="CW482" s="194"/>
      <c r="CX482" s="194"/>
      <c r="CY482" s="194"/>
      <c r="CZ482" s="194"/>
      <c r="DA482" s="194"/>
      <c r="DB482" s="194"/>
      <c r="DC482" s="194"/>
      <c r="DD482" s="194"/>
      <c r="DE482" s="194"/>
      <c r="DF482" s="196"/>
      <c r="DG482" s="198"/>
      <c r="DH482" s="194"/>
      <c r="DI482" s="194"/>
    </row>
    <row r="483" spans="1:113" s="24" customFormat="1" hidden="1" x14ac:dyDescent="0.3">
      <c r="A483" s="172"/>
      <c r="B483" s="172"/>
      <c r="C483" s="172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  <c r="AE483" s="173"/>
      <c r="AF483" s="173"/>
      <c r="AG483" s="173"/>
      <c r="AH483" s="173"/>
      <c r="AI483" s="173"/>
      <c r="AJ483" s="173"/>
      <c r="AK483" s="173"/>
      <c r="AL483" s="173"/>
      <c r="AM483" s="173"/>
      <c r="AN483" s="173"/>
      <c r="AO483" s="173"/>
      <c r="AP483" s="173"/>
      <c r="AQ483" s="173"/>
      <c r="AR483" s="173"/>
      <c r="AS483" s="172"/>
      <c r="AT483" s="172"/>
      <c r="AU483" s="172"/>
      <c r="AV483" s="172"/>
      <c r="AW483" s="172"/>
      <c r="AX483" s="172"/>
      <c r="AY483" s="172"/>
      <c r="AZ483" s="172"/>
      <c r="BA483" s="172"/>
      <c r="BB483" s="172"/>
      <c r="BC483" s="172"/>
      <c r="BD483" s="172"/>
      <c r="BE483" s="172"/>
      <c r="BF483" s="172"/>
      <c r="BG483" s="172"/>
      <c r="BH483" s="172"/>
      <c r="BI483" s="172"/>
      <c r="BJ483" s="172"/>
      <c r="BK483" s="172"/>
      <c r="BL483" s="172"/>
      <c r="BM483" s="172"/>
      <c r="BN483" s="172"/>
      <c r="BO483" s="172"/>
      <c r="BP483" s="172"/>
      <c r="BQ483" s="172"/>
      <c r="BR483" s="172"/>
      <c r="BS483" s="172"/>
      <c r="BT483" s="172"/>
      <c r="BU483" s="172"/>
      <c r="BV483" s="172"/>
      <c r="BW483" s="172"/>
      <c r="BX483" s="172"/>
      <c r="BY483" s="174"/>
      <c r="BZ483" s="172"/>
      <c r="CA483" s="172"/>
      <c r="CD483" s="194"/>
      <c r="CE483" s="194"/>
      <c r="CF483" s="194"/>
      <c r="CG483" s="194"/>
      <c r="CH483" s="195"/>
      <c r="CI483" s="194"/>
      <c r="CJ483" s="194"/>
      <c r="CK483" s="194"/>
      <c r="CL483" s="196"/>
      <c r="CM483" s="196"/>
      <c r="CN483" s="194"/>
      <c r="CO483" s="197"/>
      <c r="CP483" s="196"/>
      <c r="CQ483" s="196"/>
      <c r="CR483" s="196"/>
      <c r="CS483" s="196"/>
      <c r="CT483" s="196"/>
      <c r="CU483" s="196"/>
      <c r="CV483" s="194"/>
      <c r="CW483" s="194"/>
      <c r="CX483" s="194"/>
      <c r="CY483" s="194"/>
      <c r="CZ483" s="194"/>
      <c r="DA483" s="194"/>
      <c r="DB483" s="194"/>
      <c r="DC483" s="194"/>
      <c r="DD483" s="194"/>
      <c r="DE483" s="194"/>
      <c r="DF483" s="196"/>
      <c r="DG483" s="198"/>
      <c r="DH483" s="194"/>
      <c r="DI483" s="194"/>
    </row>
    <row r="484" spans="1:113" s="24" customFormat="1" hidden="1" x14ac:dyDescent="0.3">
      <c r="A484" s="172"/>
      <c r="B484" s="172"/>
      <c r="C484" s="172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  <c r="AE484" s="173"/>
      <c r="AF484" s="173"/>
      <c r="AG484" s="173"/>
      <c r="AH484" s="173"/>
      <c r="AI484" s="173"/>
      <c r="AJ484" s="173"/>
      <c r="AK484" s="173"/>
      <c r="AL484" s="173"/>
      <c r="AM484" s="173"/>
      <c r="AN484" s="173"/>
      <c r="AO484" s="173"/>
      <c r="AP484" s="173"/>
      <c r="AQ484" s="173"/>
      <c r="AR484" s="173"/>
      <c r="AS484" s="172"/>
      <c r="AT484" s="172"/>
      <c r="AU484" s="172"/>
      <c r="AV484" s="172"/>
      <c r="AW484" s="172"/>
      <c r="AX484" s="172"/>
      <c r="AY484" s="172"/>
      <c r="AZ484" s="172"/>
      <c r="BA484" s="172"/>
      <c r="BB484" s="172"/>
      <c r="BC484" s="172"/>
      <c r="BD484" s="172"/>
      <c r="BE484" s="172"/>
      <c r="BF484" s="172"/>
      <c r="BG484" s="172"/>
      <c r="BH484" s="172"/>
      <c r="BI484" s="172"/>
      <c r="BJ484" s="172"/>
      <c r="BK484" s="172"/>
      <c r="BL484" s="172"/>
      <c r="BM484" s="172"/>
      <c r="BN484" s="172"/>
      <c r="BO484" s="172"/>
      <c r="BP484" s="172"/>
      <c r="BQ484" s="172"/>
      <c r="BR484" s="172"/>
      <c r="BS484" s="172"/>
      <c r="BT484" s="172"/>
      <c r="BU484" s="172"/>
      <c r="BV484" s="172"/>
      <c r="BW484" s="172"/>
      <c r="BX484" s="172"/>
      <c r="BY484" s="174"/>
      <c r="BZ484" s="172"/>
      <c r="CA484" s="172"/>
      <c r="CD484" s="194"/>
      <c r="CE484" s="194"/>
      <c r="CF484" s="194"/>
      <c r="CG484" s="194"/>
      <c r="CH484" s="195"/>
      <c r="CI484" s="194"/>
      <c r="CJ484" s="194"/>
      <c r="CK484" s="194"/>
      <c r="CL484" s="196"/>
      <c r="CM484" s="196"/>
      <c r="CN484" s="194"/>
      <c r="CO484" s="197"/>
      <c r="CP484" s="196"/>
      <c r="CQ484" s="196"/>
      <c r="CR484" s="196"/>
      <c r="CS484" s="196"/>
      <c r="CT484" s="196"/>
      <c r="CU484" s="196"/>
      <c r="CV484" s="194"/>
      <c r="CW484" s="194"/>
      <c r="CX484" s="194"/>
      <c r="CY484" s="194"/>
      <c r="CZ484" s="194"/>
      <c r="DA484" s="194"/>
      <c r="DB484" s="194"/>
      <c r="DC484" s="194"/>
      <c r="DD484" s="194"/>
      <c r="DE484" s="194"/>
      <c r="DF484" s="196"/>
      <c r="DG484" s="198"/>
      <c r="DH484" s="194"/>
      <c r="DI484" s="194"/>
    </row>
    <row r="485" spans="1:113" s="24" customFormat="1" hidden="1" x14ac:dyDescent="0.3">
      <c r="A485" s="172"/>
      <c r="B485" s="172"/>
      <c r="C485" s="172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  <c r="AE485" s="173"/>
      <c r="AF485" s="173"/>
      <c r="AG485" s="173"/>
      <c r="AH485" s="173"/>
      <c r="AI485" s="173"/>
      <c r="AJ485" s="173"/>
      <c r="AK485" s="173"/>
      <c r="AL485" s="173"/>
      <c r="AM485" s="173"/>
      <c r="AN485" s="173"/>
      <c r="AO485" s="173"/>
      <c r="AP485" s="173"/>
      <c r="AQ485" s="173"/>
      <c r="AR485" s="173"/>
      <c r="AS485" s="172"/>
      <c r="AT485" s="172"/>
      <c r="AU485" s="172"/>
      <c r="AV485" s="172"/>
      <c r="AW485" s="172"/>
      <c r="AX485" s="172"/>
      <c r="AY485" s="172"/>
      <c r="AZ485" s="172"/>
      <c r="BA485" s="172"/>
      <c r="BB485" s="172"/>
      <c r="BC485" s="172"/>
      <c r="BD485" s="172"/>
      <c r="BE485" s="172"/>
      <c r="BF485" s="172"/>
      <c r="BG485" s="172"/>
      <c r="BH485" s="172"/>
      <c r="BI485" s="172"/>
      <c r="BJ485" s="172"/>
      <c r="BK485" s="172"/>
      <c r="BL485" s="172"/>
      <c r="BM485" s="172"/>
      <c r="BN485" s="172"/>
      <c r="BO485" s="172"/>
      <c r="BP485" s="172"/>
      <c r="BQ485" s="172"/>
      <c r="BR485" s="172"/>
      <c r="BS485" s="172"/>
      <c r="BT485" s="172"/>
      <c r="BU485" s="172"/>
      <c r="BV485" s="172"/>
      <c r="BW485" s="172"/>
      <c r="BX485" s="172"/>
      <c r="BY485" s="174"/>
      <c r="BZ485" s="172"/>
      <c r="CA485" s="172"/>
      <c r="CD485" s="194"/>
      <c r="CE485" s="194"/>
      <c r="CF485" s="194"/>
      <c r="CG485" s="194"/>
      <c r="CH485" s="195"/>
      <c r="CI485" s="194"/>
      <c r="CJ485" s="194"/>
      <c r="CK485" s="194"/>
      <c r="CL485" s="196"/>
      <c r="CM485" s="196"/>
      <c r="CN485" s="194"/>
      <c r="CO485" s="197"/>
      <c r="CP485" s="196"/>
      <c r="CQ485" s="196"/>
      <c r="CR485" s="196"/>
      <c r="CS485" s="196"/>
      <c r="CT485" s="196"/>
      <c r="CU485" s="196"/>
      <c r="CV485" s="194"/>
      <c r="CW485" s="194"/>
      <c r="CX485" s="194"/>
      <c r="CY485" s="194"/>
      <c r="CZ485" s="194"/>
      <c r="DA485" s="194"/>
      <c r="DB485" s="194"/>
      <c r="DC485" s="194"/>
      <c r="DD485" s="194"/>
      <c r="DE485" s="194"/>
      <c r="DF485" s="196"/>
      <c r="DG485" s="198"/>
      <c r="DH485" s="194"/>
      <c r="DI485" s="194"/>
    </row>
    <row r="486" spans="1:113" s="24" customFormat="1" hidden="1" x14ac:dyDescent="0.3">
      <c r="A486" s="172"/>
      <c r="B486" s="172"/>
      <c r="C486" s="172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  <c r="AE486" s="173"/>
      <c r="AF486" s="173"/>
      <c r="AG486" s="173"/>
      <c r="AH486" s="173"/>
      <c r="AI486" s="173"/>
      <c r="AJ486" s="173"/>
      <c r="AK486" s="173"/>
      <c r="AL486" s="173"/>
      <c r="AM486" s="173"/>
      <c r="AN486" s="173"/>
      <c r="AO486" s="173"/>
      <c r="AP486" s="173"/>
      <c r="AQ486" s="173"/>
      <c r="AR486" s="173"/>
      <c r="AS486" s="172"/>
      <c r="AT486" s="172"/>
      <c r="AU486" s="172"/>
      <c r="AV486" s="172"/>
      <c r="AW486" s="172"/>
      <c r="AX486" s="172"/>
      <c r="AY486" s="172"/>
      <c r="AZ486" s="172"/>
      <c r="BA486" s="172"/>
      <c r="BB486" s="172"/>
      <c r="BC486" s="172"/>
      <c r="BD486" s="172"/>
      <c r="BE486" s="172"/>
      <c r="BF486" s="172"/>
      <c r="BG486" s="172"/>
      <c r="BH486" s="172"/>
      <c r="BI486" s="172"/>
      <c r="BJ486" s="172"/>
      <c r="BK486" s="172"/>
      <c r="BL486" s="172"/>
      <c r="BM486" s="172"/>
      <c r="BN486" s="172"/>
      <c r="BO486" s="172"/>
      <c r="BP486" s="172"/>
      <c r="BQ486" s="172"/>
      <c r="BR486" s="172"/>
      <c r="BS486" s="172"/>
      <c r="BT486" s="172"/>
      <c r="BU486" s="172"/>
      <c r="BV486" s="172"/>
      <c r="BW486" s="172"/>
      <c r="BX486" s="172"/>
      <c r="BY486" s="174"/>
      <c r="BZ486" s="172"/>
      <c r="CA486" s="172"/>
      <c r="CD486" s="194"/>
      <c r="CE486" s="194"/>
      <c r="CF486" s="194"/>
      <c r="CG486" s="194"/>
      <c r="CH486" s="195"/>
      <c r="CI486" s="194"/>
      <c r="CJ486" s="194"/>
      <c r="CK486" s="194"/>
      <c r="CL486" s="196"/>
      <c r="CM486" s="196"/>
      <c r="CN486" s="194"/>
      <c r="CO486" s="197"/>
      <c r="CP486" s="196"/>
      <c r="CQ486" s="196"/>
      <c r="CR486" s="196"/>
      <c r="CS486" s="196"/>
      <c r="CT486" s="196"/>
      <c r="CU486" s="196"/>
      <c r="CV486" s="194"/>
      <c r="CW486" s="194"/>
      <c r="CX486" s="194"/>
      <c r="CY486" s="194"/>
      <c r="CZ486" s="194"/>
      <c r="DA486" s="194"/>
      <c r="DB486" s="194"/>
      <c r="DC486" s="194"/>
      <c r="DD486" s="194"/>
      <c r="DE486" s="194"/>
      <c r="DF486" s="196"/>
      <c r="DG486" s="198"/>
      <c r="DH486" s="194"/>
      <c r="DI486" s="194"/>
    </row>
    <row r="487" spans="1:113" s="24" customFormat="1" hidden="1" x14ac:dyDescent="0.3">
      <c r="A487" s="172"/>
      <c r="B487" s="172"/>
      <c r="C487" s="172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  <c r="AE487" s="173"/>
      <c r="AF487" s="173"/>
      <c r="AG487" s="173"/>
      <c r="AH487" s="173"/>
      <c r="AI487" s="173"/>
      <c r="AJ487" s="173"/>
      <c r="AK487" s="173"/>
      <c r="AL487" s="173"/>
      <c r="AM487" s="173"/>
      <c r="AN487" s="173"/>
      <c r="AO487" s="173"/>
      <c r="AP487" s="173"/>
      <c r="AQ487" s="173"/>
      <c r="AR487" s="173"/>
      <c r="AS487" s="172"/>
      <c r="AT487" s="172"/>
      <c r="AU487" s="172"/>
      <c r="AV487" s="172"/>
      <c r="AW487" s="172"/>
      <c r="AX487" s="172"/>
      <c r="AY487" s="172"/>
      <c r="AZ487" s="172"/>
      <c r="BA487" s="172"/>
      <c r="BB487" s="172"/>
      <c r="BC487" s="172"/>
      <c r="BD487" s="172"/>
      <c r="BE487" s="172"/>
      <c r="BF487" s="172"/>
      <c r="BG487" s="172"/>
      <c r="BH487" s="172"/>
      <c r="BI487" s="172"/>
      <c r="BJ487" s="172"/>
      <c r="BK487" s="172"/>
      <c r="BL487" s="172"/>
      <c r="BM487" s="172"/>
      <c r="BN487" s="172"/>
      <c r="BO487" s="172"/>
      <c r="BP487" s="172"/>
      <c r="BQ487" s="172"/>
      <c r="BR487" s="172"/>
      <c r="BS487" s="172"/>
      <c r="BT487" s="172"/>
      <c r="BU487" s="172"/>
      <c r="BV487" s="172"/>
      <c r="BW487" s="172"/>
      <c r="BX487" s="172"/>
      <c r="BY487" s="174"/>
      <c r="BZ487" s="172"/>
      <c r="CA487" s="172"/>
      <c r="CD487" s="194"/>
      <c r="CE487" s="194"/>
      <c r="CF487" s="194"/>
      <c r="CG487" s="194"/>
      <c r="CH487" s="195"/>
      <c r="CI487" s="194"/>
      <c r="CJ487" s="194"/>
      <c r="CK487" s="194"/>
      <c r="CL487" s="196"/>
      <c r="CM487" s="196"/>
      <c r="CN487" s="194"/>
      <c r="CO487" s="197"/>
      <c r="CP487" s="196"/>
      <c r="CQ487" s="196"/>
      <c r="CR487" s="196"/>
      <c r="CS487" s="196"/>
      <c r="CT487" s="196"/>
      <c r="CU487" s="196"/>
      <c r="CV487" s="194"/>
      <c r="CW487" s="194"/>
      <c r="CX487" s="194"/>
      <c r="CY487" s="194"/>
      <c r="CZ487" s="194"/>
      <c r="DA487" s="194"/>
      <c r="DB487" s="194"/>
      <c r="DC487" s="194"/>
      <c r="DD487" s="194"/>
      <c r="DE487" s="194"/>
      <c r="DF487" s="196"/>
      <c r="DG487" s="198"/>
      <c r="DH487" s="194"/>
      <c r="DI487" s="194"/>
    </row>
    <row r="488" spans="1:113" s="24" customFormat="1" hidden="1" x14ac:dyDescent="0.3">
      <c r="A488" s="172"/>
      <c r="B488" s="172"/>
      <c r="C488" s="172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  <c r="AE488" s="173"/>
      <c r="AF488" s="173"/>
      <c r="AG488" s="173"/>
      <c r="AH488" s="173"/>
      <c r="AI488" s="173"/>
      <c r="AJ488" s="173"/>
      <c r="AK488" s="173"/>
      <c r="AL488" s="173"/>
      <c r="AM488" s="173"/>
      <c r="AN488" s="173"/>
      <c r="AO488" s="173"/>
      <c r="AP488" s="173"/>
      <c r="AQ488" s="173"/>
      <c r="AR488" s="173"/>
      <c r="AS488" s="172"/>
      <c r="AT488" s="172"/>
      <c r="AU488" s="172"/>
      <c r="AV488" s="172"/>
      <c r="AW488" s="172"/>
      <c r="AX488" s="172"/>
      <c r="AY488" s="172"/>
      <c r="AZ488" s="172"/>
      <c r="BA488" s="172"/>
      <c r="BB488" s="172"/>
      <c r="BC488" s="172"/>
      <c r="BD488" s="172"/>
      <c r="BE488" s="172"/>
      <c r="BF488" s="172"/>
      <c r="BG488" s="172"/>
      <c r="BH488" s="172"/>
      <c r="BI488" s="172"/>
      <c r="BJ488" s="172"/>
      <c r="BK488" s="172"/>
      <c r="BL488" s="172"/>
      <c r="BM488" s="172"/>
      <c r="BN488" s="172"/>
      <c r="BO488" s="172"/>
      <c r="BP488" s="172"/>
      <c r="BQ488" s="172"/>
      <c r="BR488" s="172"/>
      <c r="BS488" s="172"/>
      <c r="BT488" s="172"/>
      <c r="BU488" s="172"/>
      <c r="BV488" s="172"/>
      <c r="BW488" s="172"/>
      <c r="BX488" s="172"/>
      <c r="BY488" s="174"/>
      <c r="BZ488" s="172"/>
      <c r="CA488" s="172"/>
      <c r="CD488" s="194"/>
      <c r="CE488" s="194"/>
      <c r="CF488" s="194"/>
      <c r="CG488" s="194"/>
      <c r="CH488" s="195"/>
      <c r="CI488" s="194"/>
      <c r="CJ488" s="194"/>
      <c r="CK488" s="194"/>
      <c r="CL488" s="196"/>
      <c r="CM488" s="196"/>
      <c r="CN488" s="194"/>
      <c r="CO488" s="197"/>
      <c r="CP488" s="196"/>
      <c r="CQ488" s="196"/>
      <c r="CR488" s="196"/>
      <c r="CS488" s="196"/>
      <c r="CT488" s="196"/>
      <c r="CU488" s="196"/>
      <c r="CV488" s="194"/>
      <c r="CW488" s="194"/>
      <c r="CX488" s="194"/>
      <c r="CY488" s="194"/>
      <c r="CZ488" s="194"/>
      <c r="DA488" s="194"/>
      <c r="DB488" s="194"/>
      <c r="DC488" s="194"/>
      <c r="DD488" s="194"/>
      <c r="DE488" s="194"/>
      <c r="DF488" s="196"/>
      <c r="DG488" s="198"/>
      <c r="DH488" s="194"/>
      <c r="DI488" s="194"/>
    </row>
    <row r="489" spans="1:113" s="24" customFormat="1" hidden="1" x14ac:dyDescent="0.3">
      <c r="A489" s="172"/>
      <c r="B489" s="172"/>
      <c r="C489" s="172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  <c r="AE489" s="173"/>
      <c r="AF489" s="173"/>
      <c r="AG489" s="173"/>
      <c r="AH489" s="173"/>
      <c r="AI489" s="173"/>
      <c r="AJ489" s="173"/>
      <c r="AK489" s="173"/>
      <c r="AL489" s="173"/>
      <c r="AM489" s="173"/>
      <c r="AN489" s="173"/>
      <c r="AO489" s="173"/>
      <c r="AP489" s="173"/>
      <c r="AQ489" s="173"/>
      <c r="AR489" s="173"/>
      <c r="AS489" s="172"/>
      <c r="AT489" s="172"/>
      <c r="AU489" s="172"/>
      <c r="AV489" s="172"/>
      <c r="AW489" s="172"/>
      <c r="AX489" s="172"/>
      <c r="AY489" s="172"/>
      <c r="AZ489" s="172"/>
      <c r="BA489" s="172"/>
      <c r="BB489" s="172"/>
      <c r="BC489" s="172"/>
      <c r="BD489" s="172"/>
      <c r="BE489" s="172"/>
      <c r="BF489" s="172"/>
      <c r="BG489" s="172"/>
      <c r="BH489" s="172"/>
      <c r="BI489" s="172"/>
      <c r="BJ489" s="172"/>
      <c r="BK489" s="172"/>
      <c r="BL489" s="172"/>
      <c r="BM489" s="172"/>
      <c r="BN489" s="172"/>
      <c r="BO489" s="172"/>
      <c r="BP489" s="172"/>
      <c r="BQ489" s="172"/>
      <c r="BR489" s="172"/>
      <c r="BS489" s="172"/>
      <c r="BT489" s="172"/>
      <c r="BU489" s="172"/>
      <c r="BV489" s="172"/>
      <c r="BW489" s="172"/>
      <c r="BX489" s="172"/>
      <c r="BY489" s="174"/>
      <c r="BZ489" s="172"/>
      <c r="CA489" s="172"/>
      <c r="CD489" s="194"/>
      <c r="CE489" s="194"/>
      <c r="CF489" s="194"/>
      <c r="CG489" s="194"/>
      <c r="CH489" s="195"/>
      <c r="CI489" s="194"/>
      <c r="CJ489" s="194"/>
      <c r="CK489" s="194"/>
      <c r="CL489" s="196"/>
      <c r="CM489" s="196"/>
      <c r="CN489" s="194"/>
      <c r="CO489" s="197"/>
      <c r="CP489" s="196"/>
      <c r="CQ489" s="196"/>
      <c r="CR489" s="196"/>
      <c r="CS489" s="196"/>
      <c r="CT489" s="196"/>
      <c r="CU489" s="196"/>
      <c r="CV489" s="194"/>
      <c r="CW489" s="194"/>
      <c r="CX489" s="194"/>
      <c r="CY489" s="194"/>
      <c r="CZ489" s="194"/>
      <c r="DA489" s="194"/>
      <c r="DB489" s="194"/>
      <c r="DC489" s="194"/>
      <c r="DD489" s="194"/>
      <c r="DE489" s="194"/>
      <c r="DF489" s="196"/>
      <c r="DG489" s="198"/>
      <c r="DH489" s="194"/>
      <c r="DI489" s="194"/>
    </row>
    <row r="490" spans="1:113" s="24" customFormat="1" hidden="1" x14ac:dyDescent="0.3">
      <c r="A490" s="172"/>
      <c r="B490" s="172"/>
      <c r="C490" s="172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  <c r="AE490" s="173"/>
      <c r="AF490" s="173"/>
      <c r="AG490" s="173"/>
      <c r="AH490" s="173"/>
      <c r="AI490" s="173"/>
      <c r="AJ490" s="173"/>
      <c r="AK490" s="173"/>
      <c r="AL490" s="173"/>
      <c r="AM490" s="173"/>
      <c r="AN490" s="173"/>
      <c r="AO490" s="173"/>
      <c r="AP490" s="173"/>
      <c r="AQ490" s="173"/>
      <c r="AR490" s="173"/>
      <c r="AS490" s="172"/>
      <c r="AT490" s="172"/>
      <c r="AU490" s="172"/>
      <c r="AV490" s="172"/>
      <c r="AW490" s="172"/>
      <c r="AX490" s="172"/>
      <c r="AY490" s="172"/>
      <c r="AZ490" s="172"/>
      <c r="BA490" s="172"/>
      <c r="BB490" s="172"/>
      <c r="BC490" s="172"/>
      <c r="BD490" s="172"/>
      <c r="BE490" s="172"/>
      <c r="BF490" s="172"/>
      <c r="BG490" s="172"/>
      <c r="BH490" s="172"/>
      <c r="BI490" s="172"/>
      <c r="BJ490" s="172"/>
      <c r="BK490" s="172"/>
      <c r="BL490" s="172"/>
      <c r="BM490" s="172"/>
      <c r="BN490" s="172"/>
      <c r="BO490" s="172"/>
      <c r="BP490" s="172"/>
      <c r="BQ490" s="172"/>
      <c r="BR490" s="172"/>
      <c r="BS490" s="172"/>
      <c r="BT490" s="172"/>
      <c r="BU490" s="172"/>
      <c r="BV490" s="172"/>
      <c r="BW490" s="172"/>
      <c r="BX490" s="172"/>
      <c r="BY490" s="174"/>
      <c r="BZ490" s="172"/>
      <c r="CA490" s="172"/>
      <c r="CD490" s="194"/>
      <c r="CE490" s="194"/>
      <c r="CF490" s="194"/>
      <c r="CG490" s="194"/>
      <c r="CH490" s="195"/>
      <c r="CI490" s="194"/>
      <c r="CJ490" s="194"/>
      <c r="CK490" s="194"/>
      <c r="CL490" s="196"/>
      <c r="CM490" s="196"/>
      <c r="CN490" s="194"/>
      <c r="CO490" s="197"/>
      <c r="CP490" s="196"/>
      <c r="CQ490" s="196"/>
      <c r="CR490" s="196"/>
      <c r="CS490" s="196"/>
      <c r="CT490" s="196"/>
      <c r="CU490" s="196"/>
      <c r="CV490" s="194"/>
      <c r="CW490" s="194"/>
      <c r="CX490" s="194"/>
      <c r="CY490" s="194"/>
      <c r="CZ490" s="194"/>
      <c r="DA490" s="194"/>
      <c r="DB490" s="194"/>
      <c r="DC490" s="194"/>
      <c r="DD490" s="194"/>
      <c r="DE490" s="194"/>
      <c r="DF490" s="196"/>
      <c r="DG490" s="198"/>
      <c r="DH490" s="194"/>
      <c r="DI490" s="194"/>
    </row>
    <row r="491" spans="1:113" s="24" customFormat="1" hidden="1" x14ac:dyDescent="0.3">
      <c r="A491" s="172"/>
      <c r="B491" s="172"/>
      <c r="C491" s="172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  <c r="AE491" s="173"/>
      <c r="AF491" s="173"/>
      <c r="AG491" s="173"/>
      <c r="AH491" s="173"/>
      <c r="AI491" s="173"/>
      <c r="AJ491" s="173"/>
      <c r="AK491" s="173"/>
      <c r="AL491" s="173"/>
      <c r="AM491" s="173"/>
      <c r="AN491" s="173"/>
      <c r="AO491" s="173"/>
      <c r="AP491" s="173"/>
      <c r="AQ491" s="173"/>
      <c r="AR491" s="173"/>
      <c r="AS491" s="172"/>
      <c r="AT491" s="172"/>
      <c r="AU491" s="172"/>
      <c r="AV491" s="172"/>
      <c r="AW491" s="172"/>
      <c r="AX491" s="172"/>
      <c r="AY491" s="172"/>
      <c r="AZ491" s="172"/>
      <c r="BA491" s="172"/>
      <c r="BB491" s="172"/>
      <c r="BC491" s="172"/>
      <c r="BD491" s="172"/>
      <c r="BE491" s="172"/>
      <c r="BF491" s="172"/>
      <c r="BG491" s="172"/>
      <c r="BH491" s="172"/>
      <c r="BI491" s="172"/>
      <c r="BJ491" s="172"/>
      <c r="BK491" s="172"/>
      <c r="BL491" s="172"/>
      <c r="BM491" s="172"/>
      <c r="BN491" s="172"/>
      <c r="BO491" s="172"/>
      <c r="BP491" s="172"/>
      <c r="BQ491" s="172"/>
      <c r="BR491" s="172"/>
      <c r="BS491" s="172"/>
      <c r="BT491" s="172"/>
      <c r="BU491" s="172"/>
      <c r="BV491" s="172"/>
      <c r="BW491" s="172"/>
      <c r="BX491" s="172"/>
      <c r="BY491" s="174"/>
      <c r="BZ491" s="172"/>
      <c r="CA491" s="172"/>
      <c r="CD491" s="194"/>
      <c r="CE491" s="194"/>
      <c r="CF491" s="194"/>
      <c r="CG491" s="194"/>
      <c r="CH491" s="195"/>
      <c r="CI491" s="194"/>
      <c r="CJ491" s="194"/>
      <c r="CK491" s="194"/>
      <c r="CL491" s="196"/>
      <c r="CM491" s="196"/>
      <c r="CN491" s="194"/>
      <c r="CO491" s="197"/>
      <c r="CP491" s="196"/>
      <c r="CQ491" s="196"/>
      <c r="CR491" s="196"/>
      <c r="CS491" s="196"/>
      <c r="CT491" s="196"/>
      <c r="CU491" s="196"/>
      <c r="CV491" s="194"/>
      <c r="CW491" s="194"/>
      <c r="CX491" s="194"/>
      <c r="CY491" s="194"/>
      <c r="CZ491" s="194"/>
      <c r="DA491" s="194"/>
      <c r="DB491" s="194"/>
      <c r="DC491" s="194"/>
      <c r="DD491" s="194"/>
      <c r="DE491" s="194"/>
      <c r="DF491" s="196"/>
      <c r="DG491" s="198"/>
      <c r="DH491" s="194"/>
      <c r="DI491" s="194"/>
    </row>
    <row r="492" spans="1:113" s="24" customFormat="1" hidden="1" x14ac:dyDescent="0.3">
      <c r="A492" s="172"/>
      <c r="B492" s="172"/>
      <c r="C492" s="172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  <c r="AE492" s="173"/>
      <c r="AF492" s="173"/>
      <c r="AG492" s="173"/>
      <c r="AH492" s="173"/>
      <c r="AI492" s="173"/>
      <c r="AJ492" s="173"/>
      <c r="AK492" s="173"/>
      <c r="AL492" s="173"/>
      <c r="AM492" s="173"/>
      <c r="AN492" s="173"/>
      <c r="AO492" s="173"/>
      <c r="AP492" s="173"/>
      <c r="AQ492" s="173"/>
      <c r="AR492" s="173"/>
      <c r="AS492" s="172"/>
      <c r="AT492" s="172"/>
      <c r="AU492" s="172"/>
      <c r="AV492" s="172"/>
      <c r="AW492" s="172"/>
      <c r="AX492" s="172"/>
      <c r="AY492" s="172"/>
      <c r="AZ492" s="172"/>
      <c r="BA492" s="172"/>
      <c r="BB492" s="172"/>
      <c r="BC492" s="172"/>
      <c r="BD492" s="172"/>
      <c r="BE492" s="172"/>
      <c r="BF492" s="172"/>
      <c r="BG492" s="172"/>
      <c r="BH492" s="172"/>
      <c r="BI492" s="172"/>
      <c r="BJ492" s="172"/>
      <c r="BK492" s="172"/>
      <c r="BL492" s="172"/>
      <c r="BM492" s="172"/>
      <c r="BN492" s="172"/>
      <c r="BO492" s="172"/>
      <c r="BP492" s="172"/>
      <c r="BQ492" s="172"/>
      <c r="BR492" s="172"/>
      <c r="BS492" s="172"/>
      <c r="BT492" s="172"/>
      <c r="BU492" s="172"/>
      <c r="BV492" s="172"/>
      <c r="BW492" s="172"/>
      <c r="BX492" s="172"/>
      <c r="BY492" s="174"/>
      <c r="BZ492" s="172"/>
      <c r="CA492" s="172"/>
      <c r="CD492" s="194"/>
      <c r="CE492" s="194"/>
      <c r="CF492" s="194"/>
      <c r="CG492" s="194"/>
      <c r="CH492" s="195"/>
      <c r="CI492" s="194"/>
      <c r="CJ492" s="194"/>
      <c r="CK492" s="194"/>
      <c r="CL492" s="196"/>
      <c r="CM492" s="196"/>
      <c r="CN492" s="194"/>
      <c r="CO492" s="197"/>
      <c r="CP492" s="196"/>
      <c r="CQ492" s="196"/>
      <c r="CR492" s="196"/>
      <c r="CS492" s="196"/>
      <c r="CT492" s="196"/>
      <c r="CU492" s="196"/>
      <c r="CV492" s="194"/>
      <c r="CW492" s="194"/>
      <c r="CX492" s="194"/>
      <c r="CY492" s="194"/>
      <c r="CZ492" s="194"/>
      <c r="DA492" s="194"/>
      <c r="DB492" s="194"/>
      <c r="DC492" s="194"/>
      <c r="DD492" s="194"/>
      <c r="DE492" s="194"/>
      <c r="DF492" s="196"/>
      <c r="DG492" s="198"/>
      <c r="DH492" s="194"/>
      <c r="DI492" s="194"/>
    </row>
    <row r="493" spans="1:113" s="24" customFormat="1" hidden="1" x14ac:dyDescent="0.3">
      <c r="A493" s="172"/>
      <c r="B493" s="172"/>
      <c r="C493" s="172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  <c r="AE493" s="173"/>
      <c r="AF493" s="173"/>
      <c r="AG493" s="173"/>
      <c r="AH493" s="173"/>
      <c r="AI493" s="173"/>
      <c r="AJ493" s="173"/>
      <c r="AK493" s="173"/>
      <c r="AL493" s="173"/>
      <c r="AM493" s="173"/>
      <c r="AN493" s="173"/>
      <c r="AO493" s="173"/>
      <c r="AP493" s="173"/>
      <c r="AQ493" s="173"/>
      <c r="AR493" s="173"/>
      <c r="AS493" s="172"/>
      <c r="AT493" s="172"/>
      <c r="AU493" s="172"/>
      <c r="AV493" s="172"/>
      <c r="AW493" s="172"/>
      <c r="AX493" s="172"/>
      <c r="AY493" s="172"/>
      <c r="AZ493" s="172"/>
      <c r="BA493" s="172"/>
      <c r="BB493" s="172"/>
      <c r="BC493" s="172"/>
      <c r="BD493" s="172"/>
      <c r="BE493" s="172"/>
      <c r="BF493" s="172"/>
      <c r="BG493" s="172"/>
      <c r="BH493" s="172"/>
      <c r="BI493" s="172"/>
      <c r="BJ493" s="172"/>
      <c r="BK493" s="172"/>
      <c r="BL493" s="172"/>
      <c r="BM493" s="172"/>
      <c r="BN493" s="172"/>
      <c r="BO493" s="172"/>
      <c r="BP493" s="172"/>
      <c r="BQ493" s="172"/>
      <c r="BR493" s="172"/>
      <c r="BS493" s="172"/>
      <c r="BT493" s="172"/>
      <c r="BU493" s="172"/>
      <c r="BV493" s="172"/>
      <c r="BW493" s="172"/>
      <c r="BX493" s="172"/>
      <c r="BY493" s="174"/>
      <c r="BZ493" s="172"/>
      <c r="CA493" s="172"/>
      <c r="CD493" s="194"/>
      <c r="CE493" s="194"/>
      <c r="CF493" s="194"/>
      <c r="CG493" s="194"/>
      <c r="CH493" s="195"/>
      <c r="CI493" s="194"/>
      <c r="CJ493" s="194"/>
      <c r="CK493" s="194"/>
      <c r="CL493" s="196"/>
      <c r="CM493" s="196"/>
      <c r="CN493" s="194"/>
      <c r="CO493" s="197"/>
      <c r="CP493" s="196"/>
      <c r="CQ493" s="196"/>
      <c r="CR493" s="196"/>
      <c r="CS493" s="196"/>
      <c r="CT493" s="196"/>
      <c r="CU493" s="196"/>
      <c r="CV493" s="194"/>
      <c r="CW493" s="194"/>
      <c r="CX493" s="194"/>
      <c r="CY493" s="194"/>
      <c r="CZ493" s="194"/>
      <c r="DA493" s="194"/>
      <c r="DB493" s="194"/>
      <c r="DC493" s="194"/>
      <c r="DD493" s="194"/>
      <c r="DE493" s="194"/>
      <c r="DF493" s="196"/>
      <c r="DG493" s="198"/>
      <c r="DH493" s="194"/>
      <c r="DI493" s="194"/>
    </row>
    <row r="494" spans="1:113" s="24" customFormat="1" hidden="1" x14ac:dyDescent="0.3">
      <c r="A494" s="172"/>
      <c r="B494" s="172"/>
      <c r="C494" s="172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  <c r="AE494" s="173"/>
      <c r="AF494" s="173"/>
      <c r="AG494" s="173"/>
      <c r="AH494" s="173"/>
      <c r="AI494" s="173"/>
      <c r="AJ494" s="173"/>
      <c r="AK494" s="173"/>
      <c r="AL494" s="173"/>
      <c r="AM494" s="173"/>
      <c r="AN494" s="173"/>
      <c r="AO494" s="173"/>
      <c r="AP494" s="173"/>
      <c r="AQ494" s="173"/>
      <c r="AR494" s="173"/>
      <c r="AS494" s="172"/>
      <c r="AT494" s="172"/>
      <c r="AU494" s="172"/>
      <c r="AV494" s="172"/>
      <c r="AW494" s="172"/>
      <c r="AX494" s="172"/>
      <c r="AY494" s="172"/>
      <c r="AZ494" s="172"/>
      <c r="BA494" s="172"/>
      <c r="BB494" s="172"/>
      <c r="BC494" s="172"/>
      <c r="BD494" s="172"/>
      <c r="BE494" s="172"/>
      <c r="BF494" s="172"/>
      <c r="BG494" s="172"/>
      <c r="BH494" s="172"/>
      <c r="BI494" s="172"/>
      <c r="BJ494" s="172"/>
      <c r="BK494" s="172"/>
      <c r="BL494" s="172"/>
      <c r="BM494" s="172"/>
      <c r="BN494" s="172"/>
      <c r="BO494" s="172"/>
      <c r="BP494" s="172"/>
      <c r="BQ494" s="172"/>
      <c r="BR494" s="172"/>
      <c r="BS494" s="172"/>
      <c r="BT494" s="172"/>
      <c r="BU494" s="172"/>
      <c r="BV494" s="172"/>
      <c r="BW494" s="172"/>
      <c r="BX494" s="172"/>
      <c r="BY494" s="174"/>
      <c r="BZ494" s="172"/>
      <c r="CA494" s="172"/>
      <c r="CD494" s="194"/>
      <c r="CE494" s="194"/>
      <c r="CF494" s="194"/>
      <c r="CG494" s="194"/>
      <c r="CH494" s="195"/>
      <c r="CI494" s="194"/>
      <c r="CJ494" s="194"/>
      <c r="CK494" s="194"/>
      <c r="CL494" s="196"/>
      <c r="CM494" s="196"/>
      <c r="CN494" s="194"/>
      <c r="CO494" s="197"/>
      <c r="CP494" s="196"/>
      <c r="CQ494" s="196"/>
      <c r="CR494" s="196"/>
      <c r="CS494" s="196"/>
      <c r="CT494" s="196"/>
      <c r="CU494" s="196"/>
      <c r="CV494" s="194"/>
      <c r="CW494" s="194"/>
      <c r="CX494" s="194"/>
      <c r="CY494" s="194"/>
      <c r="CZ494" s="194"/>
      <c r="DA494" s="194"/>
      <c r="DB494" s="194"/>
      <c r="DC494" s="194"/>
      <c r="DD494" s="194"/>
      <c r="DE494" s="194"/>
      <c r="DF494" s="196"/>
      <c r="DG494" s="198"/>
      <c r="DH494" s="194"/>
      <c r="DI494" s="194"/>
    </row>
    <row r="495" spans="1:113" s="24" customFormat="1" hidden="1" x14ac:dyDescent="0.3">
      <c r="A495" s="172"/>
      <c r="B495" s="172"/>
      <c r="C495" s="172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  <c r="AE495" s="173"/>
      <c r="AF495" s="173"/>
      <c r="AG495" s="173"/>
      <c r="AH495" s="173"/>
      <c r="AI495" s="173"/>
      <c r="AJ495" s="173"/>
      <c r="AK495" s="173"/>
      <c r="AL495" s="173"/>
      <c r="AM495" s="173"/>
      <c r="AN495" s="173"/>
      <c r="AO495" s="173"/>
      <c r="AP495" s="173"/>
      <c r="AQ495" s="173"/>
      <c r="AR495" s="173"/>
      <c r="AS495" s="172"/>
      <c r="AT495" s="172"/>
      <c r="AU495" s="172"/>
      <c r="AV495" s="172"/>
      <c r="AW495" s="172"/>
      <c r="AX495" s="172"/>
      <c r="AY495" s="172"/>
      <c r="AZ495" s="172"/>
      <c r="BA495" s="172"/>
      <c r="BB495" s="172"/>
      <c r="BC495" s="172"/>
      <c r="BD495" s="172"/>
      <c r="BE495" s="172"/>
      <c r="BF495" s="172"/>
      <c r="BG495" s="172"/>
      <c r="BH495" s="172"/>
      <c r="BI495" s="172"/>
      <c r="BJ495" s="172"/>
      <c r="BK495" s="172"/>
      <c r="BL495" s="172"/>
      <c r="BM495" s="172"/>
      <c r="BN495" s="172"/>
      <c r="BO495" s="172"/>
      <c r="BP495" s="172"/>
      <c r="BQ495" s="172"/>
      <c r="BR495" s="172"/>
      <c r="BS495" s="172"/>
      <c r="BT495" s="172"/>
      <c r="BU495" s="172"/>
      <c r="BV495" s="172"/>
      <c r="BW495" s="172"/>
      <c r="BX495" s="172"/>
      <c r="BY495" s="174"/>
      <c r="BZ495" s="172"/>
      <c r="CA495" s="172"/>
      <c r="CD495" s="194"/>
      <c r="CE495" s="194"/>
      <c r="CF495" s="194"/>
      <c r="CG495" s="194"/>
      <c r="CH495" s="195"/>
      <c r="CI495" s="194"/>
      <c r="CJ495" s="194"/>
      <c r="CK495" s="194"/>
      <c r="CL495" s="196"/>
      <c r="CM495" s="196"/>
      <c r="CN495" s="194"/>
      <c r="CO495" s="197"/>
      <c r="CP495" s="196"/>
      <c r="CQ495" s="196"/>
      <c r="CR495" s="196"/>
      <c r="CS495" s="196"/>
      <c r="CT495" s="196"/>
      <c r="CU495" s="196"/>
      <c r="CV495" s="194"/>
      <c r="CW495" s="194"/>
      <c r="CX495" s="194"/>
      <c r="CY495" s="194"/>
      <c r="CZ495" s="194"/>
      <c r="DA495" s="194"/>
      <c r="DB495" s="194"/>
      <c r="DC495" s="194"/>
      <c r="DD495" s="194"/>
      <c r="DE495" s="194"/>
      <c r="DF495" s="196"/>
      <c r="DG495" s="198"/>
      <c r="DH495" s="194"/>
      <c r="DI495" s="194"/>
    </row>
    <row r="496" spans="1:113" s="24" customFormat="1" hidden="1" x14ac:dyDescent="0.3">
      <c r="A496" s="172"/>
      <c r="B496" s="172"/>
      <c r="C496" s="172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  <c r="AE496" s="173"/>
      <c r="AF496" s="173"/>
      <c r="AG496" s="173"/>
      <c r="AH496" s="173"/>
      <c r="AI496" s="173"/>
      <c r="AJ496" s="173"/>
      <c r="AK496" s="173"/>
      <c r="AL496" s="173"/>
      <c r="AM496" s="173"/>
      <c r="AN496" s="173"/>
      <c r="AO496" s="173"/>
      <c r="AP496" s="173"/>
      <c r="AQ496" s="173"/>
      <c r="AR496" s="173"/>
      <c r="AS496" s="172"/>
      <c r="AT496" s="172"/>
      <c r="AU496" s="172"/>
      <c r="AV496" s="172"/>
      <c r="AW496" s="172"/>
      <c r="AX496" s="172"/>
      <c r="AY496" s="172"/>
      <c r="AZ496" s="172"/>
      <c r="BA496" s="172"/>
      <c r="BB496" s="172"/>
      <c r="BC496" s="172"/>
      <c r="BD496" s="172"/>
      <c r="BE496" s="172"/>
      <c r="BF496" s="172"/>
      <c r="BG496" s="172"/>
      <c r="BH496" s="172"/>
      <c r="BI496" s="172"/>
      <c r="BJ496" s="172"/>
      <c r="BK496" s="172"/>
      <c r="BL496" s="172"/>
      <c r="BM496" s="172"/>
      <c r="BN496" s="172"/>
      <c r="BO496" s="172"/>
      <c r="BP496" s="172"/>
      <c r="BQ496" s="172"/>
      <c r="BR496" s="172"/>
      <c r="BS496" s="172"/>
      <c r="BT496" s="172"/>
      <c r="BU496" s="172"/>
      <c r="BV496" s="172"/>
      <c r="BW496" s="172"/>
      <c r="BX496" s="172"/>
      <c r="BY496" s="174"/>
      <c r="BZ496" s="172"/>
      <c r="CA496" s="172"/>
      <c r="CD496" s="194"/>
      <c r="CE496" s="194"/>
      <c r="CF496" s="194"/>
      <c r="CG496" s="194"/>
      <c r="CH496" s="195"/>
      <c r="CI496" s="194"/>
      <c r="CJ496" s="194"/>
      <c r="CK496" s="194"/>
      <c r="CL496" s="196"/>
      <c r="CM496" s="196"/>
      <c r="CN496" s="194"/>
      <c r="CO496" s="197"/>
      <c r="CP496" s="196"/>
      <c r="CQ496" s="196"/>
      <c r="CR496" s="196"/>
      <c r="CS496" s="196"/>
      <c r="CT496" s="196"/>
      <c r="CU496" s="196"/>
      <c r="CV496" s="194"/>
      <c r="CW496" s="194"/>
      <c r="CX496" s="194"/>
      <c r="CY496" s="194"/>
      <c r="CZ496" s="194"/>
      <c r="DA496" s="194"/>
      <c r="DB496" s="194"/>
      <c r="DC496" s="194"/>
      <c r="DD496" s="194"/>
      <c r="DE496" s="194"/>
      <c r="DF496" s="196"/>
      <c r="DG496" s="198"/>
      <c r="DH496" s="194"/>
      <c r="DI496" s="194"/>
    </row>
    <row r="497" spans="1:113" s="24" customFormat="1" hidden="1" x14ac:dyDescent="0.3">
      <c r="A497" s="172"/>
      <c r="B497" s="172"/>
      <c r="C497" s="172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  <c r="AE497" s="173"/>
      <c r="AF497" s="173"/>
      <c r="AG497" s="173"/>
      <c r="AH497" s="173"/>
      <c r="AI497" s="173"/>
      <c r="AJ497" s="173"/>
      <c r="AK497" s="173"/>
      <c r="AL497" s="173"/>
      <c r="AM497" s="173"/>
      <c r="AN497" s="173"/>
      <c r="AO497" s="173"/>
      <c r="AP497" s="173"/>
      <c r="AQ497" s="173"/>
      <c r="AR497" s="173"/>
      <c r="AS497" s="172"/>
      <c r="AT497" s="172"/>
      <c r="AU497" s="172"/>
      <c r="AV497" s="172"/>
      <c r="AW497" s="172"/>
      <c r="AX497" s="172"/>
      <c r="AY497" s="172"/>
      <c r="AZ497" s="172"/>
      <c r="BA497" s="172"/>
      <c r="BB497" s="172"/>
      <c r="BC497" s="172"/>
      <c r="BD497" s="172"/>
      <c r="BE497" s="172"/>
      <c r="BF497" s="172"/>
      <c r="BG497" s="172"/>
      <c r="BH497" s="172"/>
      <c r="BI497" s="172"/>
      <c r="BJ497" s="172"/>
      <c r="BK497" s="172"/>
      <c r="BL497" s="172"/>
      <c r="BM497" s="172"/>
      <c r="BN497" s="172"/>
      <c r="BO497" s="172"/>
      <c r="BP497" s="172"/>
      <c r="BQ497" s="172"/>
      <c r="BR497" s="172"/>
      <c r="BS497" s="172"/>
      <c r="BT497" s="172"/>
      <c r="BU497" s="172"/>
      <c r="BV497" s="172"/>
      <c r="BW497" s="172"/>
      <c r="BX497" s="172"/>
      <c r="BY497" s="174"/>
      <c r="BZ497" s="172"/>
      <c r="CA497" s="172"/>
      <c r="CD497" s="194"/>
      <c r="CE497" s="194"/>
      <c r="CF497" s="194"/>
      <c r="CG497" s="194"/>
      <c r="CH497" s="195"/>
      <c r="CI497" s="194"/>
      <c r="CJ497" s="194"/>
      <c r="CK497" s="194"/>
      <c r="CL497" s="196"/>
      <c r="CM497" s="196"/>
      <c r="CN497" s="194"/>
      <c r="CO497" s="197"/>
      <c r="CP497" s="196"/>
      <c r="CQ497" s="196"/>
      <c r="CR497" s="196"/>
      <c r="CS497" s="196"/>
      <c r="CT497" s="196"/>
      <c r="CU497" s="196"/>
      <c r="CV497" s="194"/>
      <c r="CW497" s="194"/>
      <c r="CX497" s="194"/>
      <c r="CY497" s="194"/>
      <c r="CZ497" s="194"/>
      <c r="DA497" s="194"/>
      <c r="DB497" s="194"/>
      <c r="DC497" s="194"/>
      <c r="DD497" s="194"/>
      <c r="DE497" s="194"/>
      <c r="DF497" s="196"/>
      <c r="DG497" s="198"/>
      <c r="DH497" s="194"/>
      <c r="DI497" s="194"/>
    </row>
    <row r="498" spans="1:113" s="24" customFormat="1" hidden="1" x14ac:dyDescent="0.3">
      <c r="A498" s="172"/>
      <c r="B498" s="172"/>
      <c r="C498" s="172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  <c r="AE498" s="173"/>
      <c r="AF498" s="173"/>
      <c r="AG498" s="173"/>
      <c r="AH498" s="173"/>
      <c r="AI498" s="173"/>
      <c r="AJ498" s="173"/>
      <c r="AK498" s="173"/>
      <c r="AL498" s="173"/>
      <c r="AM498" s="173"/>
      <c r="AN498" s="173"/>
      <c r="AO498" s="173"/>
      <c r="AP498" s="173"/>
      <c r="AQ498" s="173"/>
      <c r="AR498" s="173"/>
      <c r="AS498" s="172"/>
      <c r="AT498" s="172"/>
      <c r="AU498" s="172"/>
      <c r="AV498" s="172"/>
      <c r="AW498" s="172"/>
      <c r="AX498" s="172"/>
      <c r="AY498" s="172"/>
      <c r="AZ498" s="172"/>
      <c r="BA498" s="172"/>
      <c r="BB498" s="172"/>
      <c r="BC498" s="172"/>
      <c r="BD498" s="172"/>
      <c r="BE498" s="172"/>
      <c r="BF498" s="172"/>
      <c r="BG498" s="172"/>
      <c r="BH498" s="172"/>
      <c r="BI498" s="172"/>
      <c r="BJ498" s="172"/>
      <c r="BK498" s="172"/>
      <c r="BL498" s="172"/>
      <c r="BM498" s="172"/>
      <c r="BN498" s="172"/>
      <c r="BO498" s="172"/>
      <c r="BP498" s="172"/>
      <c r="BQ498" s="172"/>
      <c r="BR498" s="172"/>
      <c r="BS498" s="172"/>
      <c r="BT498" s="172"/>
      <c r="BU498" s="172"/>
      <c r="BV498" s="172"/>
      <c r="BW498" s="172"/>
      <c r="BX498" s="172"/>
      <c r="BY498" s="174"/>
      <c r="BZ498" s="172"/>
      <c r="CA498" s="172"/>
      <c r="CD498" s="194"/>
      <c r="CE498" s="194"/>
      <c r="CF498" s="194"/>
      <c r="CG498" s="194"/>
      <c r="CH498" s="195"/>
      <c r="CI498" s="194"/>
      <c r="CJ498" s="194"/>
      <c r="CK498" s="194"/>
      <c r="CL498" s="196"/>
      <c r="CM498" s="196"/>
      <c r="CN498" s="194"/>
      <c r="CO498" s="197"/>
      <c r="CP498" s="196"/>
      <c r="CQ498" s="196"/>
      <c r="CR498" s="196"/>
      <c r="CS498" s="196"/>
      <c r="CT498" s="196"/>
      <c r="CU498" s="196"/>
      <c r="CV498" s="194"/>
      <c r="CW498" s="194"/>
      <c r="CX498" s="194"/>
      <c r="CY498" s="194"/>
      <c r="CZ498" s="194"/>
      <c r="DA498" s="194"/>
      <c r="DB498" s="194"/>
      <c r="DC498" s="194"/>
      <c r="DD498" s="194"/>
      <c r="DE498" s="194"/>
      <c r="DF498" s="196"/>
      <c r="DG498" s="198"/>
      <c r="DH498" s="194"/>
      <c r="DI498" s="194"/>
    </row>
    <row r="499" spans="1:113" s="24" customFormat="1" hidden="1" x14ac:dyDescent="0.3">
      <c r="A499" s="172"/>
      <c r="B499" s="172"/>
      <c r="C499" s="172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  <c r="AE499" s="173"/>
      <c r="AF499" s="173"/>
      <c r="AG499" s="173"/>
      <c r="AH499" s="173"/>
      <c r="AI499" s="173"/>
      <c r="AJ499" s="173"/>
      <c r="AK499" s="173"/>
      <c r="AL499" s="173"/>
      <c r="AM499" s="173"/>
      <c r="AN499" s="173"/>
      <c r="AO499" s="173"/>
      <c r="AP499" s="173"/>
      <c r="AQ499" s="173"/>
      <c r="AR499" s="173"/>
      <c r="AS499" s="172"/>
      <c r="AT499" s="172"/>
      <c r="AU499" s="172"/>
      <c r="AV499" s="172"/>
      <c r="AW499" s="172"/>
      <c r="AX499" s="172"/>
      <c r="AY499" s="172"/>
      <c r="AZ499" s="172"/>
      <c r="BA499" s="172"/>
      <c r="BB499" s="172"/>
      <c r="BC499" s="172"/>
      <c r="BD499" s="172"/>
      <c r="BE499" s="172"/>
      <c r="BF499" s="172"/>
      <c r="BG499" s="172"/>
      <c r="BH499" s="172"/>
      <c r="BI499" s="172"/>
      <c r="BJ499" s="172"/>
      <c r="BK499" s="172"/>
      <c r="BL499" s="172"/>
      <c r="BM499" s="172"/>
      <c r="BN499" s="172"/>
      <c r="BO499" s="172"/>
      <c r="BP499" s="172"/>
      <c r="BQ499" s="172"/>
      <c r="BR499" s="172"/>
      <c r="BS499" s="172"/>
      <c r="BT499" s="172"/>
      <c r="BU499" s="172"/>
      <c r="BV499" s="172"/>
      <c r="BW499" s="172"/>
      <c r="BX499" s="172"/>
      <c r="BY499" s="174"/>
      <c r="BZ499" s="172"/>
      <c r="CA499" s="172"/>
      <c r="CD499" s="194"/>
      <c r="CE499" s="194"/>
      <c r="CF499" s="194"/>
      <c r="CG499" s="194"/>
      <c r="CH499" s="195"/>
      <c r="CI499" s="194"/>
      <c r="CJ499" s="194"/>
      <c r="CK499" s="194"/>
      <c r="CL499" s="196"/>
      <c r="CM499" s="196"/>
      <c r="CN499" s="194"/>
      <c r="CO499" s="197"/>
      <c r="CP499" s="196"/>
      <c r="CQ499" s="196"/>
      <c r="CR499" s="196"/>
      <c r="CS499" s="196"/>
      <c r="CT499" s="196"/>
      <c r="CU499" s="196"/>
      <c r="CV499" s="194"/>
      <c r="CW499" s="194"/>
      <c r="CX499" s="194"/>
      <c r="CY499" s="194"/>
      <c r="CZ499" s="194"/>
      <c r="DA499" s="194"/>
      <c r="DB499" s="194"/>
      <c r="DC499" s="194"/>
      <c r="DD499" s="194"/>
      <c r="DE499" s="194"/>
      <c r="DF499" s="196"/>
      <c r="DG499" s="198"/>
      <c r="DH499" s="194"/>
      <c r="DI499" s="194"/>
    </row>
    <row r="500" spans="1:113" s="24" customFormat="1" hidden="1" x14ac:dyDescent="0.3">
      <c r="A500" s="172"/>
      <c r="B500" s="172"/>
      <c r="C500" s="172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  <c r="AE500" s="173"/>
      <c r="AF500" s="173"/>
      <c r="AG500" s="173"/>
      <c r="AH500" s="173"/>
      <c r="AI500" s="173"/>
      <c r="AJ500" s="173"/>
      <c r="AK500" s="173"/>
      <c r="AL500" s="173"/>
      <c r="AM500" s="173"/>
      <c r="AN500" s="173"/>
      <c r="AO500" s="173"/>
      <c r="AP500" s="173"/>
      <c r="AQ500" s="173"/>
      <c r="AR500" s="173"/>
      <c r="AS500" s="172"/>
      <c r="AT500" s="172"/>
      <c r="AU500" s="172"/>
      <c r="AV500" s="172"/>
      <c r="AW500" s="172"/>
      <c r="AX500" s="172"/>
      <c r="AY500" s="172"/>
      <c r="AZ500" s="172"/>
      <c r="BA500" s="172"/>
      <c r="BB500" s="172"/>
      <c r="BC500" s="172"/>
      <c r="BD500" s="172"/>
      <c r="BE500" s="172"/>
      <c r="BF500" s="172"/>
      <c r="BG500" s="172"/>
      <c r="BH500" s="172"/>
      <c r="BI500" s="172"/>
      <c r="BJ500" s="172"/>
      <c r="BK500" s="172"/>
      <c r="BL500" s="172"/>
      <c r="BM500" s="172"/>
      <c r="BN500" s="172"/>
      <c r="BO500" s="172"/>
      <c r="BP500" s="172"/>
      <c r="BQ500" s="172"/>
      <c r="BR500" s="172"/>
      <c r="BS500" s="172"/>
      <c r="BT500" s="172"/>
      <c r="BU500" s="172"/>
      <c r="BV500" s="172"/>
      <c r="BW500" s="172"/>
      <c r="BX500" s="172"/>
      <c r="BY500" s="174"/>
      <c r="BZ500" s="172"/>
      <c r="CA500" s="172"/>
      <c r="CD500" s="194"/>
      <c r="CE500" s="194"/>
      <c r="CF500" s="194"/>
      <c r="CG500" s="194"/>
      <c r="CH500" s="195"/>
      <c r="CI500" s="194"/>
      <c r="CJ500" s="194"/>
      <c r="CK500" s="194"/>
      <c r="CL500" s="196"/>
      <c r="CM500" s="196"/>
      <c r="CN500" s="194"/>
      <c r="CO500" s="197"/>
      <c r="CP500" s="196"/>
      <c r="CQ500" s="196"/>
      <c r="CR500" s="196"/>
      <c r="CS500" s="196"/>
      <c r="CT500" s="196"/>
      <c r="CU500" s="196"/>
      <c r="CV500" s="194"/>
      <c r="CW500" s="194"/>
      <c r="CX500" s="194"/>
      <c r="CY500" s="194"/>
      <c r="CZ500" s="194"/>
      <c r="DA500" s="194"/>
      <c r="DB500" s="194"/>
      <c r="DC500" s="194"/>
      <c r="DD500" s="194"/>
      <c r="DE500" s="194"/>
      <c r="DF500" s="196"/>
      <c r="DG500" s="198"/>
      <c r="DH500" s="194"/>
      <c r="DI500" s="194"/>
    </row>
    <row r="501" spans="1:113" s="24" customFormat="1" hidden="1" x14ac:dyDescent="0.3">
      <c r="A501" s="172"/>
      <c r="B501" s="172"/>
      <c r="C501" s="172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  <c r="AE501" s="173"/>
      <c r="AF501" s="173"/>
      <c r="AG501" s="173"/>
      <c r="AH501" s="173"/>
      <c r="AI501" s="173"/>
      <c r="AJ501" s="173"/>
      <c r="AK501" s="173"/>
      <c r="AL501" s="173"/>
      <c r="AM501" s="173"/>
      <c r="AN501" s="173"/>
      <c r="AO501" s="173"/>
      <c r="AP501" s="173"/>
      <c r="AQ501" s="173"/>
      <c r="AR501" s="173"/>
      <c r="AS501" s="172"/>
      <c r="AT501" s="172"/>
      <c r="AU501" s="172"/>
      <c r="AV501" s="172"/>
      <c r="AW501" s="172"/>
      <c r="AX501" s="172"/>
      <c r="AY501" s="172"/>
      <c r="AZ501" s="172"/>
      <c r="BA501" s="172"/>
      <c r="BB501" s="172"/>
      <c r="BC501" s="172"/>
      <c r="BD501" s="172"/>
      <c r="BE501" s="172"/>
      <c r="BF501" s="172"/>
      <c r="BG501" s="172"/>
      <c r="BH501" s="172"/>
      <c r="BI501" s="172"/>
      <c r="BJ501" s="172"/>
      <c r="BK501" s="172"/>
      <c r="BL501" s="172"/>
      <c r="BM501" s="172"/>
      <c r="BN501" s="172"/>
      <c r="BO501" s="172"/>
      <c r="BP501" s="172"/>
      <c r="BQ501" s="172"/>
      <c r="BR501" s="172"/>
      <c r="BS501" s="172"/>
      <c r="BT501" s="172"/>
      <c r="BU501" s="172"/>
      <c r="BV501" s="172"/>
      <c r="BW501" s="172"/>
      <c r="BX501" s="172"/>
      <c r="BY501" s="174"/>
      <c r="BZ501" s="172"/>
      <c r="CA501" s="172"/>
      <c r="CD501" s="194"/>
      <c r="CE501" s="194"/>
      <c r="CF501" s="194"/>
      <c r="CG501" s="194"/>
      <c r="CH501" s="195"/>
      <c r="CI501" s="194"/>
      <c r="CJ501" s="194"/>
      <c r="CK501" s="194"/>
      <c r="CL501" s="196"/>
      <c r="CM501" s="196"/>
      <c r="CN501" s="194"/>
      <c r="CO501" s="197"/>
      <c r="CP501" s="196"/>
      <c r="CQ501" s="196"/>
      <c r="CR501" s="196"/>
      <c r="CS501" s="196"/>
      <c r="CT501" s="196"/>
      <c r="CU501" s="196"/>
      <c r="CV501" s="194"/>
      <c r="CW501" s="194"/>
      <c r="CX501" s="194"/>
      <c r="CY501" s="194"/>
      <c r="CZ501" s="194"/>
      <c r="DA501" s="194"/>
      <c r="DB501" s="194"/>
      <c r="DC501" s="194"/>
      <c r="DD501" s="194"/>
      <c r="DE501" s="194"/>
      <c r="DF501" s="196"/>
      <c r="DG501" s="198"/>
      <c r="DH501" s="194"/>
      <c r="DI501" s="194"/>
    </row>
    <row r="502" spans="1:113" s="24" customFormat="1" hidden="1" x14ac:dyDescent="0.3">
      <c r="A502" s="172"/>
      <c r="B502" s="172"/>
      <c r="C502" s="172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  <c r="AE502" s="173"/>
      <c r="AF502" s="173"/>
      <c r="AG502" s="173"/>
      <c r="AH502" s="173"/>
      <c r="AI502" s="173"/>
      <c r="AJ502" s="173"/>
      <c r="AK502" s="173"/>
      <c r="AL502" s="173"/>
      <c r="AM502" s="173"/>
      <c r="AN502" s="173"/>
      <c r="AO502" s="173"/>
      <c r="AP502" s="173"/>
      <c r="AQ502" s="173"/>
      <c r="AR502" s="173"/>
      <c r="AS502" s="172"/>
      <c r="AT502" s="172"/>
      <c r="AU502" s="172"/>
      <c r="AV502" s="172"/>
      <c r="AW502" s="172"/>
      <c r="AX502" s="172"/>
      <c r="AY502" s="172"/>
      <c r="AZ502" s="172"/>
      <c r="BA502" s="172"/>
      <c r="BB502" s="172"/>
      <c r="BC502" s="172"/>
      <c r="BD502" s="172"/>
      <c r="BE502" s="172"/>
      <c r="BF502" s="172"/>
      <c r="BG502" s="172"/>
      <c r="BH502" s="172"/>
      <c r="BI502" s="172"/>
      <c r="BJ502" s="172"/>
      <c r="BK502" s="172"/>
      <c r="BL502" s="172"/>
      <c r="BM502" s="172"/>
      <c r="BN502" s="172"/>
      <c r="BO502" s="172"/>
      <c r="BP502" s="172"/>
      <c r="BQ502" s="172"/>
      <c r="BR502" s="172"/>
      <c r="BS502" s="172"/>
      <c r="BT502" s="172"/>
      <c r="BU502" s="172"/>
      <c r="BV502" s="172"/>
      <c r="BW502" s="172"/>
      <c r="BX502" s="172"/>
      <c r="BY502" s="174"/>
      <c r="BZ502" s="172"/>
      <c r="CA502" s="172"/>
      <c r="CD502" s="194"/>
      <c r="CE502" s="194"/>
      <c r="CF502" s="194"/>
      <c r="CG502" s="194"/>
      <c r="CH502" s="195"/>
      <c r="CI502" s="194"/>
      <c r="CJ502" s="194"/>
      <c r="CK502" s="194"/>
      <c r="CL502" s="196"/>
      <c r="CM502" s="196"/>
      <c r="CN502" s="194"/>
      <c r="CO502" s="197"/>
      <c r="CP502" s="196"/>
      <c r="CQ502" s="196"/>
      <c r="CR502" s="196"/>
      <c r="CS502" s="196"/>
      <c r="CT502" s="196"/>
      <c r="CU502" s="196"/>
      <c r="CV502" s="194"/>
      <c r="CW502" s="194"/>
      <c r="CX502" s="194"/>
      <c r="CY502" s="194"/>
      <c r="CZ502" s="194"/>
      <c r="DA502" s="194"/>
      <c r="DB502" s="194"/>
      <c r="DC502" s="194"/>
      <c r="DD502" s="194"/>
      <c r="DE502" s="194"/>
      <c r="DF502" s="196"/>
      <c r="DG502" s="198"/>
      <c r="DH502" s="194"/>
      <c r="DI502" s="194"/>
    </row>
    <row r="503" spans="1:113" s="24" customFormat="1" hidden="1" x14ac:dyDescent="0.3">
      <c r="A503" s="172"/>
      <c r="B503" s="172"/>
      <c r="C503" s="172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  <c r="AE503" s="173"/>
      <c r="AF503" s="173"/>
      <c r="AG503" s="173"/>
      <c r="AH503" s="173"/>
      <c r="AI503" s="173"/>
      <c r="AJ503" s="173"/>
      <c r="AK503" s="173"/>
      <c r="AL503" s="173"/>
      <c r="AM503" s="173"/>
      <c r="AN503" s="173"/>
      <c r="AO503" s="173"/>
      <c r="AP503" s="173"/>
      <c r="AQ503" s="173"/>
      <c r="AR503" s="173"/>
      <c r="AS503" s="172"/>
      <c r="AT503" s="172"/>
      <c r="AU503" s="172"/>
      <c r="AV503" s="172"/>
      <c r="AW503" s="172"/>
      <c r="AX503" s="172"/>
      <c r="AY503" s="172"/>
      <c r="AZ503" s="172"/>
      <c r="BA503" s="172"/>
      <c r="BB503" s="172"/>
      <c r="BC503" s="172"/>
      <c r="BD503" s="172"/>
      <c r="BE503" s="172"/>
      <c r="BF503" s="172"/>
      <c r="BG503" s="172"/>
      <c r="BH503" s="172"/>
      <c r="BI503" s="172"/>
      <c r="BJ503" s="172"/>
      <c r="BK503" s="172"/>
      <c r="BL503" s="172"/>
      <c r="BM503" s="172"/>
      <c r="BN503" s="172"/>
      <c r="BO503" s="172"/>
      <c r="BP503" s="172"/>
      <c r="BQ503" s="172"/>
      <c r="BR503" s="172"/>
      <c r="BS503" s="172"/>
      <c r="BT503" s="172"/>
      <c r="BU503" s="172"/>
      <c r="BV503" s="172"/>
      <c r="BW503" s="172"/>
      <c r="BX503" s="172"/>
      <c r="BY503" s="174"/>
      <c r="BZ503" s="172"/>
      <c r="CA503" s="172"/>
      <c r="CD503" s="194"/>
      <c r="CE503" s="194"/>
      <c r="CF503" s="194"/>
      <c r="CG503" s="194"/>
      <c r="CH503" s="195"/>
      <c r="CI503" s="194"/>
      <c r="CJ503" s="194"/>
      <c r="CK503" s="194"/>
      <c r="CL503" s="196"/>
      <c r="CM503" s="196"/>
      <c r="CN503" s="194"/>
      <c r="CO503" s="197"/>
      <c r="CP503" s="196"/>
      <c r="CQ503" s="196"/>
      <c r="CR503" s="196"/>
      <c r="CS503" s="196"/>
      <c r="CT503" s="196"/>
      <c r="CU503" s="196"/>
      <c r="CV503" s="194"/>
      <c r="CW503" s="194"/>
      <c r="CX503" s="194"/>
      <c r="CY503" s="194"/>
      <c r="CZ503" s="194"/>
      <c r="DA503" s="194"/>
      <c r="DB503" s="194"/>
      <c r="DC503" s="194"/>
      <c r="DD503" s="194"/>
      <c r="DE503" s="194"/>
      <c r="DF503" s="196"/>
      <c r="DG503" s="198"/>
      <c r="DH503" s="194"/>
      <c r="DI503" s="194"/>
    </row>
    <row r="504" spans="1:113" s="24" customFormat="1" hidden="1" x14ac:dyDescent="0.3">
      <c r="A504" s="172"/>
      <c r="B504" s="172"/>
      <c r="C504" s="172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  <c r="AE504" s="173"/>
      <c r="AF504" s="173"/>
      <c r="AG504" s="173"/>
      <c r="AH504" s="173"/>
      <c r="AI504" s="173"/>
      <c r="AJ504" s="173"/>
      <c r="AK504" s="173"/>
      <c r="AL504" s="173"/>
      <c r="AM504" s="173"/>
      <c r="AN504" s="173"/>
      <c r="AO504" s="173"/>
      <c r="AP504" s="173"/>
      <c r="AQ504" s="173"/>
      <c r="AR504" s="173"/>
      <c r="AS504" s="172"/>
      <c r="AT504" s="172"/>
      <c r="AU504" s="172"/>
      <c r="AV504" s="172"/>
      <c r="AW504" s="172"/>
      <c r="AX504" s="172"/>
      <c r="AY504" s="172"/>
      <c r="AZ504" s="172"/>
      <c r="BA504" s="172"/>
      <c r="BB504" s="172"/>
      <c r="BC504" s="172"/>
      <c r="BD504" s="172"/>
      <c r="BE504" s="172"/>
      <c r="BF504" s="172"/>
      <c r="BG504" s="172"/>
      <c r="BH504" s="172"/>
      <c r="BI504" s="172"/>
      <c r="BJ504" s="172"/>
      <c r="BK504" s="172"/>
      <c r="BL504" s="172"/>
      <c r="BM504" s="172"/>
      <c r="BN504" s="172"/>
      <c r="BO504" s="172"/>
      <c r="BP504" s="172"/>
      <c r="BQ504" s="172"/>
      <c r="BR504" s="172"/>
      <c r="BS504" s="172"/>
      <c r="BT504" s="172"/>
      <c r="BU504" s="172"/>
      <c r="BV504" s="172"/>
      <c r="BW504" s="172"/>
      <c r="BX504" s="172"/>
      <c r="BY504" s="174"/>
      <c r="BZ504" s="172"/>
      <c r="CA504" s="172"/>
      <c r="CD504" s="194"/>
      <c r="CE504" s="194"/>
      <c r="CF504" s="194"/>
      <c r="CG504" s="194"/>
      <c r="CH504" s="195"/>
      <c r="CI504" s="194"/>
      <c r="CJ504" s="194"/>
      <c r="CK504" s="194"/>
      <c r="CL504" s="196"/>
      <c r="CM504" s="196"/>
      <c r="CN504" s="194"/>
      <c r="CO504" s="197"/>
      <c r="CP504" s="196"/>
      <c r="CQ504" s="196"/>
      <c r="CR504" s="196"/>
      <c r="CS504" s="196"/>
      <c r="CT504" s="196"/>
      <c r="CU504" s="196"/>
      <c r="CV504" s="194"/>
      <c r="CW504" s="194"/>
      <c r="CX504" s="194"/>
      <c r="CY504" s="194"/>
      <c r="CZ504" s="194"/>
      <c r="DA504" s="194"/>
      <c r="DB504" s="194"/>
      <c r="DC504" s="194"/>
      <c r="DD504" s="194"/>
      <c r="DE504" s="194"/>
      <c r="DF504" s="196"/>
      <c r="DG504" s="198"/>
      <c r="DH504" s="194"/>
      <c r="DI504" s="194"/>
    </row>
    <row r="505" spans="1:113" s="24" customFormat="1" hidden="1" x14ac:dyDescent="0.3">
      <c r="A505" s="172"/>
      <c r="B505" s="172"/>
      <c r="C505" s="172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  <c r="AE505" s="173"/>
      <c r="AF505" s="173"/>
      <c r="AG505" s="173"/>
      <c r="AH505" s="173"/>
      <c r="AI505" s="173"/>
      <c r="AJ505" s="173"/>
      <c r="AK505" s="173"/>
      <c r="AL505" s="173"/>
      <c r="AM505" s="173"/>
      <c r="AN505" s="173"/>
      <c r="AO505" s="173"/>
      <c r="AP505" s="173"/>
      <c r="AQ505" s="173"/>
      <c r="AR505" s="173"/>
      <c r="AS505" s="172"/>
      <c r="AT505" s="172"/>
      <c r="AU505" s="172"/>
      <c r="AV505" s="172"/>
      <c r="AW505" s="172"/>
      <c r="AX505" s="172"/>
      <c r="AY505" s="172"/>
      <c r="AZ505" s="172"/>
      <c r="BA505" s="172"/>
      <c r="BB505" s="172"/>
      <c r="BC505" s="172"/>
      <c r="BD505" s="172"/>
      <c r="BE505" s="172"/>
      <c r="BF505" s="172"/>
      <c r="BG505" s="172"/>
      <c r="BH505" s="172"/>
      <c r="BI505" s="172"/>
      <c r="BJ505" s="172"/>
      <c r="BK505" s="172"/>
      <c r="BL505" s="172"/>
      <c r="BM505" s="172"/>
      <c r="BN505" s="172"/>
      <c r="BO505" s="172"/>
      <c r="BP505" s="172"/>
      <c r="BQ505" s="172"/>
      <c r="BR505" s="172"/>
      <c r="BS505" s="172"/>
      <c r="BT505" s="172"/>
      <c r="BU505" s="172"/>
      <c r="BV505" s="172"/>
      <c r="BW505" s="172"/>
      <c r="BX505" s="172"/>
      <c r="BY505" s="174"/>
      <c r="BZ505" s="172"/>
      <c r="CA505" s="172"/>
      <c r="CD505" s="194"/>
      <c r="CE505" s="194"/>
      <c r="CF505" s="194"/>
      <c r="CG505" s="194"/>
      <c r="CH505" s="195"/>
      <c r="CI505" s="194"/>
      <c r="CJ505" s="194"/>
      <c r="CK505" s="194"/>
      <c r="CL505" s="196"/>
      <c r="CM505" s="196"/>
      <c r="CN505" s="194"/>
      <c r="CO505" s="197"/>
      <c r="CP505" s="196"/>
      <c r="CQ505" s="196"/>
      <c r="CR505" s="196"/>
      <c r="CS505" s="196"/>
      <c r="CT505" s="196"/>
      <c r="CU505" s="196"/>
      <c r="CV505" s="194"/>
      <c r="CW505" s="194"/>
      <c r="CX505" s="194"/>
      <c r="CY505" s="194"/>
      <c r="CZ505" s="194"/>
      <c r="DA505" s="194"/>
      <c r="DB505" s="194"/>
      <c r="DC505" s="194"/>
      <c r="DD505" s="194"/>
      <c r="DE505" s="194"/>
      <c r="DF505" s="196"/>
      <c r="DG505" s="198"/>
      <c r="DH505" s="194"/>
      <c r="DI505" s="194"/>
    </row>
    <row r="506" spans="1:113" s="24" customFormat="1" hidden="1" x14ac:dyDescent="0.3">
      <c r="A506" s="172"/>
      <c r="B506" s="172"/>
      <c r="C506" s="172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  <c r="AE506" s="173"/>
      <c r="AF506" s="173"/>
      <c r="AG506" s="173"/>
      <c r="AH506" s="173"/>
      <c r="AI506" s="173"/>
      <c r="AJ506" s="173"/>
      <c r="AK506" s="173"/>
      <c r="AL506" s="173"/>
      <c r="AM506" s="173"/>
      <c r="AN506" s="173"/>
      <c r="AO506" s="173"/>
      <c r="AP506" s="173"/>
      <c r="AQ506" s="173"/>
      <c r="AR506" s="173"/>
      <c r="AS506" s="172"/>
      <c r="AT506" s="172"/>
      <c r="AU506" s="172"/>
      <c r="AV506" s="172"/>
      <c r="AW506" s="172"/>
      <c r="AX506" s="172"/>
      <c r="AY506" s="172"/>
      <c r="AZ506" s="172"/>
      <c r="BA506" s="172"/>
      <c r="BB506" s="172"/>
      <c r="BC506" s="172"/>
      <c r="BD506" s="172"/>
      <c r="BE506" s="172"/>
      <c r="BF506" s="172"/>
      <c r="BG506" s="172"/>
      <c r="BH506" s="172"/>
      <c r="BI506" s="172"/>
      <c r="BJ506" s="172"/>
      <c r="BK506" s="172"/>
      <c r="BL506" s="172"/>
      <c r="BM506" s="172"/>
      <c r="BN506" s="172"/>
      <c r="BO506" s="172"/>
      <c r="BP506" s="172"/>
      <c r="BQ506" s="172"/>
      <c r="BR506" s="172"/>
      <c r="BS506" s="172"/>
      <c r="BT506" s="172"/>
      <c r="BU506" s="172"/>
      <c r="BV506" s="172"/>
      <c r="BW506" s="172"/>
      <c r="BX506" s="172"/>
      <c r="BY506" s="174"/>
      <c r="BZ506" s="172"/>
      <c r="CA506" s="172"/>
      <c r="CD506" s="194"/>
      <c r="CE506" s="194"/>
      <c r="CF506" s="194"/>
      <c r="CG506" s="194"/>
      <c r="CH506" s="195"/>
      <c r="CI506" s="194"/>
      <c r="CJ506" s="194"/>
      <c r="CK506" s="194"/>
      <c r="CL506" s="196"/>
      <c r="CM506" s="196"/>
      <c r="CN506" s="194"/>
      <c r="CO506" s="197"/>
      <c r="CP506" s="196"/>
      <c r="CQ506" s="196"/>
      <c r="CR506" s="196"/>
      <c r="CS506" s="196"/>
      <c r="CT506" s="196"/>
      <c r="CU506" s="196"/>
      <c r="CV506" s="194"/>
      <c r="CW506" s="194"/>
      <c r="CX506" s="194"/>
      <c r="CY506" s="194"/>
      <c r="CZ506" s="194"/>
      <c r="DA506" s="194"/>
      <c r="DB506" s="194"/>
      <c r="DC506" s="194"/>
      <c r="DD506" s="194"/>
      <c r="DE506" s="194"/>
      <c r="DF506" s="196"/>
      <c r="DG506" s="198"/>
      <c r="DH506" s="194"/>
      <c r="DI506" s="194"/>
    </row>
    <row r="507" spans="1:113" s="24" customFormat="1" hidden="1" x14ac:dyDescent="0.3">
      <c r="A507" s="172"/>
      <c r="B507" s="172"/>
      <c r="C507" s="172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  <c r="AE507" s="173"/>
      <c r="AF507" s="173"/>
      <c r="AG507" s="173"/>
      <c r="AH507" s="173"/>
      <c r="AI507" s="173"/>
      <c r="AJ507" s="173"/>
      <c r="AK507" s="173"/>
      <c r="AL507" s="173"/>
      <c r="AM507" s="173"/>
      <c r="AN507" s="173"/>
      <c r="AO507" s="173"/>
      <c r="AP507" s="173"/>
      <c r="AQ507" s="173"/>
      <c r="AR507" s="173"/>
      <c r="AS507" s="172"/>
      <c r="AT507" s="172"/>
      <c r="AU507" s="172"/>
      <c r="AV507" s="172"/>
      <c r="AW507" s="172"/>
      <c r="AX507" s="172"/>
      <c r="AY507" s="172"/>
      <c r="AZ507" s="172"/>
      <c r="BA507" s="172"/>
      <c r="BB507" s="172"/>
      <c r="BC507" s="172"/>
      <c r="BD507" s="172"/>
      <c r="BE507" s="172"/>
      <c r="BF507" s="172"/>
      <c r="BG507" s="172"/>
      <c r="BH507" s="172"/>
      <c r="BI507" s="172"/>
      <c r="BJ507" s="172"/>
      <c r="BK507" s="172"/>
      <c r="BL507" s="172"/>
      <c r="BM507" s="172"/>
      <c r="BN507" s="172"/>
      <c r="BO507" s="172"/>
      <c r="BP507" s="172"/>
      <c r="BQ507" s="172"/>
      <c r="BR507" s="172"/>
      <c r="BS507" s="172"/>
      <c r="BT507" s="172"/>
      <c r="BU507" s="172"/>
      <c r="BV507" s="172"/>
      <c r="BW507" s="172"/>
      <c r="BX507" s="172"/>
      <c r="BY507" s="174"/>
      <c r="BZ507" s="172"/>
      <c r="CA507" s="172"/>
      <c r="CD507" s="194"/>
      <c r="CE507" s="194"/>
      <c r="CF507" s="194"/>
      <c r="CG507" s="194"/>
      <c r="CH507" s="195"/>
      <c r="CI507" s="194"/>
      <c r="CJ507" s="194"/>
      <c r="CK507" s="194"/>
      <c r="CL507" s="196"/>
      <c r="CM507" s="196"/>
      <c r="CN507" s="194"/>
      <c r="CO507" s="197"/>
      <c r="CP507" s="196"/>
      <c r="CQ507" s="196"/>
      <c r="CR507" s="196"/>
      <c r="CS507" s="196"/>
      <c r="CT507" s="196"/>
      <c r="CU507" s="196"/>
      <c r="CV507" s="194"/>
      <c r="CW507" s="194"/>
      <c r="CX507" s="194"/>
      <c r="CY507" s="194"/>
      <c r="CZ507" s="194"/>
      <c r="DA507" s="194"/>
      <c r="DB507" s="194"/>
      <c r="DC507" s="194"/>
      <c r="DD507" s="194"/>
      <c r="DE507" s="194"/>
      <c r="DF507" s="196"/>
      <c r="DG507" s="198"/>
      <c r="DH507" s="194"/>
      <c r="DI507" s="194"/>
    </row>
    <row r="508" spans="1:113" s="24" customFormat="1" hidden="1" x14ac:dyDescent="0.3">
      <c r="A508" s="172"/>
      <c r="B508" s="172"/>
      <c r="C508" s="172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  <c r="AE508" s="173"/>
      <c r="AF508" s="173"/>
      <c r="AG508" s="173"/>
      <c r="AH508" s="173"/>
      <c r="AI508" s="173"/>
      <c r="AJ508" s="173"/>
      <c r="AK508" s="173"/>
      <c r="AL508" s="173"/>
      <c r="AM508" s="173"/>
      <c r="AN508" s="173"/>
      <c r="AO508" s="173"/>
      <c r="AP508" s="173"/>
      <c r="AQ508" s="173"/>
      <c r="AR508" s="173"/>
      <c r="AS508" s="172"/>
      <c r="AT508" s="172"/>
      <c r="AU508" s="172"/>
      <c r="AV508" s="172"/>
      <c r="AW508" s="172"/>
      <c r="AX508" s="172"/>
      <c r="AY508" s="172"/>
      <c r="AZ508" s="172"/>
      <c r="BA508" s="172"/>
      <c r="BB508" s="172"/>
      <c r="BC508" s="172"/>
      <c r="BD508" s="172"/>
      <c r="BE508" s="172"/>
      <c r="BF508" s="172"/>
      <c r="BG508" s="172"/>
      <c r="BH508" s="172"/>
      <c r="BI508" s="172"/>
      <c r="BJ508" s="172"/>
      <c r="BK508" s="172"/>
      <c r="BL508" s="172"/>
      <c r="BM508" s="172"/>
      <c r="BN508" s="172"/>
      <c r="BO508" s="172"/>
      <c r="BP508" s="172"/>
      <c r="BQ508" s="172"/>
      <c r="BR508" s="172"/>
      <c r="BS508" s="172"/>
      <c r="BT508" s="172"/>
      <c r="BU508" s="172"/>
      <c r="BV508" s="172"/>
      <c r="BW508" s="172"/>
      <c r="BX508" s="172"/>
      <c r="BY508" s="174"/>
      <c r="BZ508" s="172"/>
      <c r="CA508" s="172"/>
      <c r="CD508" s="194"/>
      <c r="CE508" s="194"/>
      <c r="CF508" s="194"/>
      <c r="CG508" s="194"/>
      <c r="CH508" s="195"/>
      <c r="CI508" s="194"/>
      <c r="CJ508" s="194"/>
      <c r="CK508" s="194"/>
      <c r="CL508" s="196"/>
      <c r="CM508" s="196"/>
      <c r="CN508" s="194"/>
      <c r="CO508" s="197"/>
      <c r="CP508" s="196"/>
      <c r="CQ508" s="196"/>
      <c r="CR508" s="196"/>
      <c r="CS508" s="196"/>
      <c r="CT508" s="196"/>
      <c r="CU508" s="196"/>
      <c r="CV508" s="194"/>
      <c r="CW508" s="194"/>
      <c r="CX508" s="194"/>
      <c r="CY508" s="194"/>
      <c r="CZ508" s="194"/>
      <c r="DA508" s="194"/>
      <c r="DB508" s="194"/>
      <c r="DC508" s="194"/>
      <c r="DD508" s="194"/>
      <c r="DE508" s="194"/>
      <c r="DF508" s="196"/>
      <c r="DG508" s="198"/>
      <c r="DH508" s="194"/>
      <c r="DI508" s="194"/>
    </row>
    <row r="509" spans="1:113" s="24" customFormat="1" hidden="1" x14ac:dyDescent="0.3">
      <c r="A509" s="172"/>
      <c r="B509" s="172"/>
      <c r="C509" s="172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  <c r="AE509" s="173"/>
      <c r="AF509" s="173"/>
      <c r="AG509" s="173"/>
      <c r="AH509" s="173"/>
      <c r="AI509" s="173"/>
      <c r="AJ509" s="173"/>
      <c r="AK509" s="173"/>
      <c r="AL509" s="173"/>
      <c r="AM509" s="173"/>
      <c r="AN509" s="173"/>
      <c r="AO509" s="173"/>
      <c r="AP509" s="173"/>
      <c r="AQ509" s="173"/>
      <c r="AR509" s="173"/>
      <c r="AS509" s="172"/>
      <c r="AT509" s="172"/>
      <c r="AU509" s="172"/>
      <c r="AV509" s="172"/>
      <c r="AW509" s="172"/>
      <c r="AX509" s="172"/>
      <c r="AY509" s="172"/>
      <c r="AZ509" s="172"/>
      <c r="BA509" s="172"/>
      <c r="BB509" s="172"/>
      <c r="BC509" s="172"/>
      <c r="BD509" s="172"/>
      <c r="BE509" s="172"/>
      <c r="BF509" s="172"/>
      <c r="BG509" s="172"/>
      <c r="BH509" s="172"/>
      <c r="BI509" s="172"/>
      <c r="BJ509" s="172"/>
      <c r="BK509" s="172"/>
      <c r="BL509" s="172"/>
      <c r="BM509" s="172"/>
      <c r="BN509" s="172"/>
      <c r="BO509" s="172"/>
      <c r="BP509" s="172"/>
      <c r="BQ509" s="172"/>
      <c r="BR509" s="172"/>
      <c r="BS509" s="172"/>
      <c r="BT509" s="172"/>
      <c r="BU509" s="172"/>
      <c r="BV509" s="172"/>
      <c r="BW509" s="172"/>
      <c r="BX509" s="172"/>
      <c r="BY509" s="174"/>
      <c r="BZ509" s="172"/>
      <c r="CA509" s="172"/>
      <c r="CD509" s="194"/>
      <c r="CE509" s="194"/>
      <c r="CF509" s="194"/>
      <c r="CG509" s="194"/>
      <c r="CH509" s="195"/>
      <c r="CI509" s="194"/>
      <c r="CJ509" s="194"/>
      <c r="CK509" s="194"/>
      <c r="CL509" s="196"/>
      <c r="CM509" s="196"/>
      <c r="CN509" s="194"/>
      <c r="CO509" s="197"/>
      <c r="CP509" s="196"/>
      <c r="CQ509" s="196"/>
      <c r="CR509" s="196"/>
      <c r="CS509" s="196"/>
      <c r="CT509" s="196"/>
      <c r="CU509" s="196"/>
      <c r="CV509" s="194"/>
      <c r="CW509" s="194"/>
      <c r="CX509" s="194"/>
      <c r="CY509" s="194"/>
      <c r="CZ509" s="194"/>
      <c r="DA509" s="194"/>
      <c r="DB509" s="194"/>
      <c r="DC509" s="194"/>
      <c r="DD509" s="194"/>
      <c r="DE509" s="194"/>
      <c r="DF509" s="196"/>
      <c r="DG509" s="198"/>
      <c r="DH509" s="194"/>
      <c r="DI509" s="194"/>
    </row>
    <row r="510" spans="1:113" s="24" customFormat="1" hidden="1" x14ac:dyDescent="0.3">
      <c r="A510" s="172"/>
      <c r="B510" s="172"/>
      <c r="C510" s="172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  <c r="AE510" s="173"/>
      <c r="AF510" s="173"/>
      <c r="AG510" s="173"/>
      <c r="AH510" s="173"/>
      <c r="AI510" s="173"/>
      <c r="AJ510" s="173"/>
      <c r="AK510" s="173"/>
      <c r="AL510" s="173"/>
      <c r="AM510" s="173"/>
      <c r="AN510" s="173"/>
      <c r="AO510" s="173"/>
      <c r="AP510" s="173"/>
      <c r="AQ510" s="173"/>
      <c r="AR510" s="173"/>
      <c r="AS510" s="172"/>
      <c r="AT510" s="172"/>
      <c r="AU510" s="172"/>
      <c r="AV510" s="172"/>
      <c r="AW510" s="172"/>
      <c r="AX510" s="172"/>
      <c r="AY510" s="172"/>
      <c r="AZ510" s="172"/>
      <c r="BA510" s="172"/>
      <c r="BB510" s="172"/>
      <c r="BC510" s="172"/>
      <c r="BD510" s="172"/>
      <c r="BE510" s="172"/>
      <c r="BF510" s="172"/>
      <c r="BG510" s="172"/>
      <c r="BH510" s="172"/>
      <c r="BI510" s="172"/>
      <c r="BJ510" s="172"/>
      <c r="BK510" s="172"/>
      <c r="BL510" s="172"/>
      <c r="BM510" s="172"/>
      <c r="BN510" s="172"/>
      <c r="BO510" s="172"/>
      <c r="BP510" s="172"/>
      <c r="BQ510" s="172"/>
      <c r="BR510" s="172"/>
      <c r="BS510" s="172"/>
      <c r="BT510" s="172"/>
      <c r="BU510" s="172"/>
      <c r="BV510" s="172"/>
      <c r="BW510" s="172"/>
      <c r="BX510" s="172"/>
      <c r="BY510" s="174"/>
      <c r="BZ510" s="172"/>
      <c r="CA510" s="172"/>
      <c r="CD510" s="194"/>
      <c r="CE510" s="194"/>
      <c r="CF510" s="194"/>
      <c r="CG510" s="194"/>
      <c r="CH510" s="195"/>
      <c r="CI510" s="194"/>
      <c r="CJ510" s="194"/>
      <c r="CK510" s="194"/>
      <c r="CL510" s="196"/>
      <c r="CM510" s="196"/>
      <c r="CN510" s="194"/>
      <c r="CO510" s="197"/>
      <c r="CP510" s="196"/>
      <c r="CQ510" s="196"/>
      <c r="CR510" s="196"/>
      <c r="CS510" s="196"/>
      <c r="CT510" s="196"/>
      <c r="CU510" s="196"/>
      <c r="CV510" s="194"/>
      <c r="CW510" s="194"/>
      <c r="CX510" s="194"/>
      <c r="CY510" s="194"/>
      <c r="CZ510" s="194"/>
      <c r="DA510" s="194"/>
      <c r="DB510" s="194"/>
      <c r="DC510" s="194"/>
      <c r="DD510" s="194"/>
      <c r="DE510" s="194"/>
      <c r="DF510" s="196"/>
      <c r="DG510" s="198"/>
      <c r="DH510" s="194"/>
      <c r="DI510" s="194"/>
    </row>
    <row r="511" spans="1:113" s="24" customFormat="1" hidden="1" x14ac:dyDescent="0.3">
      <c r="A511" s="172"/>
      <c r="B511" s="172"/>
      <c r="C511" s="172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  <c r="AE511" s="173"/>
      <c r="AF511" s="173"/>
      <c r="AG511" s="173"/>
      <c r="AH511" s="173"/>
      <c r="AI511" s="173"/>
      <c r="AJ511" s="173"/>
      <c r="AK511" s="173"/>
      <c r="AL511" s="173"/>
      <c r="AM511" s="173"/>
      <c r="AN511" s="173"/>
      <c r="AO511" s="173"/>
      <c r="AP511" s="173"/>
      <c r="AQ511" s="173"/>
      <c r="AR511" s="173"/>
      <c r="AS511" s="172"/>
      <c r="AT511" s="172"/>
      <c r="AU511" s="172"/>
      <c r="AV511" s="172"/>
      <c r="AW511" s="172"/>
      <c r="AX511" s="172"/>
      <c r="AY511" s="172"/>
      <c r="AZ511" s="172"/>
      <c r="BA511" s="172"/>
      <c r="BB511" s="172"/>
      <c r="BC511" s="172"/>
      <c r="BD511" s="172"/>
      <c r="BE511" s="172"/>
      <c r="BF511" s="172"/>
      <c r="BG511" s="172"/>
      <c r="BH511" s="172"/>
      <c r="BI511" s="172"/>
      <c r="BJ511" s="172"/>
      <c r="BK511" s="172"/>
      <c r="BL511" s="172"/>
      <c r="BM511" s="172"/>
      <c r="BN511" s="172"/>
      <c r="BO511" s="172"/>
      <c r="BP511" s="172"/>
      <c r="BQ511" s="172"/>
      <c r="BR511" s="172"/>
      <c r="BS511" s="172"/>
      <c r="BT511" s="172"/>
      <c r="BU511" s="172"/>
      <c r="BV511" s="172"/>
      <c r="BW511" s="172"/>
      <c r="BX511" s="172"/>
      <c r="BY511" s="174"/>
      <c r="BZ511" s="172"/>
      <c r="CA511" s="172"/>
      <c r="CD511" s="194"/>
      <c r="CE511" s="194"/>
      <c r="CF511" s="194"/>
      <c r="CG511" s="194"/>
      <c r="CH511" s="195"/>
      <c r="CI511" s="194"/>
      <c r="CJ511" s="194"/>
      <c r="CK511" s="194"/>
      <c r="CL511" s="196"/>
      <c r="CM511" s="196"/>
      <c r="CN511" s="194"/>
      <c r="CO511" s="197"/>
      <c r="CP511" s="196"/>
      <c r="CQ511" s="196"/>
      <c r="CR511" s="196"/>
      <c r="CS511" s="196"/>
      <c r="CT511" s="196"/>
      <c r="CU511" s="196"/>
      <c r="CV511" s="194"/>
      <c r="CW511" s="194"/>
      <c r="CX511" s="194"/>
      <c r="CY511" s="194"/>
      <c r="CZ511" s="194"/>
      <c r="DA511" s="194"/>
      <c r="DB511" s="194"/>
      <c r="DC511" s="194"/>
      <c r="DD511" s="194"/>
      <c r="DE511" s="194"/>
      <c r="DF511" s="196"/>
      <c r="DG511" s="198"/>
      <c r="DH511" s="194"/>
      <c r="DI511" s="194"/>
    </row>
    <row r="512" spans="1:113" s="24" customFormat="1" hidden="1" x14ac:dyDescent="0.3">
      <c r="A512" s="172"/>
      <c r="B512" s="172"/>
      <c r="C512" s="172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  <c r="AE512" s="173"/>
      <c r="AF512" s="173"/>
      <c r="AG512" s="173"/>
      <c r="AH512" s="173"/>
      <c r="AI512" s="173"/>
      <c r="AJ512" s="173"/>
      <c r="AK512" s="173"/>
      <c r="AL512" s="173"/>
      <c r="AM512" s="173"/>
      <c r="AN512" s="173"/>
      <c r="AO512" s="173"/>
      <c r="AP512" s="173"/>
      <c r="AQ512" s="173"/>
      <c r="AR512" s="173"/>
      <c r="AS512" s="172"/>
      <c r="AT512" s="172"/>
      <c r="AU512" s="172"/>
      <c r="AV512" s="172"/>
      <c r="AW512" s="172"/>
      <c r="AX512" s="172"/>
      <c r="AY512" s="172"/>
      <c r="AZ512" s="172"/>
      <c r="BA512" s="172"/>
      <c r="BB512" s="172"/>
      <c r="BC512" s="172"/>
      <c r="BD512" s="172"/>
      <c r="BE512" s="172"/>
      <c r="BF512" s="172"/>
      <c r="BG512" s="172"/>
      <c r="BH512" s="172"/>
      <c r="BI512" s="172"/>
      <c r="BJ512" s="172"/>
      <c r="BK512" s="172"/>
      <c r="BL512" s="172"/>
      <c r="BM512" s="172"/>
      <c r="BN512" s="172"/>
      <c r="BO512" s="172"/>
      <c r="BP512" s="172"/>
      <c r="BQ512" s="172"/>
      <c r="BR512" s="172"/>
      <c r="BS512" s="172"/>
      <c r="BT512" s="172"/>
      <c r="BU512" s="172"/>
      <c r="BV512" s="172"/>
      <c r="BW512" s="172"/>
      <c r="BX512" s="172"/>
      <c r="BY512" s="174"/>
      <c r="BZ512" s="172"/>
      <c r="CA512" s="172"/>
      <c r="CD512" s="194"/>
      <c r="CE512" s="194"/>
      <c r="CF512" s="194"/>
      <c r="CG512" s="194"/>
      <c r="CH512" s="195"/>
      <c r="CI512" s="194"/>
      <c r="CJ512" s="194"/>
      <c r="CK512" s="194"/>
      <c r="CL512" s="196"/>
      <c r="CM512" s="196"/>
      <c r="CN512" s="194"/>
      <c r="CO512" s="197"/>
      <c r="CP512" s="196"/>
      <c r="CQ512" s="196"/>
      <c r="CR512" s="196"/>
      <c r="CS512" s="196"/>
      <c r="CT512" s="196"/>
      <c r="CU512" s="196"/>
      <c r="CV512" s="194"/>
      <c r="CW512" s="194"/>
      <c r="CX512" s="194"/>
      <c r="CY512" s="194"/>
      <c r="CZ512" s="194"/>
      <c r="DA512" s="194"/>
      <c r="DB512" s="194"/>
      <c r="DC512" s="194"/>
      <c r="DD512" s="194"/>
      <c r="DE512" s="194"/>
      <c r="DF512" s="196"/>
      <c r="DG512" s="198"/>
      <c r="DH512" s="194"/>
      <c r="DI512" s="194"/>
    </row>
    <row r="513" spans="1:113" s="24" customFormat="1" hidden="1" x14ac:dyDescent="0.3">
      <c r="A513" s="172"/>
      <c r="B513" s="172"/>
      <c r="C513" s="172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  <c r="AE513" s="173"/>
      <c r="AF513" s="173"/>
      <c r="AG513" s="173"/>
      <c r="AH513" s="173"/>
      <c r="AI513" s="173"/>
      <c r="AJ513" s="173"/>
      <c r="AK513" s="173"/>
      <c r="AL513" s="173"/>
      <c r="AM513" s="173"/>
      <c r="AN513" s="173"/>
      <c r="AO513" s="173"/>
      <c r="AP513" s="173"/>
      <c r="AQ513" s="173"/>
      <c r="AR513" s="173"/>
      <c r="AS513" s="172"/>
      <c r="AT513" s="172"/>
      <c r="AU513" s="172"/>
      <c r="AV513" s="172"/>
      <c r="AW513" s="172"/>
      <c r="AX513" s="172"/>
      <c r="AY513" s="172"/>
      <c r="AZ513" s="172"/>
      <c r="BA513" s="172"/>
      <c r="BB513" s="172"/>
      <c r="BC513" s="172"/>
      <c r="BD513" s="172"/>
      <c r="BE513" s="172"/>
      <c r="BF513" s="172"/>
      <c r="BG513" s="172"/>
      <c r="BH513" s="172"/>
      <c r="BI513" s="172"/>
      <c r="BJ513" s="172"/>
      <c r="BK513" s="172"/>
      <c r="BL513" s="172"/>
      <c r="BM513" s="172"/>
      <c r="BN513" s="172"/>
      <c r="BO513" s="172"/>
      <c r="BP513" s="172"/>
      <c r="BQ513" s="172"/>
      <c r="BR513" s="172"/>
      <c r="BS513" s="172"/>
      <c r="BT513" s="172"/>
      <c r="BU513" s="172"/>
      <c r="BV513" s="172"/>
      <c r="BW513" s="172"/>
      <c r="BX513" s="172"/>
      <c r="BY513" s="174"/>
      <c r="BZ513" s="172"/>
      <c r="CA513" s="172"/>
      <c r="CD513" s="194"/>
      <c r="CE513" s="194"/>
      <c r="CF513" s="194"/>
      <c r="CG513" s="194"/>
      <c r="CH513" s="195"/>
      <c r="CI513" s="194"/>
      <c r="CJ513" s="194"/>
      <c r="CK513" s="194"/>
      <c r="CL513" s="196"/>
      <c r="CM513" s="196"/>
      <c r="CN513" s="194"/>
      <c r="CO513" s="197"/>
      <c r="CP513" s="196"/>
      <c r="CQ513" s="196"/>
      <c r="CR513" s="196"/>
      <c r="CS513" s="196"/>
      <c r="CT513" s="196"/>
      <c r="CU513" s="196"/>
      <c r="CV513" s="194"/>
      <c r="CW513" s="194"/>
      <c r="CX513" s="194"/>
      <c r="CY513" s="194"/>
      <c r="CZ513" s="194"/>
      <c r="DA513" s="194"/>
      <c r="DB513" s="194"/>
      <c r="DC513" s="194"/>
      <c r="DD513" s="194"/>
      <c r="DE513" s="194"/>
      <c r="DF513" s="196"/>
      <c r="DG513" s="198"/>
      <c r="DH513" s="194"/>
      <c r="DI513" s="194"/>
    </row>
    <row r="514" spans="1:113" s="24" customFormat="1" hidden="1" x14ac:dyDescent="0.3">
      <c r="A514" s="172"/>
      <c r="B514" s="172"/>
      <c r="C514" s="172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  <c r="AE514" s="173"/>
      <c r="AF514" s="173"/>
      <c r="AG514" s="173"/>
      <c r="AH514" s="173"/>
      <c r="AI514" s="173"/>
      <c r="AJ514" s="173"/>
      <c r="AK514" s="173"/>
      <c r="AL514" s="173"/>
      <c r="AM514" s="173"/>
      <c r="AN514" s="173"/>
      <c r="AO514" s="173"/>
      <c r="AP514" s="173"/>
      <c r="AQ514" s="173"/>
      <c r="AR514" s="173"/>
      <c r="AS514" s="172"/>
      <c r="AT514" s="172"/>
      <c r="AU514" s="172"/>
      <c r="AV514" s="172"/>
      <c r="AW514" s="172"/>
      <c r="AX514" s="172"/>
      <c r="AY514" s="172"/>
      <c r="AZ514" s="172"/>
      <c r="BA514" s="172"/>
      <c r="BB514" s="172"/>
      <c r="BC514" s="172"/>
      <c r="BD514" s="172"/>
      <c r="BE514" s="172"/>
      <c r="BF514" s="172"/>
      <c r="BG514" s="172"/>
      <c r="BH514" s="172"/>
      <c r="BI514" s="172"/>
      <c r="BJ514" s="172"/>
      <c r="BK514" s="172"/>
      <c r="BL514" s="172"/>
      <c r="BM514" s="172"/>
      <c r="BN514" s="172"/>
      <c r="BO514" s="172"/>
      <c r="BP514" s="172"/>
      <c r="BQ514" s="172"/>
      <c r="BR514" s="172"/>
      <c r="BS514" s="172"/>
      <c r="BT514" s="172"/>
      <c r="BU514" s="172"/>
      <c r="BV514" s="172"/>
      <c r="BW514" s="172"/>
      <c r="BX514" s="172"/>
      <c r="BY514" s="174"/>
      <c r="BZ514" s="172"/>
      <c r="CA514" s="172"/>
      <c r="CD514" s="194"/>
      <c r="CE514" s="194"/>
      <c r="CF514" s="194"/>
      <c r="CG514" s="194"/>
      <c r="CH514" s="195"/>
      <c r="CI514" s="194"/>
      <c r="CJ514" s="194"/>
      <c r="CK514" s="194"/>
      <c r="CL514" s="196"/>
      <c r="CM514" s="196"/>
      <c r="CN514" s="194"/>
      <c r="CO514" s="197"/>
      <c r="CP514" s="196"/>
      <c r="CQ514" s="196"/>
      <c r="CR514" s="196"/>
      <c r="CS514" s="196"/>
      <c r="CT514" s="196"/>
      <c r="CU514" s="196"/>
      <c r="CV514" s="194"/>
      <c r="CW514" s="194"/>
      <c r="CX514" s="194"/>
      <c r="CY514" s="194"/>
      <c r="CZ514" s="194"/>
      <c r="DA514" s="194"/>
      <c r="DB514" s="194"/>
      <c r="DC514" s="194"/>
      <c r="DD514" s="194"/>
      <c r="DE514" s="194"/>
      <c r="DF514" s="196"/>
      <c r="DG514" s="198"/>
      <c r="DH514" s="194"/>
      <c r="DI514" s="194"/>
    </row>
    <row r="515" spans="1:113" s="24" customFormat="1" hidden="1" x14ac:dyDescent="0.3">
      <c r="A515" s="172"/>
      <c r="B515" s="172"/>
      <c r="C515" s="172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  <c r="AE515" s="173"/>
      <c r="AF515" s="173"/>
      <c r="AG515" s="173"/>
      <c r="AH515" s="173"/>
      <c r="AI515" s="173"/>
      <c r="AJ515" s="173"/>
      <c r="AK515" s="173"/>
      <c r="AL515" s="173"/>
      <c r="AM515" s="173"/>
      <c r="AN515" s="173"/>
      <c r="AO515" s="173"/>
      <c r="AP515" s="173"/>
      <c r="AQ515" s="173"/>
      <c r="AR515" s="173"/>
      <c r="AS515" s="172"/>
      <c r="AT515" s="172"/>
      <c r="AU515" s="172"/>
      <c r="AV515" s="172"/>
      <c r="AW515" s="172"/>
      <c r="AX515" s="172"/>
      <c r="AY515" s="172"/>
      <c r="AZ515" s="172"/>
      <c r="BA515" s="172"/>
      <c r="BB515" s="172"/>
      <c r="BC515" s="172"/>
      <c r="BD515" s="172"/>
      <c r="BE515" s="172"/>
      <c r="BF515" s="172"/>
      <c r="BG515" s="172"/>
      <c r="BH515" s="172"/>
      <c r="BI515" s="172"/>
      <c r="BJ515" s="172"/>
      <c r="BK515" s="172"/>
      <c r="BL515" s="172"/>
      <c r="BM515" s="172"/>
      <c r="BN515" s="172"/>
      <c r="BO515" s="172"/>
      <c r="BP515" s="172"/>
      <c r="BQ515" s="172"/>
      <c r="BR515" s="172"/>
      <c r="BS515" s="172"/>
      <c r="BT515" s="172"/>
      <c r="BU515" s="172"/>
      <c r="BV515" s="172"/>
      <c r="BW515" s="172"/>
      <c r="BX515" s="172"/>
      <c r="BY515" s="174"/>
      <c r="BZ515" s="172"/>
      <c r="CA515" s="172"/>
      <c r="CD515" s="194"/>
      <c r="CE515" s="194"/>
      <c r="CF515" s="194"/>
      <c r="CG515" s="194"/>
      <c r="CH515" s="195"/>
      <c r="CI515" s="194"/>
      <c r="CJ515" s="194"/>
      <c r="CK515" s="194"/>
      <c r="CL515" s="196"/>
      <c r="CM515" s="196"/>
      <c r="CN515" s="194"/>
      <c r="CO515" s="197"/>
      <c r="CP515" s="196"/>
      <c r="CQ515" s="196"/>
      <c r="CR515" s="196"/>
      <c r="CS515" s="196"/>
      <c r="CT515" s="196"/>
      <c r="CU515" s="196"/>
      <c r="CV515" s="194"/>
      <c r="CW515" s="194"/>
      <c r="CX515" s="194"/>
      <c r="CY515" s="194"/>
      <c r="CZ515" s="194"/>
      <c r="DA515" s="194"/>
      <c r="DB515" s="194"/>
      <c r="DC515" s="194"/>
      <c r="DD515" s="194"/>
      <c r="DE515" s="194"/>
      <c r="DF515" s="196"/>
      <c r="DG515" s="198"/>
      <c r="DH515" s="194"/>
      <c r="DI515" s="194"/>
    </row>
    <row r="516" spans="1:113" s="24" customFormat="1" hidden="1" x14ac:dyDescent="0.3">
      <c r="A516" s="172"/>
      <c r="B516" s="172"/>
      <c r="C516" s="172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  <c r="AE516" s="173"/>
      <c r="AF516" s="173"/>
      <c r="AG516" s="173"/>
      <c r="AH516" s="173"/>
      <c r="AI516" s="173"/>
      <c r="AJ516" s="173"/>
      <c r="AK516" s="173"/>
      <c r="AL516" s="173"/>
      <c r="AM516" s="173"/>
      <c r="AN516" s="173"/>
      <c r="AO516" s="173"/>
      <c r="AP516" s="173"/>
      <c r="AQ516" s="173"/>
      <c r="AR516" s="173"/>
      <c r="AS516" s="172"/>
      <c r="AT516" s="172"/>
      <c r="AU516" s="172"/>
      <c r="AV516" s="172"/>
      <c r="AW516" s="172"/>
      <c r="AX516" s="172"/>
      <c r="AY516" s="172"/>
      <c r="AZ516" s="172"/>
      <c r="BA516" s="172"/>
      <c r="BB516" s="172"/>
      <c r="BC516" s="172"/>
      <c r="BD516" s="172"/>
      <c r="BE516" s="172"/>
      <c r="BF516" s="172"/>
      <c r="BG516" s="172"/>
      <c r="BH516" s="172"/>
      <c r="BI516" s="172"/>
      <c r="BJ516" s="172"/>
      <c r="BK516" s="172"/>
      <c r="BL516" s="172"/>
      <c r="BM516" s="172"/>
      <c r="BN516" s="172"/>
      <c r="BO516" s="172"/>
      <c r="BP516" s="172"/>
      <c r="BQ516" s="172"/>
      <c r="BR516" s="172"/>
      <c r="BS516" s="172"/>
      <c r="BT516" s="172"/>
      <c r="BU516" s="172"/>
      <c r="BV516" s="172"/>
      <c r="BW516" s="172"/>
      <c r="BX516" s="172"/>
      <c r="BY516" s="174"/>
      <c r="BZ516" s="172"/>
      <c r="CA516" s="172"/>
      <c r="CD516" s="194"/>
      <c r="CE516" s="194"/>
      <c r="CF516" s="194"/>
      <c r="CG516" s="194"/>
      <c r="CH516" s="195"/>
      <c r="CI516" s="194"/>
      <c r="CJ516" s="194"/>
      <c r="CK516" s="194"/>
      <c r="CL516" s="196"/>
      <c r="CM516" s="196"/>
      <c r="CN516" s="194"/>
      <c r="CO516" s="197"/>
      <c r="CP516" s="196"/>
      <c r="CQ516" s="196"/>
      <c r="CR516" s="196"/>
      <c r="CS516" s="196"/>
      <c r="CT516" s="196"/>
      <c r="CU516" s="196"/>
      <c r="CV516" s="194"/>
      <c r="CW516" s="194"/>
      <c r="CX516" s="194"/>
      <c r="CY516" s="194"/>
      <c r="CZ516" s="194"/>
      <c r="DA516" s="194"/>
      <c r="DB516" s="194"/>
      <c r="DC516" s="194"/>
      <c r="DD516" s="194"/>
      <c r="DE516" s="194"/>
      <c r="DF516" s="196"/>
      <c r="DG516" s="198"/>
      <c r="DH516" s="194"/>
      <c r="DI516" s="194"/>
    </row>
    <row r="517" spans="1:113" s="24" customFormat="1" hidden="1" x14ac:dyDescent="0.3">
      <c r="A517" s="172"/>
      <c r="B517" s="172"/>
      <c r="C517" s="172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  <c r="AE517" s="173"/>
      <c r="AF517" s="173"/>
      <c r="AG517" s="173"/>
      <c r="AH517" s="173"/>
      <c r="AI517" s="173"/>
      <c r="AJ517" s="173"/>
      <c r="AK517" s="173"/>
      <c r="AL517" s="173"/>
      <c r="AM517" s="173"/>
      <c r="AN517" s="173"/>
      <c r="AO517" s="173"/>
      <c r="AP517" s="173"/>
      <c r="AQ517" s="173"/>
      <c r="AR517" s="173"/>
      <c r="AS517" s="172"/>
      <c r="AT517" s="172"/>
      <c r="AU517" s="172"/>
      <c r="AV517" s="172"/>
      <c r="AW517" s="172"/>
      <c r="AX517" s="172"/>
      <c r="AY517" s="172"/>
      <c r="AZ517" s="172"/>
      <c r="BA517" s="172"/>
      <c r="BB517" s="172"/>
      <c r="BC517" s="172"/>
      <c r="BD517" s="172"/>
      <c r="BE517" s="172"/>
      <c r="BF517" s="172"/>
      <c r="BG517" s="172"/>
      <c r="BH517" s="172"/>
      <c r="BI517" s="172"/>
      <c r="BJ517" s="172"/>
      <c r="BK517" s="172"/>
      <c r="BL517" s="172"/>
      <c r="BM517" s="172"/>
      <c r="BN517" s="172"/>
      <c r="BO517" s="172"/>
      <c r="BP517" s="172"/>
      <c r="BQ517" s="172"/>
      <c r="BR517" s="172"/>
      <c r="BS517" s="172"/>
      <c r="BT517" s="172"/>
      <c r="BU517" s="172"/>
      <c r="BV517" s="172"/>
      <c r="BW517" s="172"/>
      <c r="BX517" s="172"/>
      <c r="BY517" s="174"/>
      <c r="BZ517" s="172"/>
      <c r="CA517" s="172"/>
      <c r="CD517" s="194"/>
      <c r="CE517" s="194"/>
      <c r="CF517" s="194"/>
      <c r="CG517" s="194"/>
      <c r="CH517" s="195"/>
      <c r="CI517" s="194"/>
      <c r="CJ517" s="194"/>
      <c r="CK517" s="194"/>
      <c r="CL517" s="196"/>
      <c r="CM517" s="196"/>
      <c r="CN517" s="194"/>
      <c r="CO517" s="197"/>
      <c r="CP517" s="196"/>
      <c r="CQ517" s="196"/>
      <c r="CR517" s="196"/>
      <c r="CS517" s="196"/>
      <c r="CT517" s="196"/>
      <c r="CU517" s="196"/>
      <c r="CV517" s="194"/>
      <c r="CW517" s="194"/>
      <c r="CX517" s="194"/>
      <c r="CY517" s="194"/>
      <c r="CZ517" s="194"/>
      <c r="DA517" s="194"/>
      <c r="DB517" s="194"/>
      <c r="DC517" s="194"/>
      <c r="DD517" s="194"/>
      <c r="DE517" s="194"/>
      <c r="DF517" s="196"/>
      <c r="DG517" s="198"/>
      <c r="DH517" s="194"/>
      <c r="DI517" s="194"/>
    </row>
    <row r="518" spans="1:113" s="24" customFormat="1" hidden="1" x14ac:dyDescent="0.3">
      <c r="A518" s="172"/>
      <c r="B518" s="172"/>
      <c r="C518" s="172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  <c r="AE518" s="173"/>
      <c r="AF518" s="173"/>
      <c r="AG518" s="173"/>
      <c r="AH518" s="173"/>
      <c r="AI518" s="173"/>
      <c r="AJ518" s="173"/>
      <c r="AK518" s="173"/>
      <c r="AL518" s="173"/>
      <c r="AM518" s="173"/>
      <c r="AN518" s="173"/>
      <c r="AO518" s="173"/>
      <c r="AP518" s="173"/>
      <c r="AQ518" s="173"/>
      <c r="AR518" s="173"/>
      <c r="AS518" s="172"/>
      <c r="AT518" s="172"/>
      <c r="AU518" s="172"/>
      <c r="AV518" s="172"/>
      <c r="AW518" s="172"/>
      <c r="AX518" s="172"/>
      <c r="AY518" s="172"/>
      <c r="AZ518" s="172"/>
      <c r="BA518" s="172"/>
      <c r="BB518" s="172"/>
      <c r="BC518" s="172"/>
      <c r="BD518" s="172"/>
      <c r="BE518" s="172"/>
      <c r="BF518" s="172"/>
      <c r="BG518" s="172"/>
      <c r="BH518" s="172"/>
      <c r="BI518" s="172"/>
      <c r="BJ518" s="172"/>
      <c r="BK518" s="172"/>
      <c r="BL518" s="172"/>
      <c r="BM518" s="172"/>
      <c r="BN518" s="172"/>
      <c r="BO518" s="172"/>
      <c r="BP518" s="172"/>
      <c r="BQ518" s="172"/>
      <c r="BR518" s="172"/>
      <c r="BS518" s="172"/>
      <c r="BT518" s="172"/>
      <c r="BU518" s="172"/>
      <c r="BV518" s="172"/>
      <c r="BW518" s="172"/>
      <c r="BX518" s="172"/>
      <c r="BY518" s="174"/>
      <c r="BZ518" s="172"/>
      <c r="CA518" s="172"/>
      <c r="CD518" s="194"/>
      <c r="CE518" s="194"/>
      <c r="CF518" s="194"/>
      <c r="CG518" s="194"/>
      <c r="CH518" s="195"/>
      <c r="CI518" s="194"/>
      <c r="CJ518" s="194"/>
      <c r="CK518" s="194"/>
      <c r="CL518" s="196"/>
      <c r="CM518" s="196"/>
      <c r="CN518" s="194"/>
      <c r="CO518" s="197"/>
      <c r="CP518" s="196"/>
      <c r="CQ518" s="196"/>
      <c r="CR518" s="196"/>
      <c r="CS518" s="196"/>
      <c r="CT518" s="196"/>
      <c r="CU518" s="196"/>
      <c r="CV518" s="194"/>
      <c r="CW518" s="194"/>
      <c r="CX518" s="194"/>
      <c r="CY518" s="194"/>
      <c r="CZ518" s="194"/>
      <c r="DA518" s="194"/>
      <c r="DB518" s="194"/>
      <c r="DC518" s="194"/>
      <c r="DD518" s="194"/>
      <c r="DE518" s="194"/>
      <c r="DF518" s="196"/>
      <c r="DG518" s="198"/>
      <c r="DH518" s="194"/>
      <c r="DI518" s="194"/>
    </row>
    <row r="519" spans="1:113" s="24" customFormat="1" hidden="1" x14ac:dyDescent="0.3">
      <c r="A519" s="172"/>
      <c r="B519" s="172"/>
      <c r="C519" s="172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  <c r="AE519" s="173"/>
      <c r="AF519" s="173"/>
      <c r="AG519" s="173"/>
      <c r="AH519" s="173"/>
      <c r="AI519" s="173"/>
      <c r="AJ519" s="173"/>
      <c r="AK519" s="173"/>
      <c r="AL519" s="173"/>
      <c r="AM519" s="173"/>
      <c r="AN519" s="173"/>
      <c r="AO519" s="173"/>
      <c r="AP519" s="173"/>
      <c r="AQ519" s="173"/>
      <c r="AR519" s="173"/>
      <c r="AS519" s="172"/>
      <c r="AT519" s="172"/>
      <c r="AU519" s="172"/>
      <c r="AV519" s="172"/>
      <c r="AW519" s="172"/>
      <c r="AX519" s="172"/>
      <c r="AY519" s="172"/>
      <c r="AZ519" s="172"/>
      <c r="BA519" s="172"/>
      <c r="BB519" s="172"/>
      <c r="BC519" s="172"/>
      <c r="BD519" s="172"/>
      <c r="BE519" s="172"/>
      <c r="BF519" s="172"/>
      <c r="BG519" s="172"/>
      <c r="BH519" s="172"/>
      <c r="BI519" s="172"/>
      <c r="BJ519" s="172"/>
      <c r="BK519" s="172"/>
      <c r="BL519" s="172"/>
      <c r="BM519" s="172"/>
      <c r="BN519" s="172"/>
      <c r="BO519" s="172"/>
      <c r="BP519" s="172"/>
      <c r="BQ519" s="172"/>
      <c r="BR519" s="172"/>
      <c r="BS519" s="172"/>
      <c r="BT519" s="172"/>
      <c r="BU519" s="172"/>
      <c r="BV519" s="172"/>
      <c r="BW519" s="172"/>
      <c r="BX519" s="172"/>
      <c r="BY519" s="174"/>
      <c r="BZ519" s="172"/>
      <c r="CA519" s="172"/>
      <c r="CD519" s="194"/>
      <c r="CE519" s="194"/>
      <c r="CF519" s="194"/>
      <c r="CG519" s="194"/>
      <c r="CH519" s="195"/>
      <c r="CI519" s="194"/>
      <c r="CJ519" s="194"/>
      <c r="CK519" s="194"/>
      <c r="CL519" s="196"/>
      <c r="CM519" s="196"/>
      <c r="CN519" s="194"/>
      <c r="CO519" s="197"/>
      <c r="CP519" s="196"/>
      <c r="CQ519" s="196"/>
      <c r="CR519" s="196"/>
      <c r="CS519" s="196"/>
      <c r="CT519" s="196"/>
      <c r="CU519" s="196"/>
      <c r="CV519" s="194"/>
      <c r="CW519" s="194"/>
      <c r="CX519" s="194"/>
      <c r="CY519" s="194"/>
      <c r="CZ519" s="194"/>
      <c r="DA519" s="194"/>
      <c r="DB519" s="194"/>
      <c r="DC519" s="194"/>
      <c r="DD519" s="194"/>
      <c r="DE519" s="194"/>
      <c r="DF519" s="196"/>
      <c r="DG519" s="198"/>
      <c r="DH519" s="194"/>
      <c r="DI519" s="194"/>
    </row>
    <row r="520" spans="1:113" s="24" customFormat="1" hidden="1" x14ac:dyDescent="0.3">
      <c r="A520" s="172"/>
      <c r="B520" s="172"/>
      <c r="C520" s="172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  <c r="AE520" s="173"/>
      <c r="AF520" s="173"/>
      <c r="AG520" s="173"/>
      <c r="AH520" s="173"/>
      <c r="AI520" s="173"/>
      <c r="AJ520" s="173"/>
      <c r="AK520" s="173"/>
      <c r="AL520" s="173"/>
      <c r="AM520" s="173"/>
      <c r="AN520" s="173"/>
      <c r="AO520" s="173"/>
      <c r="AP520" s="173"/>
      <c r="AQ520" s="173"/>
      <c r="AR520" s="173"/>
      <c r="AS520" s="172"/>
      <c r="AT520" s="172"/>
      <c r="AU520" s="172"/>
      <c r="AV520" s="172"/>
      <c r="AW520" s="172"/>
      <c r="AX520" s="172"/>
      <c r="AY520" s="172"/>
      <c r="AZ520" s="172"/>
      <c r="BA520" s="172"/>
      <c r="BB520" s="172"/>
      <c r="BC520" s="172"/>
      <c r="BD520" s="172"/>
      <c r="BE520" s="172"/>
      <c r="BF520" s="172"/>
      <c r="BG520" s="172"/>
      <c r="BH520" s="172"/>
      <c r="BI520" s="172"/>
      <c r="BJ520" s="172"/>
      <c r="BK520" s="172"/>
      <c r="BL520" s="172"/>
      <c r="BM520" s="172"/>
      <c r="BN520" s="172"/>
      <c r="BO520" s="172"/>
      <c r="BP520" s="172"/>
      <c r="BQ520" s="172"/>
      <c r="BR520" s="172"/>
      <c r="BS520" s="172"/>
      <c r="BT520" s="172"/>
      <c r="BU520" s="172"/>
      <c r="BV520" s="172"/>
      <c r="BW520" s="172"/>
      <c r="BX520" s="172"/>
      <c r="BY520" s="174"/>
      <c r="BZ520" s="172"/>
      <c r="CA520" s="172"/>
      <c r="CD520" s="194"/>
      <c r="CE520" s="194"/>
      <c r="CF520" s="194"/>
      <c r="CG520" s="194"/>
      <c r="CH520" s="195"/>
      <c r="CI520" s="194"/>
      <c r="CJ520" s="194"/>
      <c r="CK520" s="194"/>
      <c r="CL520" s="196"/>
      <c r="CM520" s="196"/>
      <c r="CN520" s="194"/>
      <c r="CO520" s="197"/>
      <c r="CP520" s="196"/>
      <c r="CQ520" s="196"/>
      <c r="CR520" s="196"/>
      <c r="CS520" s="196"/>
      <c r="CT520" s="196"/>
      <c r="CU520" s="196"/>
      <c r="CV520" s="194"/>
      <c r="CW520" s="194"/>
      <c r="CX520" s="194"/>
      <c r="CY520" s="194"/>
      <c r="CZ520" s="194"/>
      <c r="DA520" s="194"/>
      <c r="DB520" s="194"/>
      <c r="DC520" s="194"/>
      <c r="DD520" s="194"/>
      <c r="DE520" s="194"/>
      <c r="DF520" s="196"/>
      <c r="DG520" s="198"/>
      <c r="DH520" s="194"/>
      <c r="DI520" s="194"/>
    </row>
    <row r="521" spans="1:113" s="24" customFormat="1" hidden="1" x14ac:dyDescent="0.3">
      <c r="A521" s="172"/>
      <c r="B521" s="172"/>
      <c r="C521" s="172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  <c r="AE521" s="173"/>
      <c r="AF521" s="173"/>
      <c r="AG521" s="173"/>
      <c r="AH521" s="173"/>
      <c r="AI521" s="173"/>
      <c r="AJ521" s="173"/>
      <c r="AK521" s="173"/>
      <c r="AL521" s="173"/>
      <c r="AM521" s="173"/>
      <c r="AN521" s="173"/>
      <c r="AO521" s="173"/>
      <c r="AP521" s="173"/>
      <c r="AQ521" s="173"/>
      <c r="AR521" s="173"/>
      <c r="AS521" s="172"/>
      <c r="AT521" s="172"/>
      <c r="AU521" s="172"/>
      <c r="AV521" s="172"/>
      <c r="AW521" s="172"/>
      <c r="AX521" s="172"/>
      <c r="AY521" s="172"/>
      <c r="AZ521" s="172"/>
      <c r="BA521" s="172"/>
      <c r="BB521" s="172"/>
      <c r="BC521" s="172"/>
      <c r="BD521" s="172"/>
      <c r="BE521" s="172"/>
      <c r="BF521" s="172"/>
      <c r="BG521" s="172"/>
      <c r="BH521" s="172"/>
      <c r="BI521" s="172"/>
      <c r="BJ521" s="172"/>
      <c r="BK521" s="172"/>
      <c r="BL521" s="172"/>
      <c r="BM521" s="172"/>
      <c r="BN521" s="172"/>
      <c r="BO521" s="172"/>
      <c r="BP521" s="172"/>
      <c r="BQ521" s="172"/>
      <c r="BR521" s="172"/>
      <c r="BS521" s="172"/>
      <c r="BT521" s="172"/>
      <c r="BU521" s="172"/>
      <c r="BV521" s="172"/>
      <c r="BW521" s="172"/>
      <c r="BX521" s="172"/>
      <c r="BY521" s="174"/>
      <c r="BZ521" s="172"/>
      <c r="CA521" s="172"/>
      <c r="CD521" s="194"/>
      <c r="CE521" s="194"/>
      <c r="CF521" s="194"/>
      <c r="CG521" s="194"/>
      <c r="CH521" s="195"/>
      <c r="CI521" s="194"/>
      <c r="CJ521" s="194"/>
      <c r="CK521" s="194"/>
      <c r="CL521" s="196"/>
      <c r="CM521" s="196"/>
      <c r="CN521" s="194"/>
      <c r="CO521" s="197"/>
      <c r="CP521" s="196"/>
      <c r="CQ521" s="196"/>
      <c r="CR521" s="196"/>
      <c r="CS521" s="196"/>
      <c r="CT521" s="196"/>
      <c r="CU521" s="196"/>
      <c r="CV521" s="194"/>
      <c r="CW521" s="194"/>
      <c r="CX521" s="194"/>
      <c r="CY521" s="194"/>
      <c r="CZ521" s="194"/>
      <c r="DA521" s="194"/>
      <c r="DB521" s="194"/>
      <c r="DC521" s="194"/>
      <c r="DD521" s="194"/>
      <c r="DE521" s="194"/>
      <c r="DF521" s="196"/>
      <c r="DG521" s="198"/>
      <c r="DH521" s="194"/>
      <c r="DI521" s="194"/>
    </row>
    <row r="522" spans="1:113" s="24" customFormat="1" hidden="1" x14ac:dyDescent="0.3">
      <c r="A522" s="172"/>
      <c r="B522" s="172"/>
      <c r="C522" s="172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  <c r="AE522" s="173"/>
      <c r="AF522" s="173"/>
      <c r="AG522" s="173"/>
      <c r="AH522" s="173"/>
      <c r="AI522" s="173"/>
      <c r="AJ522" s="173"/>
      <c r="AK522" s="173"/>
      <c r="AL522" s="173"/>
      <c r="AM522" s="173"/>
      <c r="AN522" s="173"/>
      <c r="AO522" s="173"/>
      <c r="AP522" s="173"/>
      <c r="AQ522" s="173"/>
      <c r="AR522" s="173"/>
      <c r="AS522" s="172"/>
      <c r="AT522" s="172"/>
      <c r="AU522" s="172"/>
      <c r="AV522" s="172"/>
      <c r="AW522" s="172"/>
      <c r="AX522" s="172"/>
      <c r="AY522" s="172"/>
      <c r="AZ522" s="172"/>
      <c r="BA522" s="172"/>
      <c r="BB522" s="172"/>
      <c r="BC522" s="172"/>
      <c r="BD522" s="172"/>
      <c r="BE522" s="172"/>
      <c r="BF522" s="172"/>
      <c r="BG522" s="172"/>
      <c r="BH522" s="172"/>
      <c r="BI522" s="172"/>
      <c r="BJ522" s="172"/>
      <c r="BK522" s="172"/>
      <c r="BL522" s="172"/>
      <c r="BM522" s="172"/>
      <c r="BN522" s="172"/>
      <c r="BO522" s="172"/>
      <c r="BP522" s="172"/>
      <c r="BQ522" s="172"/>
      <c r="BR522" s="172"/>
      <c r="BS522" s="172"/>
      <c r="BT522" s="172"/>
      <c r="BU522" s="172"/>
      <c r="BV522" s="172"/>
      <c r="BW522" s="172"/>
      <c r="BX522" s="172"/>
      <c r="BY522" s="174"/>
      <c r="BZ522" s="172"/>
      <c r="CA522" s="172"/>
      <c r="CD522" s="194"/>
      <c r="CE522" s="194"/>
      <c r="CF522" s="194"/>
      <c r="CG522" s="194"/>
      <c r="CH522" s="195"/>
      <c r="CI522" s="194"/>
      <c r="CJ522" s="194"/>
      <c r="CK522" s="194"/>
      <c r="CL522" s="196"/>
      <c r="CM522" s="196"/>
      <c r="CN522" s="194"/>
      <c r="CO522" s="197"/>
      <c r="CP522" s="196"/>
      <c r="CQ522" s="196"/>
      <c r="CR522" s="196"/>
      <c r="CS522" s="196"/>
      <c r="CT522" s="196"/>
      <c r="CU522" s="196"/>
      <c r="CV522" s="194"/>
      <c r="CW522" s="194"/>
      <c r="CX522" s="194"/>
      <c r="CY522" s="194"/>
      <c r="CZ522" s="194"/>
      <c r="DA522" s="194"/>
      <c r="DB522" s="194"/>
      <c r="DC522" s="194"/>
      <c r="DD522" s="194"/>
      <c r="DE522" s="194"/>
      <c r="DF522" s="196"/>
      <c r="DG522" s="198"/>
      <c r="DH522" s="194"/>
      <c r="DI522" s="194"/>
    </row>
    <row r="523" spans="1:113" s="24" customFormat="1" hidden="1" x14ac:dyDescent="0.3">
      <c r="A523" s="172"/>
      <c r="B523" s="172"/>
      <c r="C523" s="172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  <c r="AE523" s="173"/>
      <c r="AF523" s="173"/>
      <c r="AG523" s="173"/>
      <c r="AH523" s="173"/>
      <c r="AI523" s="173"/>
      <c r="AJ523" s="173"/>
      <c r="AK523" s="173"/>
      <c r="AL523" s="173"/>
      <c r="AM523" s="173"/>
      <c r="AN523" s="173"/>
      <c r="AO523" s="173"/>
      <c r="AP523" s="173"/>
      <c r="AQ523" s="173"/>
      <c r="AR523" s="173"/>
      <c r="AS523" s="172"/>
      <c r="AT523" s="172"/>
      <c r="AU523" s="172"/>
      <c r="AV523" s="172"/>
      <c r="AW523" s="172"/>
      <c r="AX523" s="172"/>
      <c r="AY523" s="172"/>
      <c r="AZ523" s="172"/>
      <c r="BA523" s="172"/>
      <c r="BB523" s="172"/>
      <c r="BC523" s="172"/>
      <c r="BD523" s="172"/>
      <c r="BE523" s="172"/>
      <c r="BF523" s="172"/>
      <c r="BG523" s="172"/>
      <c r="BH523" s="172"/>
      <c r="BI523" s="172"/>
      <c r="BJ523" s="172"/>
      <c r="BK523" s="172"/>
      <c r="BL523" s="172"/>
      <c r="BM523" s="172"/>
      <c r="BN523" s="172"/>
      <c r="BO523" s="172"/>
      <c r="BP523" s="172"/>
      <c r="BQ523" s="172"/>
      <c r="BR523" s="172"/>
      <c r="BS523" s="172"/>
      <c r="BT523" s="172"/>
      <c r="BU523" s="172"/>
      <c r="BV523" s="172"/>
      <c r="BW523" s="172"/>
      <c r="BX523" s="172"/>
      <c r="BY523" s="174"/>
      <c r="BZ523" s="172"/>
      <c r="CA523" s="172"/>
      <c r="CD523" s="194"/>
      <c r="CE523" s="194"/>
      <c r="CF523" s="194"/>
      <c r="CG523" s="194"/>
      <c r="CH523" s="195"/>
      <c r="CI523" s="194"/>
      <c r="CJ523" s="194"/>
      <c r="CK523" s="194"/>
      <c r="CL523" s="196"/>
      <c r="CM523" s="196"/>
      <c r="CN523" s="194"/>
      <c r="CO523" s="197"/>
      <c r="CP523" s="196"/>
      <c r="CQ523" s="196"/>
      <c r="CR523" s="196"/>
      <c r="CS523" s="196"/>
      <c r="CT523" s="196"/>
      <c r="CU523" s="196"/>
      <c r="CV523" s="194"/>
      <c r="CW523" s="194"/>
      <c r="CX523" s="194"/>
      <c r="CY523" s="194"/>
      <c r="CZ523" s="194"/>
      <c r="DA523" s="194"/>
      <c r="DB523" s="194"/>
      <c r="DC523" s="194"/>
      <c r="DD523" s="194"/>
      <c r="DE523" s="194"/>
      <c r="DF523" s="196"/>
      <c r="DG523" s="198"/>
      <c r="DH523" s="194"/>
      <c r="DI523" s="194"/>
    </row>
    <row r="524" spans="1:113" s="24" customFormat="1" hidden="1" x14ac:dyDescent="0.3">
      <c r="A524" s="172"/>
      <c r="B524" s="172"/>
      <c r="C524" s="172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  <c r="AE524" s="173"/>
      <c r="AF524" s="173"/>
      <c r="AG524" s="173"/>
      <c r="AH524" s="173"/>
      <c r="AI524" s="173"/>
      <c r="AJ524" s="173"/>
      <c r="AK524" s="173"/>
      <c r="AL524" s="173"/>
      <c r="AM524" s="173"/>
      <c r="AN524" s="173"/>
      <c r="AO524" s="173"/>
      <c r="AP524" s="173"/>
      <c r="AQ524" s="173"/>
      <c r="AR524" s="173"/>
      <c r="AS524" s="172"/>
      <c r="AT524" s="172"/>
      <c r="AU524" s="172"/>
      <c r="AV524" s="172"/>
      <c r="AW524" s="172"/>
      <c r="AX524" s="172"/>
      <c r="AY524" s="172"/>
      <c r="AZ524" s="172"/>
      <c r="BA524" s="172"/>
      <c r="BB524" s="172"/>
      <c r="BC524" s="172"/>
      <c r="BD524" s="172"/>
      <c r="BE524" s="172"/>
      <c r="BF524" s="172"/>
      <c r="BG524" s="172"/>
      <c r="BH524" s="172"/>
      <c r="BI524" s="172"/>
      <c r="BJ524" s="172"/>
      <c r="BK524" s="172"/>
      <c r="BL524" s="172"/>
      <c r="BM524" s="172"/>
      <c r="BN524" s="172"/>
      <c r="BO524" s="172"/>
      <c r="BP524" s="172"/>
      <c r="BQ524" s="172"/>
      <c r="BR524" s="172"/>
      <c r="BS524" s="172"/>
      <c r="BT524" s="172"/>
      <c r="BU524" s="172"/>
      <c r="BV524" s="172"/>
      <c r="BW524" s="172"/>
      <c r="BX524" s="172"/>
      <c r="BY524" s="174"/>
      <c r="BZ524" s="172"/>
      <c r="CA524" s="172"/>
      <c r="CD524" s="194"/>
      <c r="CE524" s="194"/>
      <c r="CF524" s="194"/>
      <c r="CG524" s="194"/>
      <c r="CH524" s="195"/>
      <c r="CI524" s="194"/>
      <c r="CJ524" s="194"/>
      <c r="CK524" s="194"/>
      <c r="CL524" s="196"/>
      <c r="CM524" s="196"/>
      <c r="CN524" s="194"/>
      <c r="CO524" s="197"/>
      <c r="CP524" s="196"/>
      <c r="CQ524" s="196"/>
      <c r="CR524" s="196"/>
      <c r="CS524" s="196"/>
      <c r="CT524" s="196"/>
      <c r="CU524" s="196"/>
      <c r="CV524" s="194"/>
      <c r="CW524" s="194"/>
      <c r="CX524" s="194"/>
      <c r="CY524" s="194"/>
      <c r="CZ524" s="194"/>
      <c r="DA524" s="194"/>
      <c r="DB524" s="194"/>
      <c r="DC524" s="194"/>
      <c r="DD524" s="194"/>
      <c r="DE524" s="194"/>
      <c r="DF524" s="196"/>
      <c r="DG524" s="198"/>
      <c r="DH524" s="194"/>
      <c r="DI524" s="194"/>
    </row>
    <row r="525" spans="1:113" s="24" customFormat="1" hidden="1" x14ac:dyDescent="0.3">
      <c r="A525" s="172"/>
      <c r="B525" s="172"/>
      <c r="C525" s="172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  <c r="AE525" s="173"/>
      <c r="AF525" s="173"/>
      <c r="AG525" s="173"/>
      <c r="AH525" s="173"/>
      <c r="AI525" s="173"/>
      <c r="AJ525" s="173"/>
      <c r="AK525" s="173"/>
      <c r="AL525" s="173"/>
      <c r="AM525" s="173"/>
      <c r="AN525" s="173"/>
      <c r="AO525" s="173"/>
      <c r="AP525" s="173"/>
      <c r="AQ525" s="173"/>
      <c r="AR525" s="173"/>
      <c r="AS525" s="172"/>
      <c r="AT525" s="172"/>
      <c r="AU525" s="172"/>
      <c r="AV525" s="172"/>
      <c r="AW525" s="172"/>
      <c r="AX525" s="172"/>
      <c r="AY525" s="172"/>
      <c r="AZ525" s="172"/>
      <c r="BA525" s="172"/>
      <c r="BB525" s="172"/>
      <c r="BC525" s="172"/>
      <c r="BD525" s="172"/>
      <c r="BE525" s="172"/>
      <c r="BF525" s="172"/>
      <c r="BG525" s="172"/>
      <c r="BH525" s="172"/>
      <c r="BI525" s="172"/>
      <c r="BJ525" s="172"/>
      <c r="BK525" s="172"/>
      <c r="BL525" s="172"/>
      <c r="BM525" s="172"/>
      <c r="BN525" s="172"/>
      <c r="BO525" s="172"/>
      <c r="BP525" s="172"/>
      <c r="BQ525" s="172"/>
      <c r="BR525" s="172"/>
      <c r="BS525" s="172"/>
      <c r="BT525" s="172"/>
      <c r="BU525" s="172"/>
      <c r="BV525" s="172"/>
      <c r="BW525" s="172"/>
      <c r="BX525" s="172"/>
      <c r="BY525" s="174"/>
      <c r="BZ525" s="172"/>
      <c r="CA525" s="172"/>
      <c r="CD525" s="194"/>
      <c r="CE525" s="194"/>
      <c r="CF525" s="194"/>
      <c r="CG525" s="194"/>
      <c r="CH525" s="195"/>
      <c r="CI525" s="194"/>
      <c r="CJ525" s="194"/>
      <c r="CK525" s="194"/>
      <c r="CL525" s="196"/>
      <c r="CM525" s="196"/>
      <c r="CN525" s="194"/>
      <c r="CO525" s="197"/>
      <c r="CP525" s="196"/>
      <c r="CQ525" s="196"/>
      <c r="CR525" s="196"/>
      <c r="CS525" s="196"/>
      <c r="CT525" s="196"/>
      <c r="CU525" s="196"/>
      <c r="CV525" s="194"/>
      <c r="CW525" s="194"/>
      <c r="CX525" s="194"/>
      <c r="CY525" s="194"/>
      <c r="CZ525" s="194"/>
      <c r="DA525" s="194"/>
      <c r="DB525" s="194"/>
      <c r="DC525" s="194"/>
      <c r="DD525" s="194"/>
      <c r="DE525" s="194"/>
      <c r="DF525" s="196"/>
      <c r="DG525" s="198"/>
      <c r="DH525" s="194"/>
      <c r="DI525" s="194"/>
    </row>
    <row r="526" spans="1:113" s="24" customFormat="1" hidden="1" x14ac:dyDescent="0.3">
      <c r="A526" s="172"/>
      <c r="B526" s="172"/>
      <c r="C526" s="172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  <c r="AE526" s="173"/>
      <c r="AF526" s="173"/>
      <c r="AG526" s="173"/>
      <c r="AH526" s="173"/>
      <c r="AI526" s="173"/>
      <c r="AJ526" s="173"/>
      <c r="AK526" s="173"/>
      <c r="AL526" s="173"/>
      <c r="AM526" s="173"/>
      <c r="AN526" s="173"/>
      <c r="AO526" s="173"/>
      <c r="AP526" s="173"/>
      <c r="AQ526" s="173"/>
      <c r="AR526" s="173"/>
      <c r="AS526" s="172"/>
      <c r="AT526" s="172"/>
      <c r="AU526" s="172"/>
      <c r="AV526" s="172"/>
      <c r="AW526" s="172"/>
      <c r="AX526" s="172"/>
      <c r="AY526" s="172"/>
      <c r="AZ526" s="172"/>
      <c r="BA526" s="172"/>
      <c r="BB526" s="172"/>
      <c r="BC526" s="172"/>
      <c r="BD526" s="172"/>
      <c r="BE526" s="172"/>
      <c r="BF526" s="172"/>
      <c r="BG526" s="172"/>
      <c r="BH526" s="172"/>
      <c r="BI526" s="172"/>
      <c r="BJ526" s="172"/>
      <c r="BK526" s="172"/>
      <c r="BL526" s="172"/>
      <c r="BM526" s="172"/>
      <c r="BN526" s="172"/>
      <c r="BO526" s="172"/>
      <c r="BP526" s="172"/>
      <c r="BQ526" s="172"/>
      <c r="BR526" s="172"/>
      <c r="BS526" s="172"/>
      <c r="BT526" s="172"/>
      <c r="BU526" s="172"/>
      <c r="BV526" s="172"/>
      <c r="BW526" s="172"/>
      <c r="BX526" s="172"/>
      <c r="BY526" s="174"/>
      <c r="BZ526" s="172"/>
      <c r="CA526" s="172"/>
      <c r="CD526" s="194"/>
      <c r="CE526" s="194"/>
      <c r="CF526" s="194"/>
      <c r="CG526" s="194"/>
      <c r="CH526" s="195"/>
      <c r="CI526" s="194"/>
      <c r="CJ526" s="194"/>
      <c r="CK526" s="194"/>
      <c r="CL526" s="196"/>
      <c r="CM526" s="196"/>
      <c r="CN526" s="194"/>
      <c r="CO526" s="197"/>
      <c r="CP526" s="196"/>
      <c r="CQ526" s="196"/>
      <c r="CR526" s="196"/>
      <c r="CS526" s="196"/>
      <c r="CT526" s="196"/>
      <c r="CU526" s="196"/>
      <c r="CV526" s="194"/>
      <c r="CW526" s="194"/>
      <c r="CX526" s="194"/>
      <c r="CY526" s="194"/>
      <c r="CZ526" s="194"/>
      <c r="DA526" s="194"/>
      <c r="DB526" s="194"/>
      <c r="DC526" s="194"/>
      <c r="DD526" s="194"/>
      <c r="DE526" s="194"/>
      <c r="DF526" s="196"/>
      <c r="DG526" s="198"/>
      <c r="DH526" s="194"/>
      <c r="DI526" s="194"/>
    </row>
    <row r="527" spans="1:113" s="24" customFormat="1" hidden="1" x14ac:dyDescent="0.3">
      <c r="A527" s="172"/>
      <c r="B527" s="172"/>
      <c r="C527" s="172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  <c r="AE527" s="173"/>
      <c r="AF527" s="173"/>
      <c r="AG527" s="173"/>
      <c r="AH527" s="173"/>
      <c r="AI527" s="173"/>
      <c r="AJ527" s="173"/>
      <c r="AK527" s="173"/>
      <c r="AL527" s="173"/>
      <c r="AM527" s="173"/>
      <c r="AN527" s="173"/>
      <c r="AO527" s="173"/>
      <c r="AP527" s="173"/>
      <c r="AQ527" s="173"/>
      <c r="AR527" s="173"/>
      <c r="AS527" s="172"/>
      <c r="AT527" s="172"/>
      <c r="AU527" s="172"/>
      <c r="AV527" s="172"/>
      <c r="AW527" s="172"/>
      <c r="AX527" s="172"/>
      <c r="AY527" s="172"/>
      <c r="AZ527" s="172"/>
      <c r="BA527" s="172"/>
      <c r="BB527" s="172"/>
      <c r="BC527" s="172"/>
      <c r="BD527" s="172"/>
      <c r="BE527" s="172"/>
      <c r="BF527" s="172"/>
      <c r="BG527" s="172"/>
      <c r="BH527" s="172"/>
      <c r="BI527" s="172"/>
      <c r="BJ527" s="172"/>
      <c r="BK527" s="172"/>
      <c r="BL527" s="172"/>
      <c r="BM527" s="172"/>
      <c r="BN527" s="172"/>
      <c r="BO527" s="172"/>
      <c r="BP527" s="172"/>
      <c r="BQ527" s="172"/>
      <c r="BR527" s="172"/>
      <c r="BS527" s="172"/>
      <c r="BT527" s="172"/>
      <c r="BU527" s="172"/>
      <c r="BV527" s="172"/>
      <c r="BW527" s="172"/>
      <c r="BX527" s="172"/>
      <c r="BY527" s="174"/>
      <c r="BZ527" s="172"/>
      <c r="CA527" s="172"/>
      <c r="CD527" s="194"/>
      <c r="CE527" s="194"/>
      <c r="CF527" s="194"/>
      <c r="CG527" s="194"/>
      <c r="CH527" s="195"/>
      <c r="CI527" s="194"/>
      <c r="CJ527" s="194"/>
      <c r="CK527" s="194"/>
      <c r="CL527" s="196"/>
      <c r="CM527" s="196"/>
      <c r="CN527" s="194"/>
      <c r="CO527" s="197"/>
      <c r="CP527" s="196"/>
      <c r="CQ527" s="196"/>
      <c r="CR527" s="196"/>
      <c r="CS527" s="196"/>
      <c r="CT527" s="196"/>
      <c r="CU527" s="196"/>
      <c r="CV527" s="194"/>
      <c r="CW527" s="194"/>
      <c r="CX527" s="194"/>
      <c r="CY527" s="194"/>
      <c r="CZ527" s="194"/>
      <c r="DA527" s="194"/>
      <c r="DB527" s="194"/>
      <c r="DC527" s="194"/>
      <c r="DD527" s="194"/>
      <c r="DE527" s="194"/>
      <c r="DF527" s="196"/>
      <c r="DG527" s="198"/>
      <c r="DH527" s="194"/>
      <c r="DI527" s="194"/>
    </row>
    <row r="528" spans="1:113" s="24" customFormat="1" hidden="1" x14ac:dyDescent="0.3">
      <c r="A528" s="172"/>
      <c r="B528" s="172"/>
      <c r="C528" s="172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  <c r="AE528" s="173"/>
      <c r="AF528" s="173"/>
      <c r="AG528" s="173"/>
      <c r="AH528" s="173"/>
      <c r="AI528" s="173"/>
      <c r="AJ528" s="173"/>
      <c r="AK528" s="173"/>
      <c r="AL528" s="173"/>
      <c r="AM528" s="173"/>
      <c r="AN528" s="173"/>
      <c r="AO528" s="173"/>
      <c r="AP528" s="173"/>
      <c r="AQ528" s="173"/>
      <c r="AR528" s="173"/>
      <c r="AS528" s="172"/>
      <c r="AT528" s="172"/>
      <c r="AU528" s="172"/>
      <c r="AV528" s="172"/>
      <c r="AW528" s="172"/>
      <c r="AX528" s="172"/>
      <c r="AY528" s="172"/>
      <c r="AZ528" s="172"/>
      <c r="BA528" s="172"/>
      <c r="BB528" s="172"/>
      <c r="BC528" s="172"/>
      <c r="BD528" s="172"/>
      <c r="BE528" s="172"/>
      <c r="BF528" s="172"/>
      <c r="BG528" s="172"/>
      <c r="BH528" s="172"/>
      <c r="BI528" s="172"/>
      <c r="BJ528" s="172"/>
      <c r="BK528" s="172"/>
      <c r="BL528" s="172"/>
      <c r="BM528" s="172"/>
      <c r="BN528" s="172"/>
      <c r="BO528" s="172"/>
      <c r="BP528" s="172"/>
      <c r="BQ528" s="172"/>
      <c r="BR528" s="172"/>
      <c r="BS528" s="172"/>
      <c r="BT528" s="172"/>
      <c r="BU528" s="172"/>
      <c r="BV528" s="172"/>
      <c r="BW528" s="172"/>
      <c r="BX528" s="172"/>
      <c r="BY528" s="174"/>
      <c r="BZ528" s="172"/>
      <c r="CA528" s="172"/>
      <c r="CD528" s="194"/>
      <c r="CE528" s="194"/>
      <c r="CF528" s="194"/>
      <c r="CG528" s="194"/>
      <c r="CH528" s="195"/>
      <c r="CI528" s="194"/>
      <c r="CJ528" s="194"/>
      <c r="CK528" s="194"/>
      <c r="CL528" s="196"/>
      <c r="CM528" s="196"/>
      <c r="CN528" s="194"/>
      <c r="CO528" s="197"/>
      <c r="CP528" s="196"/>
      <c r="CQ528" s="196"/>
      <c r="CR528" s="196"/>
      <c r="CS528" s="196"/>
      <c r="CT528" s="196"/>
      <c r="CU528" s="196"/>
      <c r="CV528" s="194"/>
      <c r="CW528" s="194"/>
      <c r="CX528" s="194"/>
      <c r="CY528" s="194"/>
      <c r="CZ528" s="194"/>
      <c r="DA528" s="194"/>
      <c r="DB528" s="194"/>
      <c r="DC528" s="194"/>
      <c r="DD528" s="194"/>
      <c r="DE528" s="194"/>
      <c r="DF528" s="196"/>
      <c r="DG528" s="198"/>
      <c r="DH528" s="194"/>
      <c r="DI528" s="194"/>
    </row>
    <row r="529" spans="1:113" s="24" customFormat="1" hidden="1" x14ac:dyDescent="0.3">
      <c r="A529" s="172"/>
      <c r="B529" s="172"/>
      <c r="C529" s="172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  <c r="AE529" s="173"/>
      <c r="AF529" s="173"/>
      <c r="AG529" s="173"/>
      <c r="AH529" s="173"/>
      <c r="AI529" s="173"/>
      <c r="AJ529" s="173"/>
      <c r="AK529" s="173"/>
      <c r="AL529" s="173"/>
      <c r="AM529" s="173"/>
      <c r="AN529" s="173"/>
      <c r="AO529" s="173"/>
      <c r="AP529" s="173"/>
      <c r="AQ529" s="173"/>
      <c r="AR529" s="173"/>
      <c r="AS529" s="172"/>
      <c r="AT529" s="172"/>
      <c r="AU529" s="172"/>
      <c r="AV529" s="172"/>
      <c r="AW529" s="172"/>
      <c r="AX529" s="172"/>
      <c r="AY529" s="172"/>
      <c r="AZ529" s="172"/>
      <c r="BA529" s="172"/>
      <c r="BB529" s="172"/>
      <c r="BC529" s="172"/>
      <c r="BD529" s="172"/>
      <c r="BE529" s="172"/>
      <c r="BF529" s="172"/>
      <c r="BG529" s="172"/>
      <c r="BH529" s="172"/>
      <c r="BI529" s="172"/>
      <c r="BJ529" s="172"/>
      <c r="BK529" s="172"/>
      <c r="BL529" s="172"/>
      <c r="BM529" s="172"/>
      <c r="BN529" s="172"/>
      <c r="BO529" s="172"/>
      <c r="BP529" s="172"/>
      <c r="BQ529" s="172"/>
      <c r="BR529" s="172"/>
      <c r="BS529" s="172"/>
      <c r="BT529" s="172"/>
      <c r="BU529" s="172"/>
      <c r="BV529" s="172"/>
      <c r="BW529" s="172"/>
      <c r="BX529" s="172"/>
      <c r="BY529" s="174"/>
      <c r="BZ529" s="172"/>
      <c r="CA529" s="172"/>
      <c r="CD529" s="194"/>
      <c r="CE529" s="194"/>
      <c r="CF529" s="194"/>
      <c r="CG529" s="194"/>
      <c r="CH529" s="195"/>
      <c r="CI529" s="194"/>
      <c r="CJ529" s="194"/>
      <c r="CK529" s="194"/>
      <c r="CL529" s="196"/>
      <c r="CM529" s="196"/>
      <c r="CN529" s="194"/>
      <c r="CO529" s="197"/>
      <c r="CP529" s="196"/>
      <c r="CQ529" s="196"/>
      <c r="CR529" s="196"/>
      <c r="CS529" s="196"/>
      <c r="CT529" s="196"/>
      <c r="CU529" s="196"/>
      <c r="CV529" s="194"/>
      <c r="CW529" s="194"/>
      <c r="CX529" s="194"/>
      <c r="CY529" s="194"/>
      <c r="CZ529" s="194"/>
      <c r="DA529" s="194"/>
      <c r="DB529" s="194"/>
      <c r="DC529" s="194"/>
      <c r="DD529" s="194"/>
      <c r="DE529" s="194"/>
      <c r="DF529" s="196"/>
      <c r="DG529" s="198"/>
      <c r="DH529" s="194"/>
      <c r="DI529" s="194"/>
    </row>
    <row r="530" spans="1:113" s="24" customFormat="1" hidden="1" x14ac:dyDescent="0.3">
      <c r="A530" s="172"/>
      <c r="B530" s="172"/>
      <c r="C530" s="172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  <c r="AE530" s="173"/>
      <c r="AF530" s="173"/>
      <c r="AG530" s="173"/>
      <c r="AH530" s="173"/>
      <c r="AI530" s="173"/>
      <c r="AJ530" s="173"/>
      <c r="AK530" s="173"/>
      <c r="AL530" s="173"/>
      <c r="AM530" s="173"/>
      <c r="AN530" s="173"/>
      <c r="AO530" s="173"/>
      <c r="AP530" s="173"/>
      <c r="AQ530" s="173"/>
      <c r="AR530" s="173"/>
      <c r="AS530" s="172"/>
      <c r="AT530" s="172"/>
      <c r="AU530" s="172"/>
      <c r="AV530" s="172"/>
      <c r="AW530" s="172"/>
      <c r="AX530" s="172"/>
      <c r="AY530" s="172"/>
      <c r="AZ530" s="172"/>
      <c r="BA530" s="172"/>
      <c r="BB530" s="172"/>
      <c r="BC530" s="172"/>
      <c r="BD530" s="172"/>
      <c r="BE530" s="172"/>
      <c r="BF530" s="172"/>
      <c r="BG530" s="172"/>
      <c r="BH530" s="172"/>
      <c r="BI530" s="172"/>
      <c r="BJ530" s="172"/>
      <c r="BK530" s="172"/>
      <c r="BL530" s="172"/>
      <c r="BM530" s="172"/>
      <c r="BN530" s="172"/>
      <c r="BO530" s="172"/>
      <c r="BP530" s="172"/>
      <c r="BQ530" s="172"/>
      <c r="BR530" s="172"/>
      <c r="BS530" s="172"/>
      <c r="BT530" s="172"/>
      <c r="BU530" s="172"/>
      <c r="BV530" s="172"/>
      <c r="BW530" s="172"/>
      <c r="BX530" s="172"/>
      <c r="BY530" s="174"/>
      <c r="BZ530" s="172"/>
      <c r="CA530" s="172"/>
      <c r="CD530" s="194"/>
      <c r="CE530" s="194"/>
      <c r="CF530" s="194"/>
      <c r="CG530" s="194"/>
      <c r="CH530" s="195"/>
      <c r="CI530" s="194"/>
      <c r="CJ530" s="194"/>
      <c r="CK530" s="194"/>
      <c r="CL530" s="196"/>
      <c r="CM530" s="196"/>
      <c r="CN530" s="194"/>
      <c r="CO530" s="197"/>
      <c r="CP530" s="196"/>
      <c r="CQ530" s="196"/>
      <c r="CR530" s="196"/>
      <c r="CS530" s="196"/>
      <c r="CT530" s="196"/>
      <c r="CU530" s="196"/>
      <c r="CV530" s="194"/>
      <c r="CW530" s="194"/>
      <c r="CX530" s="194"/>
      <c r="CY530" s="194"/>
      <c r="CZ530" s="194"/>
      <c r="DA530" s="194"/>
      <c r="DB530" s="194"/>
      <c r="DC530" s="194"/>
      <c r="DD530" s="194"/>
      <c r="DE530" s="194"/>
      <c r="DF530" s="196"/>
      <c r="DG530" s="198"/>
      <c r="DH530" s="194"/>
      <c r="DI530" s="194"/>
    </row>
    <row r="531" spans="1:113" s="24" customFormat="1" hidden="1" x14ac:dyDescent="0.3">
      <c r="A531" s="172"/>
      <c r="B531" s="172"/>
      <c r="C531" s="172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  <c r="AE531" s="173"/>
      <c r="AF531" s="173"/>
      <c r="AG531" s="173"/>
      <c r="AH531" s="173"/>
      <c r="AI531" s="173"/>
      <c r="AJ531" s="173"/>
      <c r="AK531" s="173"/>
      <c r="AL531" s="173"/>
      <c r="AM531" s="173"/>
      <c r="AN531" s="173"/>
      <c r="AO531" s="173"/>
      <c r="AP531" s="173"/>
      <c r="AQ531" s="173"/>
      <c r="AR531" s="173"/>
      <c r="AS531" s="172"/>
      <c r="AT531" s="172"/>
      <c r="AU531" s="172"/>
      <c r="AV531" s="172"/>
      <c r="AW531" s="172"/>
      <c r="AX531" s="172"/>
      <c r="AY531" s="172"/>
      <c r="AZ531" s="172"/>
      <c r="BA531" s="172"/>
      <c r="BB531" s="172"/>
      <c r="BC531" s="172"/>
      <c r="BD531" s="172"/>
      <c r="BE531" s="172"/>
      <c r="BF531" s="172"/>
      <c r="BG531" s="172"/>
      <c r="BH531" s="172"/>
      <c r="BI531" s="172"/>
      <c r="BJ531" s="172"/>
      <c r="BK531" s="172"/>
      <c r="BL531" s="172"/>
      <c r="BM531" s="172"/>
      <c r="BN531" s="172"/>
      <c r="BO531" s="172"/>
      <c r="BP531" s="172"/>
      <c r="BQ531" s="172"/>
      <c r="BR531" s="172"/>
      <c r="BS531" s="172"/>
      <c r="BT531" s="172"/>
      <c r="BU531" s="172"/>
      <c r="BV531" s="172"/>
      <c r="BW531" s="172"/>
      <c r="BX531" s="172"/>
      <c r="BY531" s="174"/>
      <c r="BZ531" s="172"/>
      <c r="CA531" s="172"/>
      <c r="CD531" s="194"/>
      <c r="CE531" s="194"/>
      <c r="CF531" s="194"/>
      <c r="CG531" s="194"/>
      <c r="CH531" s="195"/>
      <c r="CI531" s="194"/>
      <c r="CJ531" s="194"/>
      <c r="CK531" s="194"/>
      <c r="CL531" s="196"/>
      <c r="CM531" s="196"/>
      <c r="CN531" s="194"/>
      <c r="CO531" s="197"/>
      <c r="CP531" s="196"/>
      <c r="CQ531" s="196"/>
      <c r="CR531" s="196"/>
      <c r="CS531" s="196"/>
      <c r="CT531" s="196"/>
      <c r="CU531" s="196"/>
      <c r="CV531" s="194"/>
      <c r="CW531" s="194"/>
      <c r="CX531" s="194"/>
      <c r="CY531" s="194"/>
      <c r="CZ531" s="194"/>
      <c r="DA531" s="194"/>
      <c r="DB531" s="194"/>
      <c r="DC531" s="194"/>
      <c r="DD531" s="194"/>
      <c r="DE531" s="194"/>
      <c r="DF531" s="196"/>
      <c r="DG531" s="198"/>
      <c r="DH531" s="194"/>
      <c r="DI531" s="194"/>
    </row>
    <row r="532" spans="1:113" s="24" customFormat="1" hidden="1" x14ac:dyDescent="0.3">
      <c r="A532" s="172"/>
      <c r="B532" s="172"/>
      <c r="C532" s="172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  <c r="AE532" s="173"/>
      <c r="AF532" s="173"/>
      <c r="AG532" s="173"/>
      <c r="AH532" s="173"/>
      <c r="AI532" s="173"/>
      <c r="AJ532" s="173"/>
      <c r="AK532" s="173"/>
      <c r="AL532" s="173"/>
      <c r="AM532" s="173"/>
      <c r="AN532" s="173"/>
      <c r="AO532" s="173"/>
      <c r="AP532" s="173"/>
      <c r="AQ532" s="173"/>
      <c r="AR532" s="173"/>
      <c r="AS532" s="172"/>
      <c r="AT532" s="172"/>
      <c r="AU532" s="172"/>
      <c r="AV532" s="172"/>
      <c r="AW532" s="172"/>
      <c r="AX532" s="172"/>
      <c r="AY532" s="172"/>
      <c r="AZ532" s="172"/>
      <c r="BA532" s="172"/>
      <c r="BB532" s="172"/>
      <c r="BC532" s="172"/>
      <c r="BD532" s="172"/>
      <c r="BE532" s="172"/>
      <c r="BF532" s="172"/>
      <c r="BG532" s="172"/>
      <c r="BH532" s="172"/>
      <c r="BI532" s="172"/>
      <c r="BJ532" s="172"/>
      <c r="BK532" s="172"/>
      <c r="BL532" s="172"/>
      <c r="BM532" s="172"/>
      <c r="BN532" s="172"/>
      <c r="BO532" s="172"/>
      <c r="BP532" s="172"/>
      <c r="BQ532" s="172"/>
      <c r="BR532" s="172"/>
      <c r="BS532" s="172"/>
      <c r="BT532" s="172"/>
      <c r="BU532" s="172"/>
      <c r="BV532" s="172"/>
      <c r="BW532" s="172"/>
      <c r="BX532" s="172"/>
      <c r="BY532" s="174"/>
      <c r="BZ532" s="172"/>
      <c r="CA532" s="172"/>
      <c r="CD532" s="194"/>
      <c r="CE532" s="194"/>
      <c r="CF532" s="194"/>
      <c r="CG532" s="194"/>
      <c r="CH532" s="195"/>
      <c r="CI532" s="194"/>
      <c r="CJ532" s="194"/>
      <c r="CK532" s="194"/>
      <c r="CL532" s="196"/>
      <c r="CM532" s="196"/>
      <c r="CN532" s="194"/>
      <c r="CO532" s="197"/>
      <c r="CP532" s="196"/>
      <c r="CQ532" s="196"/>
      <c r="CR532" s="196"/>
      <c r="CS532" s="196"/>
      <c r="CT532" s="196"/>
      <c r="CU532" s="196"/>
      <c r="CV532" s="194"/>
      <c r="CW532" s="194"/>
      <c r="CX532" s="194"/>
      <c r="CY532" s="194"/>
      <c r="CZ532" s="194"/>
      <c r="DA532" s="194"/>
      <c r="DB532" s="194"/>
      <c r="DC532" s="194"/>
      <c r="DD532" s="194"/>
      <c r="DE532" s="194"/>
      <c r="DF532" s="196"/>
      <c r="DG532" s="198"/>
      <c r="DH532" s="194"/>
      <c r="DI532" s="194"/>
    </row>
    <row r="533" spans="1:113" s="24" customFormat="1" hidden="1" x14ac:dyDescent="0.3">
      <c r="A533" s="172"/>
      <c r="B533" s="172"/>
      <c r="C533" s="172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  <c r="AE533" s="173"/>
      <c r="AF533" s="173"/>
      <c r="AG533" s="173"/>
      <c r="AH533" s="173"/>
      <c r="AI533" s="173"/>
      <c r="AJ533" s="173"/>
      <c r="AK533" s="173"/>
      <c r="AL533" s="173"/>
      <c r="AM533" s="173"/>
      <c r="AN533" s="173"/>
      <c r="AO533" s="173"/>
      <c r="AP533" s="173"/>
      <c r="AQ533" s="173"/>
      <c r="AR533" s="173"/>
      <c r="AS533" s="172"/>
      <c r="AT533" s="172"/>
      <c r="AU533" s="172"/>
      <c r="AV533" s="172"/>
      <c r="AW533" s="172"/>
      <c r="AX533" s="172"/>
      <c r="AY533" s="172"/>
      <c r="AZ533" s="172"/>
      <c r="BA533" s="172"/>
      <c r="BB533" s="172"/>
      <c r="BC533" s="172"/>
      <c r="BD533" s="172"/>
      <c r="BE533" s="172"/>
      <c r="BF533" s="172"/>
      <c r="BG533" s="172"/>
      <c r="BH533" s="172"/>
      <c r="BI533" s="172"/>
      <c r="BJ533" s="172"/>
      <c r="BK533" s="172"/>
      <c r="BL533" s="172"/>
      <c r="BM533" s="172"/>
      <c r="BN533" s="172"/>
      <c r="BO533" s="172"/>
      <c r="BP533" s="172"/>
      <c r="BQ533" s="172"/>
      <c r="BR533" s="172"/>
      <c r="BS533" s="172"/>
      <c r="BT533" s="172"/>
      <c r="BU533" s="172"/>
      <c r="BV533" s="172"/>
      <c r="BW533" s="172"/>
      <c r="BX533" s="172"/>
      <c r="BY533" s="174"/>
      <c r="BZ533" s="172"/>
      <c r="CA533" s="172"/>
      <c r="CD533" s="194"/>
      <c r="CE533" s="194"/>
      <c r="CF533" s="194"/>
      <c r="CG533" s="194"/>
      <c r="CH533" s="195"/>
      <c r="CI533" s="194"/>
      <c r="CJ533" s="194"/>
      <c r="CK533" s="194"/>
      <c r="CL533" s="196"/>
      <c r="CM533" s="196"/>
      <c r="CN533" s="194"/>
      <c r="CO533" s="197"/>
      <c r="CP533" s="196"/>
      <c r="CQ533" s="196"/>
      <c r="CR533" s="196"/>
      <c r="CS533" s="196"/>
      <c r="CT533" s="196"/>
      <c r="CU533" s="196"/>
      <c r="CV533" s="194"/>
      <c r="CW533" s="194"/>
      <c r="CX533" s="194"/>
      <c r="CY533" s="194"/>
      <c r="CZ533" s="194"/>
      <c r="DA533" s="194"/>
      <c r="DB533" s="194"/>
      <c r="DC533" s="194"/>
      <c r="DD533" s="194"/>
      <c r="DE533" s="194"/>
      <c r="DF533" s="196"/>
      <c r="DG533" s="198"/>
      <c r="DH533" s="194"/>
      <c r="DI533" s="194"/>
    </row>
    <row r="534" spans="1:113" s="24" customFormat="1" hidden="1" x14ac:dyDescent="0.3">
      <c r="A534" s="172"/>
      <c r="B534" s="172"/>
      <c r="C534" s="172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  <c r="AE534" s="173"/>
      <c r="AF534" s="173"/>
      <c r="AG534" s="173"/>
      <c r="AH534" s="173"/>
      <c r="AI534" s="173"/>
      <c r="AJ534" s="173"/>
      <c r="AK534" s="173"/>
      <c r="AL534" s="173"/>
      <c r="AM534" s="173"/>
      <c r="AN534" s="173"/>
      <c r="AO534" s="173"/>
      <c r="AP534" s="173"/>
      <c r="AQ534" s="173"/>
      <c r="AR534" s="173"/>
      <c r="AS534" s="172"/>
      <c r="AT534" s="172"/>
      <c r="AU534" s="172"/>
      <c r="AV534" s="172"/>
      <c r="AW534" s="172"/>
      <c r="AX534" s="172"/>
      <c r="AY534" s="172"/>
      <c r="AZ534" s="172"/>
      <c r="BA534" s="172"/>
      <c r="BB534" s="172"/>
      <c r="BC534" s="172"/>
      <c r="BD534" s="172"/>
      <c r="BE534" s="172"/>
      <c r="BF534" s="172"/>
      <c r="BG534" s="172"/>
      <c r="BH534" s="172"/>
      <c r="BI534" s="172"/>
      <c r="BJ534" s="172"/>
      <c r="BK534" s="172"/>
      <c r="BL534" s="172"/>
      <c r="BM534" s="172"/>
      <c r="BN534" s="172"/>
      <c r="BO534" s="172"/>
      <c r="BP534" s="172"/>
      <c r="BQ534" s="172"/>
      <c r="BR534" s="172"/>
      <c r="BS534" s="172"/>
      <c r="BT534" s="172"/>
      <c r="BU534" s="172"/>
      <c r="BV534" s="172"/>
      <c r="BW534" s="172"/>
      <c r="BX534" s="172"/>
      <c r="BY534" s="174"/>
      <c r="BZ534" s="172"/>
      <c r="CA534" s="172"/>
      <c r="CD534" s="194"/>
      <c r="CE534" s="194"/>
      <c r="CF534" s="194"/>
      <c r="CG534" s="194"/>
      <c r="CH534" s="195"/>
      <c r="CI534" s="194"/>
      <c r="CJ534" s="194"/>
      <c r="CK534" s="194"/>
      <c r="CL534" s="196"/>
      <c r="CM534" s="196"/>
      <c r="CN534" s="194"/>
      <c r="CO534" s="197"/>
      <c r="CP534" s="196"/>
      <c r="CQ534" s="196"/>
      <c r="CR534" s="196"/>
      <c r="CS534" s="196"/>
      <c r="CT534" s="196"/>
      <c r="CU534" s="196"/>
      <c r="CV534" s="194"/>
      <c r="CW534" s="194"/>
      <c r="CX534" s="194"/>
      <c r="CY534" s="194"/>
      <c r="CZ534" s="194"/>
      <c r="DA534" s="194"/>
      <c r="DB534" s="194"/>
      <c r="DC534" s="194"/>
      <c r="DD534" s="194"/>
      <c r="DE534" s="194"/>
      <c r="DF534" s="196"/>
      <c r="DG534" s="198"/>
      <c r="DH534" s="194"/>
      <c r="DI534" s="194"/>
    </row>
    <row r="535" spans="1:113" s="24" customFormat="1" hidden="1" x14ac:dyDescent="0.3">
      <c r="A535" s="172"/>
      <c r="B535" s="172"/>
      <c r="C535" s="172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  <c r="AE535" s="173"/>
      <c r="AF535" s="173"/>
      <c r="AG535" s="173"/>
      <c r="AH535" s="173"/>
      <c r="AI535" s="173"/>
      <c r="AJ535" s="173"/>
      <c r="AK535" s="173"/>
      <c r="AL535" s="173"/>
      <c r="AM535" s="173"/>
      <c r="AN535" s="173"/>
      <c r="AO535" s="173"/>
      <c r="AP535" s="173"/>
      <c r="AQ535" s="173"/>
      <c r="AR535" s="173"/>
      <c r="AS535" s="172"/>
      <c r="AT535" s="172"/>
      <c r="AU535" s="172"/>
      <c r="AV535" s="172"/>
      <c r="AW535" s="172"/>
      <c r="AX535" s="172"/>
      <c r="AY535" s="172"/>
      <c r="AZ535" s="172"/>
      <c r="BA535" s="172"/>
      <c r="BB535" s="172"/>
      <c r="BC535" s="172"/>
      <c r="BD535" s="172"/>
      <c r="BE535" s="172"/>
      <c r="BF535" s="172"/>
      <c r="BG535" s="172"/>
      <c r="BH535" s="172"/>
      <c r="BI535" s="172"/>
      <c r="BJ535" s="172"/>
      <c r="BK535" s="172"/>
      <c r="BL535" s="172"/>
      <c r="BM535" s="172"/>
      <c r="BN535" s="172"/>
      <c r="BO535" s="172"/>
      <c r="BP535" s="172"/>
      <c r="BQ535" s="172"/>
      <c r="BR535" s="172"/>
      <c r="BS535" s="172"/>
      <c r="BT535" s="172"/>
      <c r="BU535" s="172"/>
      <c r="BV535" s="172"/>
      <c r="BW535" s="172"/>
      <c r="BX535" s="172"/>
      <c r="BY535" s="174"/>
      <c r="BZ535" s="172"/>
      <c r="CA535" s="172"/>
      <c r="CD535" s="194"/>
      <c r="CE535" s="194"/>
      <c r="CF535" s="194"/>
      <c r="CG535" s="194"/>
      <c r="CH535" s="195"/>
      <c r="CI535" s="194"/>
      <c r="CJ535" s="194"/>
      <c r="CK535" s="194"/>
      <c r="CL535" s="196"/>
      <c r="CM535" s="196"/>
      <c r="CN535" s="194"/>
      <c r="CO535" s="197"/>
      <c r="CP535" s="196"/>
      <c r="CQ535" s="196"/>
      <c r="CR535" s="196"/>
      <c r="CS535" s="196"/>
      <c r="CT535" s="196"/>
      <c r="CU535" s="196"/>
      <c r="CV535" s="194"/>
      <c r="CW535" s="194"/>
      <c r="CX535" s="194"/>
      <c r="CY535" s="194"/>
      <c r="CZ535" s="194"/>
      <c r="DA535" s="194"/>
      <c r="DB535" s="194"/>
      <c r="DC535" s="194"/>
      <c r="DD535" s="194"/>
      <c r="DE535" s="194"/>
      <c r="DF535" s="196"/>
      <c r="DG535" s="198"/>
      <c r="DH535" s="194"/>
      <c r="DI535" s="194"/>
    </row>
    <row r="536" spans="1:113" s="24" customFormat="1" hidden="1" x14ac:dyDescent="0.3">
      <c r="A536" s="172"/>
      <c r="B536" s="172"/>
      <c r="C536" s="172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  <c r="AE536" s="173"/>
      <c r="AF536" s="173"/>
      <c r="AG536" s="173"/>
      <c r="AH536" s="173"/>
      <c r="AI536" s="173"/>
      <c r="AJ536" s="173"/>
      <c r="AK536" s="173"/>
      <c r="AL536" s="173"/>
      <c r="AM536" s="173"/>
      <c r="AN536" s="173"/>
      <c r="AO536" s="173"/>
      <c r="AP536" s="173"/>
      <c r="AQ536" s="173"/>
      <c r="AR536" s="173"/>
      <c r="AS536" s="172"/>
      <c r="AT536" s="172"/>
      <c r="AU536" s="172"/>
      <c r="AV536" s="172"/>
      <c r="AW536" s="172"/>
      <c r="AX536" s="172"/>
      <c r="AY536" s="172"/>
      <c r="AZ536" s="172"/>
      <c r="BA536" s="172"/>
      <c r="BB536" s="172"/>
      <c r="BC536" s="172"/>
      <c r="BD536" s="172"/>
      <c r="BE536" s="172"/>
      <c r="BF536" s="172"/>
      <c r="BG536" s="172"/>
      <c r="BH536" s="172"/>
      <c r="BI536" s="172"/>
      <c r="BJ536" s="172"/>
      <c r="BK536" s="172"/>
      <c r="BL536" s="172"/>
      <c r="BM536" s="172"/>
      <c r="BN536" s="172"/>
      <c r="BO536" s="172"/>
      <c r="BP536" s="172"/>
      <c r="BQ536" s="172"/>
      <c r="BR536" s="172"/>
      <c r="BS536" s="172"/>
      <c r="BT536" s="172"/>
      <c r="BU536" s="172"/>
      <c r="BV536" s="172"/>
      <c r="BW536" s="172"/>
      <c r="BX536" s="172"/>
      <c r="BY536" s="174"/>
      <c r="BZ536" s="172"/>
      <c r="CA536" s="172"/>
      <c r="CD536" s="194"/>
      <c r="CE536" s="194"/>
      <c r="CF536" s="194"/>
      <c r="CG536" s="194"/>
      <c r="CH536" s="195"/>
      <c r="CI536" s="194"/>
      <c r="CJ536" s="194"/>
      <c r="CK536" s="194"/>
      <c r="CL536" s="196"/>
      <c r="CM536" s="196"/>
      <c r="CN536" s="194"/>
      <c r="CO536" s="197"/>
      <c r="CP536" s="196"/>
      <c r="CQ536" s="196"/>
      <c r="CR536" s="196"/>
      <c r="CS536" s="196"/>
      <c r="CT536" s="196"/>
      <c r="CU536" s="196"/>
      <c r="CV536" s="194"/>
      <c r="CW536" s="194"/>
      <c r="CX536" s="194"/>
      <c r="CY536" s="194"/>
      <c r="CZ536" s="194"/>
      <c r="DA536" s="194"/>
      <c r="DB536" s="194"/>
      <c r="DC536" s="194"/>
      <c r="DD536" s="194"/>
      <c r="DE536" s="194"/>
      <c r="DF536" s="196"/>
      <c r="DG536" s="198"/>
      <c r="DH536" s="194"/>
      <c r="DI536" s="194"/>
    </row>
    <row r="537" spans="1:113" s="24" customFormat="1" hidden="1" x14ac:dyDescent="0.3">
      <c r="A537" s="172"/>
      <c r="B537" s="172"/>
      <c r="C537" s="172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  <c r="AE537" s="173"/>
      <c r="AF537" s="173"/>
      <c r="AG537" s="173"/>
      <c r="AH537" s="173"/>
      <c r="AI537" s="173"/>
      <c r="AJ537" s="173"/>
      <c r="AK537" s="173"/>
      <c r="AL537" s="173"/>
      <c r="AM537" s="173"/>
      <c r="AN537" s="173"/>
      <c r="AO537" s="173"/>
      <c r="AP537" s="173"/>
      <c r="AQ537" s="173"/>
      <c r="AR537" s="173"/>
      <c r="AS537" s="172"/>
      <c r="AT537" s="172"/>
      <c r="AU537" s="172"/>
      <c r="AV537" s="172"/>
      <c r="AW537" s="172"/>
      <c r="AX537" s="172"/>
      <c r="AY537" s="172"/>
      <c r="AZ537" s="172"/>
      <c r="BA537" s="172"/>
      <c r="BB537" s="172"/>
      <c r="BC537" s="172"/>
      <c r="BD537" s="172"/>
      <c r="BE537" s="172"/>
      <c r="BF537" s="172"/>
      <c r="BG537" s="172"/>
      <c r="BH537" s="172"/>
      <c r="BI537" s="172"/>
      <c r="BJ537" s="172"/>
      <c r="BK537" s="172"/>
      <c r="BL537" s="172"/>
      <c r="BM537" s="172"/>
      <c r="BN537" s="172"/>
      <c r="BO537" s="172"/>
      <c r="BP537" s="172"/>
      <c r="BQ537" s="172"/>
      <c r="BR537" s="172"/>
      <c r="BS537" s="172"/>
      <c r="BT537" s="172"/>
      <c r="BU537" s="172"/>
      <c r="BV537" s="172"/>
      <c r="BW537" s="172"/>
      <c r="BX537" s="172"/>
      <c r="BY537" s="174"/>
      <c r="BZ537" s="172"/>
      <c r="CA537" s="172"/>
      <c r="CD537" s="194"/>
      <c r="CE537" s="194"/>
      <c r="CF537" s="194"/>
      <c r="CG537" s="194"/>
      <c r="CH537" s="195"/>
      <c r="CI537" s="194"/>
      <c r="CJ537" s="194"/>
      <c r="CK537" s="194"/>
      <c r="CL537" s="196"/>
      <c r="CM537" s="196"/>
      <c r="CN537" s="194"/>
      <c r="CO537" s="197"/>
      <c r="CP537" s="196"/>
      <c r="CQ537" s="196"/>
      <c r="CR537" s="196"/>
      <c r="CS537" s="196"/>
      <c r="CT537" s="196"/>
      <c r="CU537" s="196"/>
      <c r="CV537" s="194"/>
      <c r="CW537" s="194"/>
      <c r="CX537" s="194"/>
      <c r="CY537" s="194"/>
      <c r="CZ537" s="194"/>
      <c r="DA537" s="194"/>
      <c r="DB537" s="194"/>
      <c r="DC537" s="194"/>
      <c r="DD537" s="194"/>
      <c r="DE537" s="194"/>
      <c r="DF537" s="196"/>
      <c r="DG537" s="198"/>
      <c r="DH537" s="194"/>
      <c r="DI537" s="194"/>
    </row>
    <row r="538" spans="1:113" s="24" customFormat="1" hidden="1" x14ac:dyDescent="0.3">
      <c r="A538" s="172"/>
      <c r="B538" s="172"/>
      <c r="C538" s="172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  <c r="AE538" s="173"/>
      <c r="AF538" s="173"/>
      <c r="AG538" s="173"/>
      <c r="AH538" s="173"/>
      <c r="AI538" s="173"/>
      <c r="AJ538" s="173"/>
      <c r="AK538" s="173"/>
      <c r="AL538" s="173"/>
      <c r="AM538" s="173"/>
      <c r="AN538" s="173"/>
      <c r="AO538" s="173"/>
      <c r="AP538" s="173"/>
      <c r="AQ538" s="173"/>
      <c r="AR538" s="173"/>
      <c r="AS538" s="172"/>
      <c r="AT538" s="172"/>
      <c r="AU538" s="172"/>
      <c r="AV538" s="172"/>
      <c r="AW538" s="172"/>
      <c r="AX538" s="172"/>
      <c r="AY538" s="172"/>
      <c r="AZ538" s="172"/>
      <c r="BA538" s="172"/>
      <c r="BB538" s="172"/>
      <c r="BC538" s="172"/>
      <c r="BD538" s="172"/>
      <c r="BE538" s="172"/>
      <c r="BF538" s="172"/>
      <c r="BG538" s="172"/>
      <c r="BH538" s="172"/>
      <c r="BI538" s="172"/>
      <c r="BJ538" s="172"/>
      <c r="BK538" s="172"/>
      <c r="BL538" s="172"/>
      <c r="BM538" s="172"/>
      <c r="BN538" s="172"/>
      <c r="BO538" s="172"/>
      <c r="BP538" s="172"/>
      <c r="BQ538" s="172"/>
      <c r="BR538" s="172"/>
      <c r="BS538" s="172"/>
      <c r="BT538" s="172"/>
      <c r="BU538" s="172"/>
      <c r="BV538" s="172"/>
      <c r="BW538" s="172"/>
      <c r="BX538" s="172"/>
      <c r="BY538" s="174"/>
      <c r="BZ538" s="172"/>
      <c r="CA538" s="172"/>
      <c r="CD538" s="194"/>
      <c r="CE538" s="194"/>
      <c r="CF538" s="194"/>
      <c r="CG538" s="194"/>
      <c r="CH538" s="195"/>
      <c r="CI538" s="194"/>
      <c r="CJ538" s="194"/>
      <c r="CK538" s="194"/>
      <c r="CL538" s="196"/>
      <c r="CM538" s="196"/>
      <c r="CN538" s="194"/>
      <c r="CO538" s="197"/>
      <c r="CP538" s="196"/>
      <c r="CQ538" s="196"/>
      <c r="CR538" s="196"/>
      <c r="CS538" s="196"/>
      <c r="CT538" s="196"/>
      <c r="CU538" s="196"/>
      <c r="CV538" s="194"/>
      <c r="CW538" s="194"/>
      <c r="CX538" s="194"/>
      <c r="CY538" s="194"/>
      <c r="CZ538" s="194"/>
      <c r="DA538" s="194"/>
      <c r="DB538" s="194"/>
      <c r="DC538" s="194"/>
      <c r="DD538" s="194"/>
      <c r="DE538" s="194"/>
      <c r="DF538" s="196"/>
      <c r="DG538" s="198"/>
      <c r="DH538" s="194"/>
      <c r="DI538" s="194"/>
    </row>
    <row r="539" spans="1:113" s="24" customFormat="1" hidden="1" x14ac:dyDescent="0.3">
      <c r="A539" s="172"/>
      <c r="B539" s="172"/>
      <c r="C539" s="172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  <c r="AE539" s="173"/>
      <c r="AF539" s="173"/>
      <c r="AG539" s="173"/>
      <c r="AH539" s="173"/>
      <c r="AI539" s="173"/>
      <c r="AJ539" s="173"/>
      <c r="AK539" s="173"/>
      <c r="AL539" s="173"/>
      <c r="AM539" s="173"/>
      <c r="AN539" s="173"/>
      <c r="AO539" s="173"/>
      <c r="AP539" s="173"/>
      <c r="AQ539" s="173"/>
      <c r="AR539" s="173"/>
      <c r="AS539" s="172"/>
      <c r="AT539" s="172"/>
      <c r="AU539" s="172"/>
      <c r="AV539" s="172"/>
      <c r="AW539" s="172"/>
      <c r="AX539" s="172"/>
      <c r="AY539" s="172"/>
      <c r="AZ539" s="172"/>
      <c r="BA539" s="172"/>
      <c r="BB539" s="172"/>
      <c r="BC539" s="172"/>
      <c r="BD539" s="172"/>
      <c r="BE539" s="172"/>
      <c r="BF539" s="172"/>
      <c r="BG539" s="172"/>
      <c r="BH539" s="172"/>
      <c r="BI539" s="172"/>
      <c r="BJ539" s="172"/>
      <c r="BK539" s="172"/>
      <c r="BL539" s="172"/>
      <c r="BM539" s="172"/>
      <c r="BN539" s="172"/>
      <c r="BO539" s="172"/>
      <c r="BP539" s="172"/>
      <c r="BQ539" s="172"/>
      <c r="BR539" s="172"/>
      <c r="BS539" s="172"/>
      <c r="BT539" s="172"/>
      <c r="BU539" s="172"/>
      <c r="BV539" s="172"/>
      <c r="BW539" s="172"/>
      <c r="BX539" s="172"/>
      <c r="BY539" s="174"/>
      <c r="BZ539" s="172"/>
      <c r="CA539" s="172"/>
      <c r="CD539" s="194"/>
      <c r="CE539" s="194"/>
      <c r="CF539" s="194"/>
      <c r="CG539" s="194"/>
      <c r="CH539" s="195"/>
      <c r="CI539" s="194"/>
      <c r="CJ539" s="194"/>
      <c r="CK539" s="194"/>
      <c r="CL539" s="196"/>
      <c r="CM539" s="196"/>
      <c r="CN539" s="194"/>
      <c r="CO539" s="197"/>
      <c r="CP539" s="196"/>
      <c r="CQ539" s="196"/>
      <c r="CR539" s="196"/>
      <c r="CS539" s="196"/>
      <c r="CT539" s="196"/>
      <c r="CU539" s="196"/>
      <c r="CV539" s="194"/>
      <c r="CW539" s="194"/>
      <c r="CX539" s="194"/>
      <c r="CY539" s="194"/>
      <c r="CZ539" s="194"/>
      <c r="DA539" s="194"/>
      <c r="DB539" s="194"/>
      <c r="DC539" s="194"/>
      <c r="DD539" s="194"/>
      <c r="DE539" s="194"/>
      <c r="DF539" s="196"/>
      <c r="DG539" s="198"/>
      <c r="DH539" s="194"/>
      <c r="DI539" s="194"/>
    </row>
    <row r="540" spans="1:113" s="24" customFormat="1" hidden="1" x14ac:dyDescent="0.3">
      <c r="A540" s="172"/>
      <c r="B540" s="172"/>
      <c r="C540" s="172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  <c r="AE540" s="173"/>
      <c r="AF540" s="173"/>
      <c r="AG540" s="173"/>
      <c r="AH540" s="173"/>
      <c r="AI540" s="173"/>
      <c r="AJ540" s="173"/>
      <c r="AK540" s="173"/>
      <c r="AL540" s="173"/>
      <c r="AM540" s="173"/>
      <c r="AN540" s="173"/>
      <c r="AO540" s="173"/>
      <c r="AP540" s="173"/>
      <c r="AQ540" s="173"/>
      <c r="AR540" s="173"/>
      <c r="AS540" s="172"/>
      <c r="AT540" s="172"/>
      <c r="AU540" s="172"/>
      <c r="AV540" s="172"/>
      <c r="AW540" s="172"/>
      <c r="AX540" s="172"/>
      <c r="AY540" s="172"/>
      <c r="AZ540" s="172"/>
      <c r="BA540" s="172"/>
      <c r="BB540" s="172"/>
      <c r="BC540" s="172"/>
      <c r="BD540" s="172"/>
      <c r="BE540" s="172"/>
      <c r="BF540" s="172"/>
      <c r="BG540" s="172"/>
      <c r="BH540" s="172"/>
      <c r="BI540" s="172"/>
      <c r="BJ540" s="172"/>
      <c r="BK540" s="172"/>
      <c r="BL540" s="172"/>
      <c r="BM540" s="172"/>
      <c r="BN540" s="172"/>
      <c r="BO540" s="172"/>
      <c r="BP540" s="172"/>
      <c r="BQ540" s="172"/>
      <c r="BR540" s="172"/>
      <c r="BS540" s="172"/>
      <c r="BT540" s="172"/>
      <c r="BU540" s="172"/>
      <c r="BV540" s="172"/>
      <c r="BW540" s="172"/>
      <c r="BX540" s="172"/>
      <c r="BY540" s="174"/>
      <c r="BZ540" s="172"/>
      <c r="CA540" s="172"/>
      <c r="CD540" s="194"/>
      <c r="CE540" s="194"/>
      <c r="CF540" s="194"/>
      <c r="CG540" s="194"/>
      <c r="CH540" s="195"/>
      <c r="CI540" s="194"/>
      <c r="CJ540" s="194"/>
      <c r="CK540" s="194"/>
      <c r="CL540" s="196"/>
      <c r="CM540" s="196"/>
      <c r="CN540" s="194"/>
      <c r="CO540" s="197"/>
      <c r="CP540" s="196"/>
      <c r="CQ540" s="196"/>
      <c r="CR540" s="196"/>
      <c r="CS540" s="196"/>
      <c r="CT540" s="196"/>
      <c r="CU540" s="196"/>
      <c r="CV540" s="194"/>
      <c r="CW540" s="194"/>
      <c r="CX540" s="194"/>
      <c r="CY540" s="194"/>
      <c r="CZ540" s="194"/>
      <c r="DA540" s="194"/>
      <c r="DB540" s="194"/>
      <c r="DC540" s="194"/>
      <c r="DD540" s="194"/>
      <c r="DE540" s="194"/>
      <c r="DF540" s="196"/>
      <c r="DG540" s="198"/>
      <c r="DH540" s="194"/>
      <c r="DI540" s="194"/>
    </row>
    <row r="541" spans="1:113" s="24" customFormat="1" hidden="1" x14ac:dyDescent="0.3">
      <c r="A541" s="172"/>
      <c r="B541" s="172"/>
      <c r="C541" s="172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  <c r="AE541" s="173"/>
      <c r="AF541" s="173"/>
      <c r="AG541" s="173"/>
      <c r="AH541" s="173"/>
      <c r="AI541" s="173"/>
      <c r="AJ541" s="173"/>
      <c r="AK541" s="173"/>
      <c r="AL541" s="173"/>
      <c r="AM541" s="173"/>
      <c r="AN541" s="173"/>
      <c r="AO541" s="173"/>
      <c r="AP541" s="173"/>
      <c r="AQ541" s="173"/>
      <c r="AR541" s="173"/>
      <c r="AS541" s="172"/>
      <c r="AT541" s="172"/>
      <c r="AU541" s="172"/>
      <c r="AV541" s="172"/>
      <c r="AW541" s="172"/>
      <c r="AX541" s="172"/>
      <c r="AY541" s="172"/>
      <c r="AZ541" s="172"/>
      <c r="BA541" s="172"/>
      <c r="BB541" s="172"/>
      <c r="BC541" s="172"/>
      <c r="BD541" s="172"/>
      <c r="BE541" s="172"/>
      <c r="BF541" s="172"/>
      <c r="BG541" s="172"/>
      <c r="BH541" s="172"/>
      <c r="BI541" s="172"/>
      <c r="BJ541" s="172"/>
      <c r="BK541" s="172"/>
      <c r="BL541" s="172"/>
      <c r="BM541" s="172"/>
      <c r="BN541" s="172"/>
      <c r="BO541" s="172"/>
      <c r="BP541" s="172"/>
      <c r="BQ541" s="172"/>
      <c r="BR541" s="172"/>
      <c r="BS541" s="172"/>
      <c r="BT541" s="172"/>
      <c r="BU541" s="172"/>
      <c r="BV541" s="172"/>
      <c r="BW541" s="172"/>
      <c r="BX541" s="172"/>
      <c r="BY541" s="174"/>
      <c r="BZ541" s="172"/>
      <c r="CA541" s="172"/>
      <c r="CD541" s="194"/>
      <c r="CE541" s="194"/>
      <c r="CF541" s="194"/>
      <c r="CG541" s="194"/>
      <c r="CH541" s="195"/>
      <c r="CI541" s="194"/>
      <c r="CJ541" s="194"/>
      <c r="CK541" s="194"/>
      <c r="CL541" s="196"/>
      <c r="CM541" s="196"/>
      <c r="CN541" s="194"/>
      <c r="CO541" s="197"/>
      <c r="CP541" s="196"/>
      <c r="CQ541" s="196"/>
      <c r="CR541" s="196"/>
      <c r="CS541" s="196"/>
      <c r="CT541" s="196"/>
      <c r="CU541" s="196"/>
      <c r="CV541" s="194"/>
      <c r="CW541" s="194"/>
      <c r="CX541" s="194"/>
      <c r="CY541" s="194"/>
      <c r="CZ541" s="194"/>
      <c r="DA541" s="194"/>
      <c r="DB541" s="194"/>
      <c r="DC541" s="194"/>
      <c r="DD541" s="194"/>
      <c r="DE541" s="194"/>
      <c r="DF541" s="196"/>
      <c r="DG541" s="198"/>
      <c r="DH541" s="194"/>
      <c r="DI541" s="194"/>
    </row>
    <row r="542" spans="1:113" s="24" customFormat="1" hidden="1" x14ac:dyDescent="0.3">
      <c r="A542" s="172"/>
      <c r="B542" s="172"/>
      <c r="C542" s="172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  <c r="AE542" s="173"/>
      <c r="AF542" s="173"/>
      <c r="AG542" s="173"/>
      <c r="AH542" s="173"/>
      <c r="AI542" s="173"/>
      <c r="AJ542" s="173"/>
      <c r="AK542" s="173"/>
      <c r="AL542" s="173"/>
      <c r="AM542" s="173"/>
      <c r="AN542" s="173"/>
      <c r="AO542" s="173"/>
      <c r="AP542" s="173"/>
      <c r="AQ542" s="173"/>
      <c r="AR542" s="173"/>
      <c r="AS542" s="172"/>
      <c r="AT542" s="172"/>
      <c r="AU542" s="172"/>
      <c r="AV542" s="172"/>
      <c r="AW542" s="172"/>
      <c r="AX542" s="172"/>
      <c r="AY542" s="172"/>
      <c r="AZ542" s="172"/>
      <c r="BA542" s="172"/>
      <c r="BB542" s="172"/>
      <c r="BC542" s="172"/>
      <c r="BD542" s="172"/>
      <c r="BE542" s="172"/>
      <c r="BF542" s="172"/>
      <c r="BG542" s="172"/>
      <c r="BH542" s="172"/>
      <c r="BI542" s="172"/>
      <c r="BJ542" s="172"/>
      <c r="BK542" s="172"/>
      <c r="BL542" s="172"/>
      <c r="BM542" s="172"/>
      <c r="BN542" s="172"/>
      <c r="BO542" s="172"/>
      <c r="BP542" s="172"/>
      <c r="BQ542" s="172"/>
      <c r="BR542" s="172"/>
      <c r="BS542" s="172"/>
      <c r="BT542" s="172"/>
      <c r="BU542" s="172"/>
      <c r="BV542" s="172"/>
      <c r="BW542" s="172"/>
      <c r="BX542" s="172"/>
      <c r="BY542" s="174"/>
      <c r="BZ542" s="172"/>
      <c r="CA542" s="172"/>
      <c r="CD542" s="194"/>
      <c r="CE542" s="194"/>
      <c r="CF542" s="194"/>
      <c r="CG542" s="194"/>
      <c r="CH542" s="195"/>
      <c r="CI542" s="194"/>
      <c r="CJ542" s="194"/>
      <c r="CK542" s="194"/>
      <c r="CL542" s="196"/>
      <c r="CM542" s="196"/>
      <c r="CN542" s="194"/>
      <c r="CO542" s="197"/>
      <c r="CP542" s="196"/>
      <c r="CQ542" s="196"/>
      <c r="CR542" s="196"/>
      <c r="CS542" s="196"/>
      <c r="CT542" s="196"/>
      <c r="CU542" s="196"/>
      <c r="CV542" s="194"/>
      <c r="CW542" s="194"/>
      <c r="CX542" s="194"/>
      <c r="CY542" s="194"/>
      <c r="CZ542" s="194"/>
      <c r="DA542" s="194"/>
      <c r="DB542" s="194"/>
      <c r="DC542" s="194"/>
      <c r="DD542" s="194"/>
      <c r="DE542" s="194"/>
      <c r="DF542" s="196"/>
      <c r="DG542" s="198"/>
      <c r="DH542" s="194"/>
      <c r="DI542" s="194"/>
    </row>
    <row r="543" spans="1:113" s="24" customFormat="1" hidden="1" x14ac:dyDescent="0.3">
      <c r="A543" s="172"/>
      <c r="B543" s="172"/>
      <c r="C543" s="172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  <c r="AE543" s="173"/>
      <c r="AF543" s="173"/>
      <c r="AG543" s="173"/>
      <c r="AH543" s="173"/>
      <c r="AI543" s="173"/>
      <c r="AJ543" s="173"/>
      <c r="AK543" s="173"/>
      <c r="AL543" s="173"/>
      <c r="AM543" s="173"/>
      <c r="AN543" s="173"/>
      <c r="AO543" s="173"/>
      <c r="AP543" s="173"/>
      <c r="AQ543" s="173"/>
      <c r="AR543" s="173"/>
      <c r="AS543" s="172"/>
      <c r="AT543" s="172"/>
      <c r="AU543" s="172"/>
      <c r="AV543" s="172"/>
      <c r="AW543" s="172"/>
      <c r="AX543" s="172"/>
      <c r="AY543" s="172"/>
      <c r="AZ543" s="172"/>
      <c r="BA543" s="172"/>
      <c r="BB543" s="172"/>
      <c r="BC543" s="172"/>
      <c r="BD543" s="172"/>
      <c r="BE543" s="172"/>
      <c r="BF543" s="172"/>
      <c r="BG543" s="172"/>
      <c r="BH543" s="172"/>
      <c r="BI543" s="172"/>
      <c r="BJ543" s="172"/>
      <c r="BK543" s="172"/>
      <c r="BL543" s="172"/>
      <c r="BM543" s="172"/>
      <c r="BN543" s="172"/>
      <c r="BO543" s="172"/>
      <c r="BP543" s="172"/>
      <c r="BQ543" s="172"/>
      <c r="BR543" s="172"/>
      <c r="BS543" s="172"/>
      <c r="BT543" s="172"/>
      <c r="BU543" s="172"/>
      <c r="BV543" s="172"/>
      <c r="BW543" s="172"/>
      <c r="BX543" s="172"/>
      <c r="BY543" s="174"/>
      <c r="BZ543" s="172"/>
      <c r="CA543" s="172"/>
      <c r="CD543" s="194"/>
      <c r="CE543" s="194"/>
      <c r="CF543" s="194"/>
      <c r="CG543" s="194"/>
      <c r="CH543" s="195"/>
      <c r="CI543" s="194"/>
      <c r="CJ543" s="194"/>
      <c r="CK543" s="194"/>
      <c r="CL543" s="196"/>
      <c r="CM543" s="196"/>
      <c r="CN543" s="194"/>
      <c r="CO543" s="197"/>
      <c r="CP543" s="196"/>
      <c r="CQ543" s="196"/>
      <c r="CR543" s="196"/>
      <c r="CS543" s="196"/>
      <c r="CT543" s="196"/>
      <c r="CU543" s="196"/>
      <c r="CV543" s="194"/>
      <c r="CW543" s="194"/>
      <c r="CX543" s="194"/>
      <c r="CY543" s="194"/>
      <c r="CZ543" s="194"/>
      <c r="DA543" s="194"/>
      <c r="DB543" s="194"/>
      <c r="DC543" s="194"/>
      <c r="DD543" s="194"/>
      <c r="DE543" s="194"/>
      <c r="DF543" s="196"/>
      <c r="DG543" s="198"/>
      <c r="DH543" s="194"/>
      <c r="DI543" s="194"/>
    </row>
    <row r="544" spans="1:113" s="24" customFormat="1" hidden="1" x14ac:dyDescent="0.3">
      <c r="A544" s="172"/>
      <c r="B544" s="172"/>
      <c r="C544" s="172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  <c r="AE544" s="173"/>
      <c r="AF544" s="173"/>
      <c r="AG544" s="173"/>
      <c r="AH544" s="173"/>
      <c r="AI544" s="173"/>
      <c r="AJ544" s="173"/>
      <c r="AK544" s="173"/>
      <c r="AL544" s="173"/>
      <c r="AM544" s="173"/>
      <c r="AN544" s="173"/>
      <c r="AO544" s="173"/>
      <c r="AP544" s="173"/>
      <c r="AQ544" s="173"/>
      <c r="AR544" s="173"/>
      <c r="AS544" s="172"/>
      <c r="AT544" s="172"/>
      <c r="AU544" s="172"/>
      <c r="AV544" s="172"/>
      <c r="AW544" s="172"/>
      <c r="AX544" s="172"/>
      <c r="AY544" s="172"/>
      <c r="AZ544" s="172"/>
      <c r="BA544" s="172"/>
      <c r="BB544" s="172"/>
      <c r="BC544" s="172"/>
      <c r="BD544" s="172"/>
      <c r="BE544" s="172"/>
      <c r="BF544" s="172"/>
      <c r="BG544" s="172"/>
      <c r="BH544" s="172"/>
      <c r="BI544" s="172"/>
      <c r="BJ544" s="172"/>
      <c r="BK544" s="172"/>
      <c r="BL544" s="172"/>
      <c r="BM544" s="172"/>
      <c r="BN544" s="172"/>
      <c r="BO544" s="172"/>
      <c r="BP544" s="172"/>
      <c r="BQ544" s="172"/>
      <c r="BR544" s="172"/>
      <c r="BS544" s="172"/>
      <c r="BT544" s="172"/>
      <c r="BU544" s="172"/>
      <c r="BV544" s="172"/>
      <c r="BW544" s="172"/>
      <c r="BX544" s="172"/>
      <c r="BY544" s="174"/>
      <c r="BZ544" s="172"/>
      <c r="CA544" s="172"/>
      <c r="CD544" s="194"/>
      <c r="CE544" s="194"/>
      <c r="CF544" s="194"/>
      <c r="CG544" s="194"/>
      <c r="CH544" s="195"/>
      <c r="CI544" s="194"/>
      <c r="CJ544" s="194"/>
      <c r="CK544" s="194"/>
      <c r="CL544" s="196"/>
      <c r="CM544" s="196"/>
      <c r="CN544" s="194"/>
      <c r="CO544" s="197"/>
      <c r="CP544" s="196"/>
      <c r="CQ544" s="196"/>
      <c r="CR544" s="196"/>
      <c r="CS544" s="196"/>
      <c r="CT544" s="196"/>
      <c r="CU544" s="196"/>
      <c r="CV544" s="194"/>
      <c r="CW544" s="194"/>
      <c r="CX544" s="194"/>
      <c r="CY544" s="194"/>
      <c r="CZ544" s="194"/>
      <c r="DA544" s="194"/>
      <c r="DB544" s="194"/>
      <c r="DC544" s="194"/>
      <c r="DD544" s="194"/>
      <c r="DE544" s="194"/>
      <c r="DF544" s="196"/>
      <c r="DG544" s="198"/>
      <c r="DH544" s="194"/>
      <c r="DI544" s="194"/>
    </row>
    <row r="545" spans="1:113" s="24" customFormat="1" hidden="1" x14ac:dyDescent="0.3">
      <c r="A545" s="172"/>
      <c r="B545" s="172"/>
      <c r="C545" s="172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  <c r="AE545" s="173"/>
      <c r="AF545" s="173"/>
      <c r="AG545" s="173"/>
      <c r="AH545" s="173"/>
      <c r="AI545" s="173"/>
      <c r="AJ545" s="173"/>
      <c r="AK545" s="173"/>
      <c r="AL545" s="173"/>
      <c r="AM545" s="173"/>
      <c r="AN545" s="173"/>
      <c r="AO545" s="173"/>
      <c r="AP545" s="173"/>
      <c r="AQ545" s="173"/>
      <c r="AR545" s="173"/>
      <c r="AS545" s="172"/>
      <c r="AT545" s="172"/>
      <c r="AU545" s="172"/>
      <c r="AV545" s="172"/>
      <c r="AW545" s="172"/>
      <c r="AX545" s="172"/>
      <c r="AY545" s="172"/>
      <c r="AZ545" s="172"/>
      <c r="BA545" s="172"/>
      <c r="BB545" s="172"/>
      <c r="BC545" s="172"/>
      <c r="BD545" s="172"/>
      <c r="BE545" s="172"/>
      <c r="BF545" s="172"/>
      <c r="BG545" s="172"/>
      <c r="BH545" s="172"/>
      <c r="BI545" s="172"/>
      <c r="BJ545" s="172"/>
      <c r="BK545" s="172"/>
      <c r="BL545" s="172"/>
      <c r="BM545" s="172"/>
      <c r="BN545" s="172"/>
      <c r="BO545" s="172"/>
      <c r="BP545" s="172"/>
      <c r="BQ545" s="172"/>
      <c r="BR545" s="172"/>
      <c r="BS545" s="172"/>
      <c r="BT545" s="172"/>
      <c r="BU545" s="172"/>
      <c r="BV545" s="172"/>
      <c r="BW545" s="172"/>
      <c r="BX545" s="172"/>
      <c r="BY545" s="174"/>
      <c r="BZ545" s="172"/>
      <c r="CA545" s="172"/>
      <c r="CD545" s="194"/>
      <c r="CE545" s="194"/>
      <c r="CF545" s="194"/>
      <c r="CG545" s="194"/>
      <c r="CH545" s="195"/>
      <c r="CI545" s="194"/>
      <c r="CJ545" s="194"/>
      <c r="CK545" s="194"/>
      <c r="CL545" s="196"/>
      <c r="CM545" s="196"/>
      <c r="CN545" s="194"/>
      <c r="CO545" s="197"/>
      <c r="CP545" s="196"/>
      <c r="CQ545" s="196"/>
      <c r="CR545" s="196"/>
      <c r="CS545" s="196"/>
      <c r="CT545" s="196"/>
      <c r="CU545" s="196"/>
      <c r="CV545" s="194"/>
      <c r="CW545" s="194"/>
      <c r="CX545" s="194"/>
      <c r="CY545" s="194"/>
      <c r="CZ545" s="194"/>
      <c r="DA545" s="194"/>
      <c r="DB545" s="194"/>
      <c r="DC545" s="194"/>
      <c r="DD545" s="194"/>
      <c r="DE545" s="194"/>
      <c r="DF545" s="196"/>
      <c r="DG545" s="198"/>
      <c r="DH545" s="194"/>
      <c r="DI545" s="194"/>
    </row>
    <row r="546" spans="1:113" s="24" customFormat="1" hidden="1" x14ac:dyDescent="0.3">
      <c r="A546" s="172"/>
      <c r="B546" s="172"/>
      <c r="C546" s="172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  <c r="AE546" s="173"/>
      <c r="AF546" s="173"/>
      <c r="AG546" s="173"/>
      <c r="AH546" s="173"/>
      <c r="AI546" s="173"/>
      <c r="AJ546" s="173"/>
      <c r="AK546" s="173"/>
      <c r="AL546" s="173"/>
      <c r="AM546" s="173"/>
      <c r="AN546" s="173"/>
      <c r="AO546" s="173"/>
      <c r="AP546" s="173"/>
      <c r="AQ546" s="173"/>
      <c r="AR546" s="173"/>
      <c r="AS546" s="172"/>
      <c r="AT546" s="172"/>
      <c r="AU546" s="172"/>
      <c r="AV546" s="172"/>
      <c r="AW546" s="172"/>
      <c r="AX546" s="172"/>
      <c r="AY546" s="172"/>
      <c r="AZ546" s="172"/>
      <c r="BA546" s="172"/>
      <c r="BB546" s="172"/>
      <c r="BC546" s="172"/>
      <c r="BD546" s="172"/>
      <c r="BE546" s="172"/>
      <c r="BF546" s="172"/>
      <c r="BG546" s="172"/>
      <c r="BH546" s="172"/>
      <c r="BI546" s="172"/>
      <c r="BJ546" s="172"/>
      <c r="BK546" s="172"/>
      <c r="BL546" s="172"/>
      <c r="BM546" s="172"/>
      <c r="BN546" s="172"/>
      <c r="BO546" s="172"/>
      <c r="BP546" s="172"/>
      <c r="BQ546" s="172"/>
      <c r="BR546" s="172"/>
      <c r="BS546" s="172"/>
      <c r="BT546" s="172"/>
      <c r="BU546" s="172"/>
      <c r="BV546" s="172"/>
      <c r="BW546" s="172"/>
      <c r="BX546" s="172"/>
      <c r="BY546" s="174"/>
      <c r="BZ546" s="172"/>
      <c r="CA546" s="172"/>
      <c r="CD546" s="194"/>
      <c r="CE546" s="194"/>
      <c r="CF546" s="194"/>
      <c r="CG546" s="194"/>
      <c r="CH546" s="195"/>
      <c r="CI546" s="194"/>
      <c r="CJ546" s="194"/>
      <c r="CK546" s="194"/>
      <c r="CL546" s="196"/>
      <c r="CM546" s="196"/>
      <c r="CN546" s="194"/>
      <c r="CO546" s="197"/>
      <c r="CP546" s="196"/>
      <c r="CQ546" s="196"/>
      <c r="CR546" s="196"/>
      <c r="CS546" s="196"/>
      <c r="CT546" s="196"/>
      <c r="CU546" s="196"/>
      <c r="CV546" s="194"/>
      <c r="CW546" s="194"/>
      <c r="CX546" s="194"/>
      <c r="CY546" s="194"/>
      <c r="CZ546" s="194"/>
      <c r="DA546" s="194"/>
      <c r="DB546" s="194"/>
      <c r="DC546" s="194"/>
      <c r="DD546" s="194"/>
      <c r="DE546" s="194"/>
      <c r="DF546" s="196"/>
      <c r="DG546" s="198"/>
      <c r="DH546" s="194"/>
      <c r="DI546" s="194"/>
    </row>
    <row r="547" spans="1:113" s="24" customFormat="1" hidden="1" x14ac:dyDescent="0.3">
      <c r="A547" s="172"/>
      <c r="B547" s="172"/>
      <c r="C547" s="172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  <c r="AE547" s="173"/>
      <c r="AF547" s="173"/>
      <c r="AG547" s="173"/>
      <c r="AH547" s="173"/>
      <c r="AI547" s="173"/>
      <c r="AJ547" s="173"/>
      <c r="AK547" s="173"/>
      <c r="AL547" s="173"/>
      <c r="AM547" s="173"/>
      <c r="AN547" s="173"/>
      <c r="AO547" s="173"/>
      <c r="AP547" s="173"/>
      <c r="AQ547" s="173"/>
      <c r="AR547" s="173"/>
      <c r="AS547" s="172"/>
      <c r="AT547" s="172"/>
      <c r="AU547" s="172"/>
      <c r="AV547" s="172"/>
      <c r="AW547" s="172"/>
      <c r="AX547" s="172"/>
      <c r="AY547" s="172"/>
      <c r="AZ547" s="172"/>
      <c r="BA547" s="172"/>
      <c r="BB547" s="172"/>
      <c r="BC547" s="172"/>
      <c r="BD547" s="172"/>
      <c r="BE547" s="172"/>
      <c r="BF547" s="172"/>
      <c r="BG547" s="172"/>
      <c r="BH547" s="172"/>
      <c r="BI547" s="172"/>
      <c r="BJ547" s="172"/>
      <c r="BK547" s="172"/>
      <c r="BL547" s="172"/>
      <c r="BM547" s="172"/>
      <c r="BN547" s="172"/>
      <c r="BO547" s="172"/>
      <c r="BP547" s="172"/>
      <c r="BQ547" s="172"/>
      <c r="BR547" s="172"/>
      <c r="BS547" s="172"/>
      <c r="BT547" s="172"/>
      <c r="BU547" s="172"/>
      <c r="BV547" s="172"/>
      <c r="BW547" s="172"/>
      <c r="BX547" s="172"/>
      <c r="BY547" s="174"/>
      <c r="BZ547" s="172"/>
      <c r="CA547" s="172"/>
      <c r="CD547" s="194"/>
      <c r="CE547" s="194"/>
      <c r="CF547" s="194"/>
      <c r="CG547" s="194"/>
      <c r="CH547" s="195"/>
      <c r="CI547" s="194"/>
      <c r="CJ547" s="194"/>
      <c r="CK547" s="194"/>
      <c r="CL547" s="196"/>
      <c r="CM547" s="196"/>
      <c r="CN547" s="194"/>
      <c r="CO547" s="197"/>
      <c r="CP547" s="196"/>
      <c r="CQ547" s="196"/>
      <c r="CR547" s="196"/>
      <c r="CS547" s="196"/>
      <c r="CT547" s="196"/>
      <c r="CU547" s="196"/>
      <c r="CV547" s="194"/>
      <c r="CW547" s="194"/>
      <c r="CX547" s="194"/>
      <c r="CY547" s="194"/>
      <c r="CZ547" s="194"/>
      <c r="DA547" s="194"/>
      <c r="DB547" s="194"/>
      <c r="DC547" s="194"/>
      <c r="DD547" s="194"/>
      <c r="DE547" s="194"/>
      <c r="DF547" s="196"/>
      <c r="DG547" s="198"/>
      <c r="DH547" s="194"/>
      <c r="DI547" s="194"/>
    </row>
    <row r="548" spans="1:113" s="24" customFormat="1" hidden="1" x14ac:dyDescent="0.3">
      <c r="A548" s="172"/>
      <c r="B548" s="172"/>
      <c r="C548" s="172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  <c r="AE548" s="173"/>
      <c r="AF548" s="173"/>
      <c r="AG548" s="173"/>
      <c r="AH548" s="173"/>
      <c r="AI548" s="173"/>
      <c r="AJ548" s="173"/>
      <c r="AK548" s="173"/>
      <c r="AL548" s="173"/>
      <c r="AM548" s="173"/>
      <c r="AN548" s="173"/>
      <c r="AO548" s="173"/>
      <c r="AP548" s="173"/>
      <c r="AQ548" s="173"/>
      <c r="AR548" s="173"/>
      <c r="AS548" s="172"/>
      <c r="AT548" s="172"/>
      <c r="AU548" s="172"/>
      <c r="AV548" s="172"/>
      <c r="AW548" s="172"/>
      <c r="AX548" s="172"/>
      <c r="AY548" s="172"/>
      <c r="AZ548" s="172"/>
      <c r="BA548" s="172"/>
      <c r="BB548" s="172"/>
      <c r="BC548" s="172"/>
      <c r="BD548" s="172"/>
      <c r="BE548" s="172"/>
      <c r="BF548" s="172"/>
      <c r="BG548" s="172"/>
      <c r="BH548" s="172"/>
      <c r="BI548" s="172"/>
      <c r="BJ548" s="172"/>
      <c r="BK548" s="172"/>
      <c r="BL548" s="172"/>
      <c r="BM548" s="172"/>
      <c r="BN548" s="172"/>
      <c r="BO548" s="172"/>
      <c r="BP548" s="172"/>
      <c r="BQ548" s="172"/>
      <c r="BR548" s="172"/>
      <c r="BS548" s="172"/>
      <c r="BT548" s="172"/>
      <c r="BU548" s="172"/>
      <c r="BV548" s="172"/>
      <c r="BW548" s="172"/>
      <c r="BX548" s="172"/>
      <c r="BY548" s="174"/>
      <c r="BZ548" s="172"/>
      <c r="CA548" s="172"/>
      <c r="CD548" s="194"/>
      <c r="CE548" s="194"/>
      <c r="CF548" s="194"/>
      <c r="CG548" s="194"/>
      <c r="CH548" s="195"/>
      <c r="CI548" s="194"/>
      <c r="CJ548" s="194"/>
      <c r="CK548" s="194"/>
      <c r="CL548" s="196"/>
      <c r="CM548" s="196"/>
      <c r="CN548" s="194"/>
      <c r="CO548" s="197"/>
      <c r="CP548" s="196"/>
      <c r="CQ548" s="196"/>
      <c r="CR548" s="196"/>
      <c r="CS548" s="196"/>
      <c r="CT548" s="196"/>
      <c r="CU548" s="196"/>
      <c r="CV548" s="194"/>
      <c r="CW548" s="194"/>
      <c r="CX548" s="194"/>
      <c r="CY548" s="194"/>
      <c r="CZ548" s="194"/>
      <c r="DA548" s="194"/>
      <c r="DB548" s="194"/>
      <c r="DC548" s="194"/>
      <c r="DD548" s="194"/>
      <c r="DE548" s="194"/>
      <c r="DF548" s="196"/>
      <c r="DG548" s="198"/>
      <c r="DH548" s="194"/>
      <c r="DI548" s="194"/>
    </row>
    <row r="549" spans="1:113" s="24" customFormat="1" hidden="1" x14ac:dyDescent="0.3">
      <c r="A549" s="172"/>
      <c r="B549" s="172"/>
      <c r="C549" s="172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  <c r="AE549" s="173"/>
      <c r="AF549" s="173"/>
      <c r="AG549" s="173"/>
      <c r="AH549" s="173"/>
      <c r="AI549" s="173"/>
      <c r="AJ549" s="173"/>
      <c r="AK549" s="173"/>
      <c r="AL549" s="173"/>
      <c r="AM549" s="173"/>
      <c r="AN549" s="173"/>
      <c r="AO549" s="173"/>
      <c r="AP549" s="173"/>
      <c r="AQ549" s="173"/>
      <c r="AR549" s="173"/>
      <c r="AS549" s="172"/>
      <c r="AT549" s="172"/>
      <c r="AU549" s="172"/>
      <c r="AV549" s="172"/>
      <c r="AW549" s="172"/>
      <c r="AX549" s="172"/>
      <c r="AY549" s="172"/>
      <c r="AZ549" s="172"/>
      <c r="BA549" s="172"/>
      <c r="BB549" s="172"/>
      <c r="BC549" s="172"/>
      <c r="BD549" s="172"/>
      <c r="BE549" s="172"/>
      <c r="BF549" s="172"/>
      <c r="BG549" s="172"/>
      <c r="BH549" s="172"/>
      <c r="BI549" s="172"/>
      <c r="BJ549" s="172"/>
      <c r="BK549" s="172"/>
      <c r="BL549" s="172"/>
      <c r="BM549" s="172"/>
      <c r="BN549" s="172"/>
      <c r="BO549" s="172"/>
      <c r="BP549" s="172"/>
      <c r="BQ549" s="172"/>
      <c r="BR549" s="172"/>
      <c r="BS549" s="172"/>
      <c r="BT549" s="172"/>
      <c r="BU549" s="172"/>
      <c r="BV549" s="172"/>
      <c r="BW549" s="172"/>
      <c r="BX549" s="172"/>
      <c r="BY549" s="174"/>
      <c r="BZ549" s="172"/>
      <c r="CA549" s="172"/>
      <c r="CD549" s="194"/>
      <c r="CE549" s="194"/>
      <c r="CF549" s="194"/>
      <c r="CG549" s="194"/>
      <c r="CH549" s="195"/>
      <c r="CI549" s="194"/>
      <c r="CJ549" s="194"/>
      <c r="CK549" s="194"/>
      <c r="CL549" s="196"/>
      <c r="CM549" s="196"/>
      <c r="CN549" s="194"/>
      <c r="CO549" s="197"/>
      <c r="CP549" s="196"/>
      <c r="CQ549" s="196"/>
      <c r="CR549" s="196"/>
      <c r="CS549" s="196"/>
      <c r="CT549" s="196"/>
      <c r="CU549" s="196"/>
      <c r="CV549" s="194"/>
      <c r="CW549" s="194"/>
      <c r="CX549" s="194"/>
      <c r="CY549" s="194"/>
      <c r="CZ549" s="194"/>
      <c r="DA549" s="194"/>
      <c r="DB549" s="194"/>
      <c r="DC549" s="194"/>
      <c r="DD549" s="194"/>
      <c r="DE549" s="194"/>
      <c r="DF549" s="196"/>
      <c r="DG549" s="198"/>
      <c r="DH549" s="194"/>
      <c r="DI549" s="194"/>
    </row>
    <row r="550" spans="1:113" s="24" customFormat="1" hidden="1" x14ac:dyDescent="0.3">
      <c r="A550" s="172"/>
      <c r="B550" s="172"/>
      <c r="C550" s="172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  <c r="AE550" s="173"/>
      <c r="AF550" s="173"/>
      <c r="AG550" s="173"/>
      <c r="AH550" s="173"/>
      <c r="AI550" s="173"/>
      <c r="AJ550" s="173"/>
      <c r="AK550" s="173"/>
      <c r="AL550" s="173"/>
      <c r="AM550" s="173"/>
      <c r="AN550" s="173"/>
      <c r="AO550" s="173"/>
      <c r="AP550" s="173"/>
      <c r="AQ550" s="173"/>
      <c r="AR550" s="173"/>
      <c r="AS550" s="172"/>
      <c r="AT550" s="172"/>
      <c r="AU550" s="172"/>
      <c r="AV550" s="172"/>
      <c r="AW550" s="172"/>
      <c r="AX550" s="172"/>
      <c r="AY550" s="172"/>
      <c r="AZ550" s="172"/>
      <c r="BA550" s="172"/>
      <c r="BB550" s="172"/>
      <c r="BC550" s="172"/>
      <c r="BD550" s="172"/>
      <c r="BE550" s="172"/>
      <c r="BF550" s="172"/>
      <c r="BG550" s="172"/>
      <c r="BH550" s="172"/>
      <c r="BI550" s="172"/>
      <c r="BJ550" s="172"/>
      <c r="BK550" s="172"/>
      <c r="BL550" s="172"/>
      <c r="BM550" s="172"/>
      <c r="BN550" s="172"/>
      <c r="BO550" s="172"/>
      <c r="BP550" s="172"/>
      <c r="BQ550" s="172"/>
      <c r="BR550" s="172"/>
      <c r="BS550" s="172"/>
      <c r="BT550" s="172"/>
      <c r="BU550" s="172"/>
      <c r="BV550" s="172"/>
      <c r="BW550" s="172"/>
      <c r="BX550" s="172"/>
      <c r="BY550" s="174"/>
      <c r="BZ550" s="172"/>
      <c r="CA550" s="172"/>
      <c r="CD550" s="194"/>
      <c r="CE550" s="194"/>
      <c r="CF550" s="194"/>
      <c r="CG550" s="194"/>
      <c r="CH550" s="195"/>
      <c r="CI550" s="194"/>
      <c r="CJ550" s="194"/>
      <c r="CK550" s="194"/>
      <c r="CL550" s="196"/>
      <c r="CM550" s="196"/>
      <c r="CN550" s="194"/>
      <c r="CO550" s="197"/>
      <c r="CP550" s="196"/>
      <c r="CQ550" s="196"/>
      <c r="CR550" s="196"/>
      <c r="CS550" s="196"/>
      <c r="CT550" s="196"/>
      <c r="CU550" s="196"/>
      <c r="CV550" s="194"/>
      <c r="CW550" s="194"/>
      <c r="CX550" s="194"/>
      <c r="CY550" s="194"/>
      <c r="CZ550" s="194"/>
      <c r="DA550" s="194"/>
      <c r="DB550" s="194"/>
      <c r="DC550" s="194"/>
      <c r="DD550" s="194"/>
      <c r="DE550" s="194"/>
      <c r="DF550" s="196"/>
      <c r="DG550" s="198"/>
      <c r="DH550" s="194"/>
      <c r="DI550" s="194"/>
    </row>
    <row r="551" spans="1:113" s="24" customFormat="1" hidden="1" x14ac:dyDescent="0.3">
      <c r="A551" s="172"/>
      <c r="B551" s="172"/>
      <c r="C551" s="172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  <c r="AE551" s="173"/>
      <c r="AF551" s="173"/>
      <c r="AG551" s="173"/>
      <c r="AH551" s="173"/>
      <c r="AI551" s="173"/>
      <c r="AJ551" s="173"/>
      <c r="AK551" s="173"/>
      <c r="AL551" s="173"/>
      <c r="AM551" s="173"/>
      <c r="AN551" s="173"/>
      <c r="AO551" s="173"/>
      <c r="AP551" s="173"/>
      <c r="AQ551" s="173"/>
      <c r="AR551" s="173"/>
      <c r="AS551" s="172"/>
      <c r="AT551" s="172"/>
      <c r="AU551" s="172"/>
      <c r="AV551" s="172"/>
      <c r="AW551" s="172"/>
      <c r="AX551" s="172"/>
      <c r="AY551" s="172"/>
      <c r="AZ551" s="172"/>
      <c r="BA551" s="172"/>
      <c r="BB551" s="172"/>
      <c r="BC551" s="172"/>
      <c r="BD551" s="172"/>
      <c r="BE551" s="172"/>
      <c r="BF551" s="172"/>
      <c r="BG551" s="172"/>
      <c r="BH551" s="172"/>
      <c r="BI551" s="172"/>
      <c r="BJ551" s="172"/>
      <c r="BK551" s="172"/>
      <c r="BL551" s="172"/>
      <c r="BM551" s="172"/>
      <c r="BN551" s="172"/>
      <c r="BO551" s="172"/>
      <c r="BP551" s="172"/>
      <c r="BQ551" s="172"/>
      <c r="BR551" s="172"/>
      <c r="BS551" s="172"/>
      <c r="BT551" s="172"/>
      <c r="BU551" s="172"/>
      <c r="BV551" s="172"/>
      <c r="BW551" s="172"/>
      <c r="BX551" s="172"/>
      <c r="BY551" s="174"/>
      <c r="BZ551" s="172"/>
      <c r="CA551" s="172"/>
      <c r="CD551" s="194"/>
      <c r="CE551" s="194"/>
      <c r="CF551" s="194"/>
      <c r="CG551" s="194"/>
      <c r="CH551" s="195"/>
      <c r="CI551" s="194"/>
      <c r="CJ551" s="194"/>
      <c r="CK551" s="194"/>
      <c r="CL551" s="196"/>
      <c r="CM551" s="196"/>
      <c r="CN551" s="194"/>
      <c r="CO551" s="197"/>
      <c r="CP551" s="196"/>
      <c r="CQ551" s="196"/>
      <c r="CR551" s="196"/>
      <c r="CS551" s="196"/>
      <c r="CT551" s="196"/>
      <c r="CU551" s="196"/>
      <c r="CV551" s="194"/>
      <c r="CW551" s="194"/>
      <c r="CX551" s="194"/>
      <c r="CY551" s="194"/>
      <c r="CZ551" s="194"/>
      <c r="DA551" s="194"/>
      <c r="DB551" s="194"/>
      <c r="DC551" s="194"/>
      <c r="DD551" s="194"/>
      <c r="DE551" s="194"/>
      <c r="DF551" s="196"/>
      <c r="DG551" s="198"/>
      <c r="DH551" s="194"/>
      <c r="DI551" s="194"/>
    </row>
    <row r="552" spans="1:113" s="24" customFormat="1" hidden="1" x14ac:dyDescent="0.3">
      <c r="A552" s="172"/>
      <c r="B552" s="172"/>
      <c r="C552" s="172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  <c r="AE552" s="173"/>
      <c r="AF552" s="173"/>
      <c r="AG552" s="173"/>
      <c r="AH552" s="173"/>
      <c r="AI552" s="173"/>
      <c r="AJ552" s="173"/>
      <c r="AK552" s="173"/>
      <c r="AL552" s="173"/>
      <c r="AM552" s="173"/>
      <c r="AN552" s="173"/>
      <c r="AO552" s="173"/>
      <c r="AP552" s="173"/>
      <c r="AQ552" s="173"/>
      <c r="AR552" s="173"/>
      <c r="AS552" s="172"/>
      <c r="AT552" s="172"/>
      <c r="AU552" s="172"/>
      <c r="AV552" s="172"/>
      <c r="AW552" s="172"/>
      <c r="AX552" s="172"/>
      <c r="AY552" s="172"/>
      <c r="AZ552" s="172"/>
      <c r="BA552" s="172"/>
      <c r="BB552" s="172"/>
      <c r="BC552" s="172"/>
      <c r="BD552" s="172"/>
      <c r="BE552" s="172"/>
      <c r="BF552" s="172"/>
      <c r="BG552" s="172"/>
      <c r="BH552" s="172"/>
      <c r="BI552" s="172"/>
      <c r="BJ552" s="172"/>
      <c r="BK552" s="172"/>
      <c r="BL552" s="172"/>
      <c r="BM552" s="172"/>
      <c r="BN552" s="172"/>
      <c r="BO552" s="172"/>
      <c r="BP552" s="172"/>
      <c r="BQ552" s="172"/>
      <c r="BR552" s="172"/>
      <c r="BS552" s="172"/>
      <c r="BT552" s="172"/>
      <c r="BU552" s="172"/>
      <c r="BV552" s="172"/>
      <c r="BW552" s="172"/>
      <c r="BX552" s="172"/>
      <c r="BY552" s="174"/>
      <c r="BZ552" s="172"/>
      <c r="CA552" s="172"/>
      <c r="CD552" s="194"/>
      <c r="CE552" s="194"/>
      <c r="CF552" s="194"/>
      <c r="CG552" s="194"/>
      <c r="CH552" s="195"/>
      <c r="CI552" s="194"/>
      <c r="CJ552" s="194"/>
      <c r="CK552" s="194"/>
      <c r="CL552" s="196"/>
      <c r="CM552" s="196"/>
      <c r="CN552" s="194"/>
      <c r="CO552" s="197"/>
      <c r="CP552" s="196"/>
      <c r="CQ552" s="196"/>
      <c r="CR552" s="196"/>
      <c r="CS552" s="196"/>
      <c r="CT552" s="196"/>
      <c r="CU552" s="196"/>
      <c r="CV552" s="194"/>
      <c r="CW552" s="194"/>
      <c r="CX552" s="194"/>
      <c r="CY552" s="194"/>
      <c r="CZ552" s="194"/>
      <c r="DA552" s="194"/>
      <c r="DB552" s="194"/>
      <c r="DC552" s="194"/>
      <c r="DD552" s="194"/>
      <c r="DE552" s="194"/>
      <c r="DF552" s="196"/>
      <c r="DG552" s="198"/>
      <c r="DH552" s="194"/>
      <c r="DI552" s="194"/>
    </row>
    <row r="553" spans="1:113" s="24" customFormat="1" hidden="1" x14ac:dyDescent="0.3">
      <c r="A553" s="172"/>
      <c r="B553" s="172"/>
      <c r="C553" s="172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  <c r="AE553" s="173"/>
      <c r="AF553" s="173"/>
      <c r="AG553" s="173"/>
      <c r="AH553" s="173"/>
      <c r="AI553" s="173"/>
      <c r="AJ553" s="173"/>
      <c r="AK553" s="173"/>
      <c r="AL553" s="173"/>
      <c r="AM553" s="173"/>
      <c r="AN553" s="173"/>
      <c r="AO553" s="173"/>
      <c r="AP553" s="173"/>
      <c r="AQ553" s="173"/>
      <c r="AR553" s="173"/>
      <c r="AS553" s="172"/>
      <c r="AT553" s="172"/>
      <c r="AU553" s="172"/>
      <c r="AV553" s="172"/>
      <c r="AW553" s="172"/>
      <c r="AX553" s="172"/>
      <c r="AY553" s="172"/>
      <c r="AZ553" s="172"/>
      <c r="BA553" s="172"/>
      <c r="BB553" s="172"/>
      <c r="BC553" s="172"/>
      <c r="BD553" s="172"/>
      <c r="BE553" s="172"/>
      <c r="BF553" s="172"/>
      <c r="BG553" s="172"/>
      <c r="BH553" s="172"/>
      <c r="BI553" s="172"/>
      <c r="BJ553" s="172"/>
      <c r="BK553" s="172"/>
      <c r="BL553" s="172"/>
      <c r="BM553" s="172"/>
      <c r="BN553" s="172"/>
      <c r="BO553" s="172"/>
      <c r="BP553" s="172"/>
      <c r="BQ553" s="172"/>
      <c r="BR553" s="172"/>
      <c r="BS553" s="172"/>
      <c r="BT553" s="172"/>
      <c r="BU553" s="172"/>
      <c r="BV553" s="172"/>
      <c r="BW553" s="172"/>
      <c r="BX553" s="172"/>
      <c r="BY553" s="174"/>
      <c r="BZ553" s="172"/>
      <c r="CA553" s="172"/>
      <c r="CD553" s="194"/>
      <c r="CE553" s="194"/>
      <c r="CF553" s="194"/>
      <c r="CG553" s="194"/>
      <c r="CH553" s="195"/>
      <c r="CI553" s="194"/>
      <c r="CJ553" s="194"/>
      <c r="CK553" s="194"/>
      <c r="CL553" s="196"/>
      <c r="CM553" s="196"/>
      <c r="CN553" s="194"/>
      <c r="CO553" s="197"/>
      <c r="CP553" s="196"/>
      <c r="CQ553" s="196"/>
      <c r="CR553" s="196"/>
      <c r="CS553" s="196"/>
      <c r="CT553" s="196"/>
      <c r="CU553" s="196"/>
      <c r="CV553" s="194"/>
      <c r="CW553" s="194"/>
      <c r="CX553" s="194"/>
      <c r="CY553" s="194"/>
      <c r="CZ553" s="194"/>
      <c r="DA553" s="194"/>
      <c r="DB553" s="194"/>
      <c r="DC553" s="194"/>
      <c r="DD553" s="194"/>
      <c r="DE553" s="194"/>
      <c r="DF553" s="196"/>
      <c r="DG553" s="198"/>
      <c r="DH553" s="194"/>
      <c r="DI553" s="194"/>
    </row>
    <row r="554" spans="1:113" s="24" customFormat="1" hidden="1" x14ac:dyDescent="0.3">
      <c r="A554" s="172"/>
      <c r="B554" s="172"/>
      <c r="C554" s="172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  <c r="AE554" s="173"/>
      <c r="AF554" s="173"/>
      <c r="AG554" s="173"/>
      <c r="AH554" s="173"/>
      <c r="AI554" s="173"/>
      <c r="AJ554" s="173"/>
      <c r="AK554" s="173"/>
      <c r="AL554" s="173"/>
      <c r="AM554" s="173"/>
      <c r="AN554" s="173"/>
      <c r="AO554" s="173"/>
      <c r="AP554" s="173"/>
      <c r="AQ554" s="173"/>
      <c r="AR554" s="173"/>
      <c r="AS554" s="172"/>
      <c r="AT554" s="172"/>
      <c r="AU554" s="172"/>
      <c r="AV554" s="172"/>
      <c r="AW554" s="172"/>
      <c r="AX554" s="172"/>
      <c r="AY554" s="172"/>
      <c r="AZ554" s="172"/>
      <c r="BA554" s="172"/>
      <c r="BB554" s="172"/>
      <c r="BC554" s="172"/>
      <c r="BD554" s="172"/>
      <c r="BE554" s="172"/>
      <c r="BF554" s="172"/>
      <c r="BG554" s="172"/>
      <c r="BH554" s="172"/>
      <c r="BI554" s="172"/>
      <c r="BJ554" s="172"/>
      <c r="BK554" s="172"/>
      <c r="BL554" s="172"/>
      <c r="BM554" s="172"/>
      <c r="BN554" s="172"/>
      <c r="BO554" s="172"/>
      <c r="BP554" s="172"/>
      <c r="BQ554" s="172"/>
      <c r="BR554" s="172"/>
      <c r="BS554" s="172"/>
      <c r="BT554" s="172"/>
      <c r="BU554" s="172"/>
      <c r="BV554" s="172"/>
      <c r="BW554" s="172"/>
      <c r="BX554" s="172"/>
      <c r="BY554" s="174"/>
      <c r="BZ554" s="172"/>
      <c r="CA554" s="172"/>
      <c r="CD554" s="194"/>
      <c r="CE554" s="194"/>
      <c r="CF554" s="194"/>
      <c r="CG554" s="194"/>
      <c r="CH554" s="195"/>
      <c r="CI554" s="194"/>
      <c r="CJ554" s="194"/>
      <c r="CK554" s="194"/>
      <c r="CL554" s="196"/>
      <c r="CM554" s="196"/>
      <c r="CN554" s="194"/>
      <c r="CO554" s="197"/>
      <c r="CP554" s="196"/>
      <c r="CQ554" s="196"/>
      <c r="CR554" s="196"/>
      <c r="CS554" s="196"/>
      <c r="CT554" s="196"/>
      <c r="CU554" s="196"/>
      <c r="CV554" s="194"/>
      <c r="CW554" s="194"/>
      <c r="CX554" s="194"/>
      <c r="CY554" s="194"/>
      <c r="CZ554" s="194"/>
      <c r="DA554" s="194"/>
      <c r="DB554" s="194"/>
      <c r="DC554" s="194"/>
      <c r="DD554" s="194"/>
      <c r="DE554" s="194"/>
      <c r="DF554" s="196"/>
      <c r="DG554" s="198"/>
      <c r="DH554" s="194"/>
      <c r="DI554" s="194"/>
    </row>
    <row r="555" spans="1:113" s="24" customFormat="1" hidden="1" x14ac:dyDescent="0.3">
      <c r="A555" s="172"/>
      <c r="B555" s="172"/>
      <c r="C555" s="172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  <c r="AE555" s="173"/>
      <c r="AF555" s="173"/>
      <c r="AG555" s="173"/>
      <c r="AH555" s="173"/>
      <c r="AI555" s="173"/>
      <c r="AJ555" s="173"/>
      <c r="AK555" s="173"/>
      <c r="AL555" s="173"/>
      <c r="AM555" s="173"/>
      <c r="AN555" s="173"/>
      <c r="AO555" s="173"/>
      <c r="AP555" s="173"/>
      <c r="AQ555" s="173"/>
      <c r="AR555" s="173"/>
      <c r="AS555" s="172"/>
      <c r="AT555" s="172"/>
      <c r="AU555" s="172"/>
      <c r="AV555" s="172"/>
      <c r="AW555" s="172"/>
      <c r="AX555" s="172"/>
      <c r="AY555" s="172"/>
      <c r="AZ555" s="172"/>
      <c r="BA555" s="172"/>
      <c r="BB555" s="172"/>
      <c r="BC555" s="172"/>
      <c r="BD555" s="172"/>
      <c r="BE555" s="172"/>
      <c r="BF555" s="172"/>
      <c r="BG555" s="172"/>
      <c r="BH555" s="172"/>
      <c r="BI555" s="172"/>
      <c r="BJ555" s="172"/>
      <c r="BK555" s="172"/>
      <c r="BL555" s="172"/>
      <c r="BM555" s="172"/>
      <c r="BN555" s="172"/>
      <c r="BO555" s="172"/>
      <c r="BP555" s="172"/>
      <c r="BQ555" s="172"/>
      <c r="BR555" s="172"/>
      <c r="BS555" s="172"/>
      <c r="BT555" s="172"/>
      <c r="BU555" s="172"/>
      <c r="BV555" s="172"/>
      <c r="BW555" s="172"/>
      <c r="BX555" s="172"/>
      <c r="BY555" s="174"/>
      <c r="BZ555" s="172"/>
      <c r="CA555" s="172"/>
      <c r="CD555" s="194"/>
      <c r="CE555" s="194"/>
      <c r="CF555" s="194"/>
      <c r="CG555" s="194"/>
      <c r="CH555" s="195"/>
      <c r="CI555" s="194"/>
      <c r="CJ555" s="194"/>
      <c r="CK555" s="194"/>
      <c r="CL555" s="196"/>
      <c r="CM555" s="196"/>
      <c r="CN555" s="194"/>
      <c r="CO555" s="197"/>
      <c r="CP555" s="196"/>
      <c r="CQ555" s="196"/>
      <c r="CR555" s="196"/>
      <c r="CS555" s="196"/>
      <c r="CT555" s="196"/>
      <c r="CU555" s="196"/>
      <c r="CV555" s="194"/>
      <c r="CW555" s="194"/>
      <c r="CX555" s="194"/>
      <c r="CY555" s="194"/>
      <c r="CZ555" s="194"/>
      <c r="DA555" s="194"/>
      <c r="DB555" s="194"/>
      <c r="DC555" s="194"/>
      <c r="DD555" s="194"/>
      <c r="DE555" s="194"/>
      <c r="DF555" s="196"/>
      <c r="DG555" s="198"/>
      <c r="DH555" s="194"/>
      <c r="DI555" s="194"/>
    </row>
    <row r="556" spans="1:113" s="24" customFormat="1" hidden="1" x14ac:dyDescent="0.3">
      <c r="A556" s="172"/>
      <c r="B556" s="172"/>
      <c r="C556" s="172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  <c r="AE556" s="173"/>
      <c r="AF556" s="173"/>
      <c r="AG556" s="173"/>
      <c r="AH556" s="173"/>
      <c r="AI556" s="173"/>
      <c r="AJ556" s="173"/>
      <c r="AK556" s="173"/>
      <c r="AL556" s="173"/>
      <c r="AM556" s="173"/>
      <c r="AN556" s="173"/>
      <c r="AO556" s="173"/>
      <c r="AP556" s="173"/>
      <c r="AQ556" s="173"/>
      <c r="AR556" s="173"/>
      <c r="AS556" s="172"/>
      <c r="AT556" s="172"/>
      <c r="AU556" s="172"/>
      <c r="AV556" s="172"/>
      <c r="AW556" s="172"/>
      <c r="AX556" s="172"/>
      <c r="AY556" s="172"/>
      <c r="AZ556" s="172"/>
      <c r="BA556" s="172"/>
      <c r="BB556" s="172"/>
      <c r="BC556" s="172"/>
      <c r="BD556" s="172"/>
      <c r="BE556" s="172"/>
      <c r="BF556" s="172"/>
      <c r="BG556" s="172"/>
      <c r="BH556" s="172"/>
      <c r="BI556" s="172"/>
      <c r="BJ556" s="172"/>
      <c r="BK556" s="172"/>
      <c r="BL556" s="172"/>
      <c r="BM556" s="172"/>
      <c r="BN556" s="172"/>
      <c r="BO556" s="172"/>
      <c r="BP556" s="172"/>
      <c r="BQ556" s="172"/>
      <c r="BR556" s="172"/>
      <c r="BS556" s="172"/>
      <c r="BT556" s="172"/>
      <c r="BU556" s="172"/>
      <c r="BV556" s="172"/>
      <c r="BW556" s="172"/>
      <c r="BX556" s="172"/>
      <c r="BY556" s="174"/>
      <c r="BZ556" s="172"/>
      <c r="CA556" s="172"/>
      <c r="CD556" s="194"/>
      <c r="CE556" s="194"/>
      <c r="CF556" s="194"/>
      <c r="CG556" s="194"/>
      <c r="CH556" s="195"/>
      <c r="CI556" s="194"/>
      <c r="CJ556" s="194"/>
      <c r="CK556" s="194"/>
      <c r="CL556" s="196"/>
      <c r="CM556" s="196"/>
      <c r="CN556" s="194"/>
      <c r="CO556" s="197"/>
      <c r="CP556" s="196"/>
      <c r="CQ556" s="196"/>
      <c r="CR556" s="196"/>
      <c r="CS556" s="196"/>
      <c r="CT556" s="196"/>
      <c r="CU556" s="196"/>
      <c r="CV556" s="194"/>
      <c r="CW556" s="194"/>
      <c r="CX556" s="194"/>
      <c r="CY556" s="194"/>
      <c r="CZ556" s="194"/>
      <c r="DA556" s="194"/>
      <c r="DB556" s="194"/>
      <c r="DC556" s="194"/>
      <c r="DD556" s="194"/>
      <c r="DE556" s="194"/>
      <c r="DF556" s="196"/>
      <c r="DG556" s="198"/>
      <c r="DH556" s="194"/>
      <c r="DI556" s="194"/>
    </row>
    <row r="557" spans="1:113" s="24" customFormat="1" hidden="1" x14ac:dyDescent="0.3">
      <c r="A557" s="172"/>
      <c r="B557" s="172"/>
      <c r="C557" s="172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  <c r="AE557" s="173"/>
      <c r="AF557" s="173"/>
      <c r="AG557" s="173"/>
      <c r="AH557" s="173"/>
      <c r="AI557" s="173"/>
      <c r="AJ557" s="173"/>
      <c r="AK557" s="173"/>
      <c r="AL557" s="173"/>
      <c r="AM557" s="173"/>
      <c r="AN557" s="173"/>
      <c r="AO557" s="173"/>
      <c r="AP557" s="173"/>
      <c r="AQ557" s="173"/>
      <c r="AR557" s="173"/>
      <c r="AS557" s="172"/>
      <c r="AT557" s="172"/>
      <c r="AU557" s="172"/>
      <c r="AV557" s="172"/>
      <c r="AW557" s="172"/>
      <c r="AX557" s="172"/>
      <c r="AY557" s="172"/>
      <c r="AZ557" s="172"/>
      <c r="BA557" s="172"/>
      <c r="BB557" s="172"/>
      <c r="BC557" s="172"/>
      <c r="BD557" s="172"/>
      <c r="BE557" s="172"/>
      <c r="BF557" s="172"/>
      <c r="BG557" s="172"/>
      <c r="BH557" s="172"/>
      <c r="BI557" s="172"/>
      <c r="BJ557" s="172"/>
      <c r="BK557" s="172"/>
      <c r="BL557" s="172"/>
      <c r="BM557" s="172"/>
      <c r="BN557" s="172"/>
      <c r="BO557" s="172"/>
      <c r="BP557" s="172"/>
      <c r="BQ557" s="172"/>
      <c r="BR557" s="172"/>
      <c r="BS557" s="172"/>
      <c r="BT557" s="172"/>
      <c r="BU557" s="172"/>
      <c r="BV557" s="172"/>
      <c r="BW557" s="172"/>
      <c r="BX557" s="172"/>
      <c r="BY557" s="174"/>
      <c r="BZ557" s="172"/>
      <c r="CA557" s="172"/>
      <c r="CD557" s="194"/>
      <c r="CE557" s="194"/>
      <c r="CF557" s="194"/>
      <c r="CG557" s="194"/>
      <c r="CH557" s="195"/>
      <c r="CI557" s="194"/>
      <c r="CJ557" s="194"/>
      <c r="CK557" s="194"/>
      <c r="CL557" s="196"/>
      <c r="CM557" s="196"/>
      <c r="CN557" s="194"/>
      <c r="CO557" s="197"/>
      <c r="CP557" s="196"/>
      <c r="CQ557" s="196"/>
      <c r="CR557" s="196"/>
      <c r="CS557" s="196"/>
      <c r="CT557" s="196"/>
      <c r="CU557" s="196"/>
      <c r="CV557" s="194"/>
      <c r="CW557" s="194"/>
      <c r="CX557" s="194"/>
      <c r="CY557" s="194"/>
      <c r="CZ557" s="194"/>
      <c r="DA557" s="194"/>
      <c r="DB557" s="194"/>
      <c r="DC557" s="194"/>
      <c r="DD557" s="194"/>
      <c r="DE557" s="194"/>
      <c r="DF557" s="196"/>
      <c r="DG557" s="198"/>
      <c r="DH557" s="194"/>
      <c r="DI557" s="194"/>
    </row>
    <row r="558" spans="1:113" s="24" customFormat="1" hidden="1" x14ac:dyDescent="0.3">
      <c r="A558" s="172"/>
      <c r="B558" s="172"/>
      <c r="C558" s="172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  <c r="AE558" s="173"/>
      <c r="AF558" s="173"/>
      <c r="AG558" s="173"/>
      <c r="AH558" s="173"/>
      <c r="AI558" s="173"/>
      <c r="AJ558" s="173"/>
      <c r="AK558" s="173"/>
      <c r="AL558" s="173"/>
      <c r="AM558" s="173"/>
      <c r="AN558" s="173"/>
      <c r="AO558" s="173"/>
      <c r="AP558" s="173"/>
      <c r="AQ558" s="173"/>
      <c r="AR558" s="173"/>
      <c r="AS558" s="172"/>
      <c r="AT558" s="172"/>
      <c r="AU558" s="172"/>
      <c r="AV558" s="172"/>
      <c r="AW558" s="172"/>
      <c r="AX558" s="172"/>
      <c r="AY558" s="172"/>
      <c r="AZ558" s="172"/>
      <c r="BA558" s="172"/>
      <c r="BB558" s="172"/>
      <c r="BC558" s="172"/>
      <c r="BD558" s="172"/>
      <c r="BE558" s="172"/>
      <c r="BF558" s="172"/>
      <c r="BG558" s="172"/>
      <c r="BH558" s="172"/>
      <c r="BI558" s="172"/>
      <c r="BJ558" s="172"/>
      <c r="BK558" s="172"/>
      <c r="BL558" s="172"/>
      <c r="BM558" s="172"/>
      <c r="BN558" s="172"/>
      <c r="BO558" s="172"/>
      <c r="BP558" s="172"/>
      <c r="BQ558" s="172"/>
      <c r="BR558" s="172"/>
      <c r="BS558" s="172"/>
      <c r="BT558" s="172"/>
      <c r="BU558" s="172"/>
      <c r="BV558" s="172"/>
      <c r="BW558" s="172"/>
      <c r="BX558" s="172"/>
      <c r="BY558" s="174"/>
      <c r="BZ558" s="172"/>
      <c r="CA558" s="172"/>
      <c r="CD558" s="194"/>
      <c r="CE558" s="194"/>
      <c r="CF558" s="194"/>
      <c r="CG558" s="194"/>
      <c r="CH558" s="195"/>
      <c r="CI558" s="194"/>
      <c r="CJ558" s="194"/>
      <c r="CK558" s="194"/>
      <c r="CL558" s="196"/>
      <c r="CM558" s="196"/>
      <c r="CN558" s="194"/>
      <c r="CO558" s="197"/>
      <c r="CP558" s="196"/>
      <c r="CQ558" s="196"/>
      <c r="CR558" s="196"/>
      <c r="CS558" s="196"/>
      <c r="CT558" s="196"/>
      <c r="CU558" s="196"/>
      <c r="CV558" s="194"/>
      <c r="CW558" s="194"/>
      <c r="CX558" s="194"/>
      <c r="CY558" s="194"/>
      <c r="CZ558" s="194"/>
      <c r="DA558" s="194"/>
      <c r="DB558" s="194"/>
      <c r="DC558" s="194"/>
      <c r="DD558" s="194"/>
      <c r="DE558" s="194"/>
      <c r="DF558" s="196"/>
      <c r="DG558" s="198"/>
      <c r="DH558" s="194"/>
      <c r="DI558" s="194"/>
    </row>
    <row r="559" spans="1:113" s="24" customFormat="1" hidden="1" x14ac:dyDescent="0.3">
      <c r="A559" s="172"/>
      <c r="B559" s="172"/>
      <c r="C559" s="172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  <c r="AE559" s="173"/>
      <c r="AF559" s="173"/>
      <c r="AG559" s="173"/>
      <c r="AH559" s="173"/>
      <c r="AI559" s="173"/>
      <c r="AJ559" s="173"/>
      <c r="AK559" s="173"/>
      <c r="AL559" s="173"/>
      <c r="AM559" s="173"/>
      <c r="AN559" s="173"/>
      <c r="AO559" s="173"/>
      <c r="AP559" s="173"/>
      <c r="AQ559" s="173"/>
      <c r="AR559" s="173"/>
      <c r="AS559" s="172"/>
      <c r="AT559" s="172"/>
      <c r="AU559" s="172"/>
      <c r="AV559" s="172"/>
      <c r="AW559" s="172"/>
      <c r="AX559" s="172"/>
      <c r="AY559" s="172"/>
      <c r="AZ559" s="172"/>
      <c r="BA559" s="172"/>
      <c r="BB559" s="172"/>
      <c r="BC559" s="172"/>
      <c r="BD559" s="172"/>
      <c r="BE559" s="172"/>
      <c r="BF559" s="172"/>
      <c r="BG559" s="172"/>
      <c r="BH559" s="172"/>
      <c r="BI559" s="172"/>
      <c r="BJ559" s="172"/>
      <c r="BK559" s="172"/>
      <c r="BL559" s="172"/>
      <c r="BM559" s="172"/>
      <c r="BN559" s="172"/>
      <c r="BO559" s="172"/>
      <c r="BP559" s="172"/>
      <c r="BQ559" s="172"/>
      <c r="BR559" s="172"/>
      <c r="BS559" s="172"/>
      <c r="BT559" s="172"/>
      <c r="BU559" s="172"/>
      <c r="BV559" s="172"/>
      <c r="BW559" s="172"/>
      <c r="BX559" s="172"/>
      <c r="BY559" s="174"/>
      <c r="BZ559" s="172"/>
      <c r="CA559" s="172"/>
      <c r="CD559" s="194"/>
      <c r="CE559" s="194"/>
      <c r="CF559" s="194"/>
      <c r="CG559" s="194"/>
      <c r="CH559" s="195"/>
      <c r="CI559" s="194"/>
      <c r="CJ559" s="194"/>
      <c r="CK559" s="194"/>
      <c r="CL559" s="196"/>
      <c r="CM559" s="196"/>
      <c r="CN559" s="194"/>
      <c r="CO559" s="197"/>
      <c r="CP559" s="196"/>
      <c r="CQ559" s="196"/>
      <c r="CR559" s="196"/>
      <c r="CS559" s="196"/>
      <c r="CT559" s="196"/>
      <c r="CU559" s="196"/>
      <c r="CV559" s="194"/>
      <c r="CW559" s="194"/>
      <c r="CX559" s="194"/>
      <c r="CY559" s="194"/>
      <c r="CZ559" s="194"/>
      <c r="DA559" s="194"/>
      <c r="DB559" s="194"/>
      <c r="DC559" s="194"/>
      <c r="DD559" s="194"/>
      <c r="DE559" s="194"/>
      <c r="DF559" s="196"/>
      <c r="DG559" s="198"/>
      <c r="DH559" s="194"/>
      <c r="DI559" s="194"/>
    </row>
    <row r="560" spans="1:113" s="24" customFormat="1" hidden="1" x14ac:dyDescent="0.3">
      <c r="A560" s="172"/>
      <c r="B560" s="172"/>
      <c r="C560" s="172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  <c r="AE560" s="173"/>
      <c r="AF560" s="173"/>
      <c r="AG560" s="173"/>
      <c r="AH560" s="173"/>
      <c r="AI560" s="173"/>
      <c r="AJ560" s="173"/>
      <c r="AK560" s="173"/>
      <c r="AL560" s="173"/>
      <c r="AM560" s="173"/>
      <c r="AN560" s="173"/>
      <c r="AO560" s="173"/>
      <c r="AP560" s="173"/>
      <c r="AQ560" s="173"/>
      <c r="AR560" s="173"/>
      <c r="AS560" s="172"/>
      <c r="AT560" s="172"/>
      <c r="AU560" s="172"/>
      <c r="AV560" s="172"/>
      <c r="AW560" s="172"/>
      <c r="AX560" s="172"/>
      <c r="AY560" s="172"/>
      <c r="AZ560" s="172"/>
      <c r="BA560" s="172"/>
      <c r="BB560" s="172"/>
      <c r="BC560" s="172"/>
      <c r="BD560" s="172"/>
      <c r="BE560" s="172"/>
      <c r="BF560" s="172"/>
      <c r="BG560" s="172"/>
      <c r="BH560" s="172"/>
      <c r="BI560" s="172"/>
      <c r="BJ560" s="172"/>
      <c r="BK560" s="172"/>
      <c r="BL560" s="172"/>
      <c r="BM560" s="172"/>
      <c r="BN560" s="172"/>
      <c r="BO560" s="172"/>
      <c r="BP560" s="172"/>
      <c r="BQ560" s="172"/>
      <c r="BR560" s="172"/>
      <c r="BS560" s="172"/>
      <c r="BT560" s="172"/>
      <c r="BU560" s="172"/>
      <c r="BV560" s="172"/>
      <c r="BW560" s="172"/>
      <c r="BX560" s="172"/>
      <c r="BY560" s="174"/>
      <c r="BZ560" s="172"/>
      <c r="CA560" s="172"/>
      <c r="CD560" s="194"/>
      <c r="CE560" s="194"/>
      <c r="CF560" s="194"/>
      <c r="CG560" s="194"/>
      <c r="CH560" s="195"/>
      <c r="CI560" s="194"/>
      <c r="CJ560" s="194"/>
      <c r="CK560" s="194"/>
      <c r="CL560" s="196"/>
      <c r="CM560" s="196"/>
      <c r="CN560" s="194"/>
      <c r="CO560" s="197"/>
      <c r="CP560" s="196"/>
      <c r="CQ560" s="196"/>
      <c r="CR560" s="196"/>
      <c r="CS560" s="196"/>
      <c r="CT560" s="196"/>
      <c r="CU560" s="196"/>
      <c r="CV560" s="194"/>
      <c r="CW560" s="194"/>
      <c r="CX560" s="194"/>
      <c r="CY560" s="194"/>
      <c r="CZ560" s="194"/>
      <c r="DA560" s="194"/>
      <c r="DB560" s="194"/>
      <c r="DC560" s="194"/>
      <c r="DD560" s="194"/>
      <c r="DE560" s="194"/>
      <c r="DF560" s="196"/>
      <c r="DG560" s="198"/>
      <c r="DH560" s="194"/>
      <c r="DI560" s="194"/>
    </row>
    <row r="561" spans="1:113" s="24" customFormat="1" hidden="1" x14ac:dyDescent="0.3">
      <c r="A561" s="172"/>
      <c r="B561" s="172"/>
      <c r="C561" s="172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  <c r="AE561" s="173"/>
      <c r="AF561" s="173"/>
      <c r="AG561" s="173"/>
      <c r="AH561" s="173"/>
      <c r="AI561" s="173"/>
      <c r="AJ561" s="173"/>
      <c r="AK561" s="173"/>
      <c r="AL561" s="173"/>
      <c r="AM561" s="173"/>
      <c r="AN561" s="173"/>
      <c r="AO561" s="173"/>
      <c r="AP561" s="173"/>
      <c r="AQ561" s="173"/>
      <c r="AR561" s="173"/>
      <c r="AS561" s="172"/>
      <c r="AT561" s="172"/>
      <c r="AU561" s="172"/>
      <c r="AV561" s="172"/>
      <c r="AW561" s="172"/>
      <c r="AX561" s="172"/>
      <c r="AY561" s="172"/>
      <c r="AZ561" s="172"/>
      <c r="BA561" s="172"/>
      <c r="BB561" s="172"/>
      <c r="BC561" s="172"/>
      <c r="BD561" s="172"/>
      <c r="BE561" s="172"/>
      <c r="BF561" s="172"/>
      <c r="BG561" s="172"/>
      <c r="BH561" s="172"/>
      <c r="BI561" s="172"/>
      <c r="BJ561" s="172"/>
      <c r="BK561" s="172"/>
      <c r="BL561" s="172"/>
      <c r="BM561" s="172"/>
      <c r="BN561" s="172"/>
      <c r="BO561" s="172"/>
      <c r="BP561" s="172"/>
      <c r="BQ561" s="172"/>
      <c r="BR561" s="172"/>
      <c r="BS561" s="172"/>
      <c r="BT561" s="172"/>
      <c r="BU561" s="172"/>
      <c r="BV561" s="172"/>
      <c r="BW561" s="172"/>
      <c r="BX561" s="172"/>
      <c r="BY561" s="174"/>
      <c r="BZ561" s="172"/>
      <c r="CA561" s="172"/>
      <c r="CD561" s="194"/>
      <c r="CE561" s="194"/>
      <c r="CF561" s="194"/>
      <c r="CG561" s="194"/>
      <c r="CH561" s="195"/>
      <c r="CI561" s="194"/>
      <c r="CJ561" s="194"/>
      <c r="CK561" s="194"/>
      <c r="CL561" s="196"/>
      <c r="CM561" s="196"/>
      <c r="CN561" s="194"/>
      <c r="CO561" s="197"/>
      <c r="CP561" s="196"/>
      <c r="CQ561" s="196"/>
      <c r="CR561" s="196"/>
      <c r="CS561" s="196"/>
      <c r="CT561" s="196"/>
      <c r="CU561" s="196"/>
      <c r="CV561" s="194"/>
      <c r="CW561" s="194"/>
      <c r="CX561" s="194"/>
      <c r="CY561" s="194"/>
      <c r="CZ561" s="194"/>
      <c r="DA561" s="194"/>
      <c r="DB561" s="194"/>
      <c r="DC561" s="194"/>
      <c r="DD561" s="194"/>
      <c r="DE561" s="194"/>
      <c r="DF561" s="196"/>
      <c r="DG561" s="198"/>
      <c r="DH561" s="194"/>
      <c r="DI561" s="194"/>
    </row>
    <row r="562" spans="1:113" s="24" customFormat="1" hidden="1" x14ac:dyDescent="0.3">
      <c r="A562" s="172"/>
      <c r="B562" s="172"/>
      <c r="C562" s="172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  <c r="AE562" s="173"/>
      <c r="AF562" s="173"/>
      <c r="AG562" s="173"/>
      <c r="AH562" s="173"/>
      <c r="AI562" s="173"/>
      <c r="AJ562" s="173"/>
      <c r="AK562" s="173"/>
      <c r="AL562" s="173"/>
      <c r="AM562" s="173"/>
      <c r="AN562" s="173"/>
      <c r="AO562" s="173"/>
      <c r="AP562" s="173"/>
      <c r="AQ562" s="173"/>
      <c r="AR562" s="173"/>
      <c r="AS562" s="172"/>
      <c r="AT562" s="172"/>
      <c r="AU562" s="172"/>
      <c r="AV562" s="172"/>
      <c r="AW562" s="172"/>
      <c r="AX562" s="172"/>
      <c r="AY562" s="172"/>
      <c r="AZ562" s="172"/>
      <c r="BA562" s="172"/>
      <c r="BB562" s="172"/>
      <c r="BC562" s="172"/>
      <c r="BD562" s="172"/>
      <c r="BE562" s="172"/>
      <c r="BF562" s="172"/>
      <c r="BG562" s="172"/>
      <c r="BH562" s="172"/>
      <c r="BI562" s="172"/>
      <c r="BJ562" s="172"/>
      <c r="BK562" s="172"/>
      <c r="BL562" s="172"/>
      <c r="BM562" s="172"/>
      <c r="BN562" s="172"/>
      <c r="BO562" s="172"/>
      <c r="BP562" s="172"/>
      <c r="BQ562" s="172"/>
      <c r="BR562" s="172"/>
      <c r="BS562" s="172"/>
      <c r="BT562" s="172"/>
      <c r="BU562" s="172"/>
      <c r="BV562" s="172"/>
      <c r="BW562" s="172"/>
      <c r="BX562" s="172"/>
      <c r="BY562" s="174"/>
      <c r="BZ562" s="172"/>
      <c r="CA562" s="172"/>
      <c r="CD562" s="194"/>
      <c r="CE562" s="194"/>
      <c r="CF562" s="194"/>
      <c r="CG562" s="194"/>
      <c r="CH562" s="195"/>
      <c r="CI562" s="194"/>
      <c r="CJ562" s="194"/>
      <c r="CK562" s="194"/>
      <c r="CL562" s="196"/>
      <c r="CM562" s="196"/>
      <c r="CN562" s="194"/>
      <c r="CO562" s="197"/>
      <c r="CP562" s="196"/>
      <c r="CQ562" s="196"/>
      <c r="CR562" s="196"/>
      <c r="CS562" s="196"/>
      <c r="CT562" s="196"/>
      <c r="CU562" s="196"/>
      <c r="CV562" s="194"/>
      <c r="CW562" s="194"/>
      <c r="CX562" s="194"/>
      <c r="CY562" s="194"/>
      <c r="CZ562" s="194"/>
      <c r="DA562" s="194"/>
      <c r="DB562" s="194"/>
      <c r="DC562" s="194"/>
      <c r="DD562" s="194"/>
      <c r="DE562" s="194"/>
      <c r="DF562" s="196"/>
      <c r="DG562" s="198"/>
      <c r="DH562" s="194"/>
      <c r="DI562" s="194"/>
    </row>
    <row r="563" spans="1:113" s="24" customFormat="1" hidden="1" x14ac:dyDescent="0.3">
      <c r="A563" s="172"/>
      <c r="B563" s="172"/>
      <c r="C563" s="172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  <c r="AE563" s="173"/>
      <c r="AF563" s="173"/>
      <c r="AG563" s="173"/>
      <c r="AH563" s="173"/>
      <c r="AI563" s="173"/>
      <c r="AJ563" s="173"/>
      <c r="AK563" s="173"/>
      <c r="AL563" s="173"/>
      <c r="AM563" s="173"/>
      <c r="AN563" s="173"/>
      <c r="AO563" s="173"/>
      <c r="AP563" s="173"/>
      <c r="AQ563" s="173"/>
      <c r="AR563" s="173"/>
      <c r="AS563" s="172"/>
      <c r="AT563" s="172"/>
      <c r="AU563" s="172"/>
      <c r="AV563" s="172"/>
      <c r="AW563" s="172"/>
      <c r="AX563" s="172"/>
      <c r="AY563" s="172"/>
      <c r="AZ563" s="172"/>
      <c r="BA563" s="172"/>
      <c r="BB563" s="172"/>
      <c r="BC563" s="172"/>
      <c r="BD563" s="172"/>
      <c r="BE563" s="172"/>
      <c r="BF563" s="172"/>
      <c r="BG563" s="172"/>
      <c r="BH563" s="172"/>
      <c r="BI563" s="172"/>
      <c r="BJ563" s="172"/>
      <c r="BK563" s="172"/>
      <c r="BL563" s="172"/>
      <c r="BM563" s="172"/>
      <c r="BN563" s="172"/>
      <c r="BO563" s="172"/>
      <c r="BP563" s="172"/>
      <c r="BQ563" s="172"/>
      <c r="BR563" s="172"/>
      <c r="BS563" s="172"/>
      <c r="BT563" s="172"/>
      <c r="BU563" s="172"/>
      <c r="BV563" s="172"/>
      <c r="BW563" s="172"/>
      <c r="BX563" s="172"/>
      <c r="BY563" s="174"/>
      <c r="BZ563" s="172"/>
      <c r="CA563" s="172"/>
      <c r="CD563" s="194"/>
      <c r="CE563" s="194"/>
      <c r="CF563" s="194"/>
      <c r="CG563" s="194"/>
      <c r="CH563" s="195"/>
      <c r="CI563" s="194"/>
      <c r="CJ563" s="194"/>
      <c r="CK563" s="194"/>
      <c r="CL563" s="196"/>
      <c r="CM563" s="196"/>
      <c r="CN563" s="194"/>
      <c r="CO563" s="197"/>
      <c r="CP563" s="196"/>
      <c r="CQ563" s="196"/>
      <c r="CR563" s="196"/>
      <c r="CS563" s="196"/>
      <c r="CT563" s="196"/>
      <c r="CU563" s="196"/>
      <c r="CV563" s="194"/>
      <c r="CW563" s="194"/>
      <c r="CX563" s="194"/>
      <c r="CY563" s="194"/>
      <c r="CZ563" s="194"/>
      <c r="DA563" s="194"/>
      <c r="DB563" s="194"/>
      <c r="DC563" s="194"/>
      <c r="DD563" s="194"/>
      <c r="DE563" s="194"/>
      <c r="DF563" s="196"/>
      <c r="DG563" s="198"/>
      <c r="DH563" s="194"/>
      <c r="DI563" s="194"/>
    </row>
    <row r="564" spans="1:113" s="24" customFormat="1" hidden="1" x14ac:dyDescent="0.3">
      <c r="A564" s="172"/>
      <c r="B564" s="172"/>
      <c r="C564" s="172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  <c r="AE564" s="173"/>
      <c r="AF564" s="173"/>
      <c r="AG564" s="173"/>
      <c r="AH564" s="173"/>
      <c r="AI564" s="173"/>
      <c r="AJ564" s="173"/>
      <c r="AK564" s="173"/>
      <c r="AL564" s="173"/>
      <c r="AM564" s="173"/>
      <c r="AN564" s="173"/>
      <c r="AO564" s="173"/>
      <c r="AP564" s="173"/>
      <c r="AQ564" s="173"/>
      <c r="AR564" s="173"/>
      <c r="AS564" s="172"/>
      <c r="AT564" s="172"/>
      <c r="AU564" s="172"/>
      <c r="AV564" s="172"/>
      <c r="AW564" s="172"/>
      <c r="AX564" s="172"/>
      <c r="AY564" s="172"/>
      <c r="AZ564" s="172"/>
      <c r="BA564" s="172"/>
      <c r="BB564" s="172"/>
      <c r="BC564" s="172"/>
      <c r="BD564" s="172"/>
      <c r="BE564" s="172"/>
      <c r="BF564" s="172"/>
      <c r="BG564" s="172"/>
      <c r="BH564" s="172"/>
      <c r="BI564" s="172"/>
      <c r="BJ564" s="172"/>
      <c r="BK564" s="172"/>
      <c r="BL564" s="172"/>
      <c r="BM564" s="172"/>
      <c r="BN564" s="172"/>
      <c r="BO564" s="172"/>
      <c r="BP564" s="172"/>
      <c r="BQ564" s="172"/>
      <c r="BR564" s="172"/>
      <c r="BS564" s="172"/>
      <c r="BT564" s="172"/>
      <c r="BU564" s="172"/>
      <c r="BV564" s="172"/>
      <c r="BW564" s="172"/>
      <c r="BX564" s="172"/>
      <c r="BY564" s="174"/>
      <c r="BZ564" s="172"/>
      <c r="CA564" s="172"/>
      <c r="CD564" s="194"/>
      <c r="CE564" s="194"/>
      <c r="CF564" s="194"/>
      <c r="CG564" s="194"/>
      <c r="CH564" s="195"/>
      <c r="CI564" s="194"/>
      <c r="CJ564" s="194"/>
      <c r="CK564" s="194"/>
      <c r="CL564" s="196"/>
      <c r="CM564" s="196"/>
      <c r="CN564" s="194"/>
      <c r="CO564" s="197"/>
      <c r="CP564" s="196"/>
      <c r="CQ564" s="196"/>
      <c r="CR564" s="196"/>
      <c r="CS564" s="196"/>
      <c r="CT564" s="196"/>
      <c r="CU564" s="196"/>
      <c r="CV564" s="194"/>
      <c r="CW564" s="194"/>
      <c r="CX564" s="194"/>
      <c r="CY564" s="194"/>
      <c r="CZ564" s="194"/>
      <c r="DA564" s="194"/>
      <c r="DB564" s="194"/>
      <c r="DC564" s="194"/>
      <c r="DD564" s="194"/>
      <c r="DE564" s="194"/>
      <c r="DF564" s="196"/>
      <c r="DG564" s="198"/>
      <c r="DH564" s="194"/>
      <c r="DI564" s="194"/>
    </row>
    <row r="565" spans="1:113" s="24" customFormat="1" hidden="1" x14ac:dyDescent="0.3">
      <c r="A565" s="172"/>
      <c r="B565" s="172"/>
      <c r="C565" s="172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  <c r="AE565" s="173"/>
      <c r="AF565" s="173"/>
      <c r="AG565" s="173"/>
      <c r="AH565" s="173"/>
      <c r="AI565" s="173"/>
      <c r="AJ565" s="173"/>
      <c r="AK565" s="173"/>
      <c r="AL565" s="173"/>
      <c r="AM565" s="173"/>
      <c r="AN565" s="173"/>
      <c r="AO565" s="173"/>
      <c r="AP565" s="173"/>
      <c r="AQ565" s="173"/>
      <c r="AR565" s="173"/>
      <c r="AS565" s="172"/>
      <c r="AT565" s="172"/>
      <c r="AU565" s="172"/>
      <c r="AV565" s="172"/>
      <c r="AW565" s="172"/>
      <c r="AX565" s="172"/>
      <c r="AY565" s="172"/>
      <c r="AZ565" s="172"/>
      <c r="BA565" s="172"/>
      <c r="BB565" s="172"/>
      <c r="BC565" s="172"/>
      <c r="BD565" s="172"/>
      <c r="BE565" s="172"/>
      <c r="BF565" s="172"/>
      <c r="BG565" s="172"/>
      <c r="BH565" s="172"/>
      <c r="BI565" s="172"/>
      <c r="BJ565" s="172"/>
      <c r="BK565" s="172"/>
      <c r="BL565" s="172"/>
      <c r="BM565" s="172"/>
      <c r="BN565" s="172"/>
      <c r="BO565" s="172"/>
      <c r="BP565" s="172"/>
      <c r="BQ565" s="172"/>
      <c r="BR565" s="172"/>
      <c r="BS565" s="172"/>
      <c r="BT565" s="172"/>
      <c r="BU565" s="172"/>
      <c r="BV565" s="172"/>
      <c r="BW565" s="172"/>
      <c r="BX565" s="172"/>
      <c r="BY565" s="174"/>
      <c r="BZ565" s="172"/>
      <c r="CA565" s="172"/>
      <c r="CD565" s="194"/>
      <c r="CE565" s="194"/>
      <c r="CF565" s="194"/>
      <c r="CG565" s="194"/>
      <c r="CH565" s="195"/>
      <c r="CI565" s="194"/>
      <c r="CJ565" s="194"/>
      <c r="CK565" s="194"/>
      <c r="CL565" s="196"/>
      <c r="CM565" s="196"/>
      <c r="CN565" s="194"/>
      <c r="CO565" s="197"/>
      <c r="CP565" s="196"/>
      <c r="CQ565" s="196"/>
      <c r="CR565" s="196"/>
      <c r="CS565" s="196"/>
      <c r="CT565" s="196"/>
      <c r="CU565" s="196"/>
      <c r="CV565" s="194"/>
      <c r="CW565" s="194"/>
      <c r="CX565" s="194"/>
      <c r="CY565" s="194"/>
      <c r="CZ565" s="194"/>
      <c r="DA565" s="194"/>
      <c r="DB565" s="194"/>
      <c r="DC565" s="194"/>
      <c r="DD565" s="194"/>
      <c r="DE565" s="194"/>
      <c r="DF565" s="196"/>
      <c r="DG565" s="198"/>
      <c r="DH565" s="194"/>
      <c r="DI565" s="194"/>
    </row>
    <row r="566" spans="1:113" s="24" customFormat="1" hidden="1" x14ac:dyDescent="0.3">
      <c r="A566" s="172"/>
      <c r="B566" s="172"/>
      <c r="C566" s="172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  <c r="AE566" s="173"/>
      <c r="AF566" s="173"/>
      <c r="AG566" s="173"/>
      <c r="AH566" s="173"/>
      <c r="AI566" s="173"/>
      <c r="AJ566" s="173"/>
      <c r="AK566" s="173"/>
      <c r="AL566" s="173"/>
      <c r="AM566" s="173"/>
      <c r="AN566" s="173"/>
      <c r="AO566" s="173"/>
      <c r="AP566" s="173"/>
      <c r="AQ566" s="173"/>
      <c r="AR566" s="173"/>
      <c r="AS566" s="172"/>
      <c r="AT566" s="172"/>
      <c r="AU566" s="172"/>
      <c r="AV566" s="172"/>
      <c r="AW566" s="172"/>
      <c r="AX566" s="172"/>
      <c r="AY566" s="172"/>
      <c r="AZ566" s="172"/>
      <c r="BA566" s="172"/>
      <c r="BB566" s="172"/>
      <c r="BC566" s="172"/>
      <c r="BD566" s="172"/>
      <c r="BE566" s="172"/>
      <c r="BF566" s="172"/>
      <c r="BG566" s="172"/>
      <c r="BH566" s="172"/>
      <c r="BI566" s="172"/>
      <c r="BJ566" s="172"/>
      <c r="BK566" s="172"/>
      <c r="BL566" s="172"/>
      <c r="BM566" s="172"/>
      <c r="BN566" s="172"/>
      <c r="BO566" s="172"/>
      <c r="BP566" s="172"/>
      <c r="BQ566" s="172"/>
      <c r="BR566" s="172"/>
      <c r="BS566" s="172"/>
      <c r="BT566" s="172"/>
      <c r="BU566" s="172"/>
      <c r="BV566" s="172"/>
      <c r="BW566" s="172"/>
      <c r="BX566" s="172"/>
      <c r="BY566" s="174"/>
      <c r="BZ566" s="172"/>
      <c r="CA566" s="172"/>
      <c r="CD566" s="194"/>
      <c r="CE566" s="194"/>
      <c r="CF566" s="194"/>
      <c r="CG566" s="194"/>
      <c r="CH566" s="195"/>
      <c r="CI566" s="194"/>
      <c r="CJ566" s="194"/>
      <c r="CK566" s="194"/>
      <c r="CL566" s="196"/>
      <c r="CM566" s="196"/>
      <c r="CN566" s="194"/>
      <c r="CO566" s="197"/>
      <c r="CP566" s="196"/>
      <c r="CQ566" s="196"/>
      <c r="CR566" s="196"/>
      <c r="CS566" s="196"/>
      <c r="CT566" s="196"/>
      <c r="CU566" s="196"/>
      <c r="CV566" s="194"/>
      <c r="CW566" s="194"/>
      <c r="CX566" s="194"/>
      <c r="CY566" s="194"/>
      <c r="CZ566" s="194"/>
      <c r="DA566" s="194"/>
      <c r="DB566" s="194"/>
      <c r="DC566" s="194"/>
      <c r="DD566" s="194"/>
      <c r="DE566" s="194"/>
      <c r="DF566" s="196"/>
      <c r="DG566" s="198"/>
      <c r="DH566" s="194"/>
      <c r="DI566" s="194"/>
    </row>
    <row r="567" spans="1:113" s="24" customFormat="1" hidden="1" x14ac:dyDescent="0.3">
      <c r="A567" s="172"/>
      <c r="B567" s="172"/>
      <c r="C567" s="172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  <c r="AE567" s="173"/>
      <c r="AF567" s="173"/>
      <c r="AG567" s="173"/>
      <c r="AH567" s="173"/>
      <c r="AI567" s="173"/>
      <c r="AJ567" s="173"/>
      <c r="AK567" s="173"/>
      <c r="AL567" s="173"/>
      <c r="AM567" s="173"/>
      <c r="AN567" s="173"/>
      <c r="AO567" s="173"/>
      <c r="AP567" s="173"/>
      <c r="AQ567" s="173"/>
      <c r="AR567" s="173"/>
      <c r="AS567" s="172"/>
      <c r="AT567" s="172"/>
      <c r="AU567" s="172"/>
      <c r="AV567" s="172"/>
      <c r="AW567" s="172"/>
      <c r="AX567" s="172"/>
      <c r="AY567" s="172"/>
      <c r="AZ567" s="172"/>
      <c r="BA567" s="172"/>
      <c r="BB567" s="172"/>
      <c r="BC567" s="172"/>
      <c r="BD567" s="172"/>
      <c r="BE567" s="172"/>
      <c r="BF567" s="172"/>
      <c r="BG567" s="172"/>
      <c r="BH567" s="172"/>
      <c r="BI567" s="172"/>
      <c r="BJ567" s="172"/>
      <c r="BK567" s="172"/>
      <c r="BL567" s="172"/>
      <c r="BM567" s="172"/>
      <c r="BN567" s="172"/>
      <c r="BO567" s="172"/>
      <c r="BP567" s="172"/>
      <c r="BQ567" s="172"/>
      <c r="BR567" s="172"/>
      <c r="BS567" s="172"/>
      <c r="BT567" s="172"/>
      <c r="BU567" s="172"/>
      <c r="BV567" s="172"/>
      <c r="BW567" s="172"/>
      <c r="BX567" s="172"/>
      <c r="BY567" s="174"/>
      <c r="BZ567" s="172"/>
      <c r="CA567" s="172"/>
      <c r="CD567" s="194"/>
      <c r="CE567" s="194"/>
      <c r="CF567" s="194"/>
      <c r="CG567" s="194"/>
      <c r="CH567" s="195"/>
      <c r="CI567" s="194"/>
      <c r="CJ567" s="194"/>
      <c r="CK567" s="194"/>
      <c r="CL567" s="196"/>
      <c r="CM567" s="196"/>
      <c r="CN567" s="194"/>
      <c r="CO567" s="197"/>
      <c r="CP567" s="196"/>
      <c r="CQ567" s="196"/>
      <c r="CR567" s="196"/>
      <c r="CS567" s="196"/>
      <c r="CT567" s="196"/>
      <c r="CU567" s="196"/>
      <c r="CV567" s="194"/>
      <c r="CW567" s="194"/>
      <c r="CX567" s="194"/>
      <c r="CY567" s="194"/>
      <c r="CZ567" s="194"/>
      <c r="DA567" s="194"/>
      <c r="DB567" s="194"/>
      <c r="DC567" s="194"/>
      <c r="DD567" s="194"/>
      <c r="DE567" s="194"/>
      <c r="DF567" s="196"/>
      <c r="DG567" s="198"/>
      <c r="DH567" s="194"/>
      <c r="DI567" s="194"/>
    </row>
    <row r="568" spans="1:113" s="24" customFormat="1" hidden="1" x14ac:dyDescent="0.3">
      <c r="A568" s="172"/>
      <c r="B568" s="172"/>
      <c r="C568" s="172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  <c r="AE568" s="173"/>
      <c r="AF568" s="173"/>
      <c r="AG568" s="173"/>
      <c r="AH568" s="173"/>
      <c r="AI568" s="173"/>
      <c r="AJ568" s="173"/>
      <c r="AK568" s="173"/>
      <c r="AL568" s="173"/>
      <c r="AM568" s="173"/>
      <c r="AN568" s="173"/>
      <c r="AO568" s="173"/>
      <c r="AP568" s="173"/>
      <c r="AQ568" s="173"/>
      <c r="AR568" s="173"/>
      <c r="AS568" s="172"/>
      <c r="AT568" s="172"/>
      <c r="AU568" s="172"/>
      <c r="AV568" s="172"/>
      <c r="AW568" s="172"/>
      <c r="AX568" s="172"/>
      <c r="AY568" s="172"/>
      <c r="AZ568" s="172"/>
      <c r="BA568" s="172"/>
      <c r="BB568" s="172"/>
      <c r="BC568" s="172"/>
      <c r="BD568" s="172"/>
      <c r="BE568" s="172"/>
      <c r="BF568" s="172"/>
      <c r="BG568" s="172"/>
      <c r="BH568" s="172"/>
      <c r="BI568" s="172"/>
      <c r="BJ568" s="172"/>
      <c r="BK568" s="172"/>
      <c r="BL568" s="172"/>
      <c r="BM568" s="172"/>
      <c r="BN568" s="172"/>
      <c r="BO568" s="172"/>
      <c r="BP568" s="172"/>
      <c r="BQ568" s="172"/>
      <c r="BR568" s="172"/>
      <c r="BS568" s="172"/>
      <c r="BT568" s="172"/>
      <c r="BU568" s="172"/>
      <c r="BV568" s="172"/>
      <c r="BW568" s="172"/>
      <c r="BX568" s="172"/>
      <c r="BY568" s="174"/>
      <c r="BZ568" s="172"/>
      <c r="CA568" s="172"/>
      <c r="CD568" s="194"/>
      <c r="CE568" s="194"/>
      <c r="CF568" s="194"/>
      <c r="CG568" s="194"/>
      <c r="CH568" s="195"/>
      <c r="CI568" s="194"/>
      <c r="CJ568" s="194"/>
      <c r="CK568" s="194"/>
      <c r="CL568" s="196"/>
      <c r="CM568" s="196"/>
      <c r="CN568" s="194"/>
      <c r="CO568" s="197"/>
      <c r="CP568" s="196"/>
      <c r="CQ568" s="196"/>
      <c r="CR568" s="196"/>
      <c r="CS568" s="196"/>
      <c r="CT568" s="196"/>
      <c r="CU568" s="196"/>
      <c r="CV568" s="194"/>
      <c r="CW568" s="194"/>
      <c r="CX568" s="194"/>
      <c r="CY568" s="194"/>
      <c r="CZ568" s="194"/>
      <c r="DA568" s="194"/>
      <c r="DB568" s="194"/>
      <c r="DC568" s="194"/>
      <c r="DD568" s="194"/>
      <c r="DE568" s="194"/>
      <c r="DF568" s="196"/>
      <c r="DG568" s="198"/>
      <c r="DH568" s="194"/>
      <c r="DI568" s="194"/>
    </row>
    <row r="569" spans="1:113" s="24" customFormat="1" hidden="1" x14ac:dyDescent="0.3">
      <c r="A569" s="172"/>
      <c r="B569" s="172"/>
      <c r="C569" s="172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  <c r="AE569" s="173"/>
      <c r="AF569" s="173"/>
      <c r="AG569" s="173"/>
      <c r="AH569" s="173"/>
      <c r="AI569" s="173"/>
      <c r="AJ569" s="173"/>
      <c r="AK569" s="173"/>
      <c r="AL569" s="173"/>
      <c r="AM569" s="173"/>
      <c r="AN569" s="173"/>
      <c r="AO569" s="173"/>
      <c r="AP569" s="173"/>
      <c r="AQ569" s="173"/>
      <c r="AR569" s="173"/>
      <c r="AS569" s="172"/>
      <c r="AT569" s="172"/>
      <c r="AU569" s="172"/>
      <c r="AV569" s="172"/>
      <c r="AW569" s="172"/>
      <c r="AX569" s="172"/>
      <c r="AY569" s="172"/>
      <c r="AZ569" s="172"/>
      <c r="BA569" s="172"/>
      <c r="BB569" s="172"/>
      <c r="BC569" s="172"/>
      <c r="BD569" s="172"/>
      <c r="BE569" s="172"/>
      <c r="BF569" s="172"/>
      <c r="BG569" s="172"/>
      <c r="BH569" s="172"/>
      <c r="BI569" s="172"/>
      <c r="BJ569" s="172"/>
      <c r="BK569" s="172"/>
      <c r="BL569" s="172"/>
      <c r="BM569" s="172"/>
      <c r="BN569" s="172"/>
      <c r="BO569" s="172"/>
      <c r="BP569" s="172"/>
      <c r="BQ569" s="172"/>
      <c r="BR569" s="172"/>
      <c r="BS569" s="172"/>
      <c r="BT569" s="172"/>
      <c r="BU569" s="172"/>
      <c r="BV569" s="172"/>
      <c r="BW569" s="172"/>
      <c r="BX569" s="172"/>
      <c r="BY569" s="174"/>
      <c r="BZ569" s="172"/>
      <c r="CA569" s="172"/>
      <c r="CD569" s="194"/>
      <c r="CE569" s="194"/>
      <c r="CF569" s="194"/>
      <c r="CG569" s="194"/>
      <c r="CH569" s="195"/>
      <c r="CI569" s="194"/>
      <c r="CJ569" s="194"/>
      <c r="CK569" s="194"/>
      <c r="CL569" s="196"/>
      <c r="CM569" s="196"/>
      <c r="CN569" s="194"/>
      <c r="CO569" s="197"/>
      <c r="CP569" s="196"/>
      <c r="CQ569" s="196"/>
      <c r="CR569" s="196"/>
      <c r="CS569" s="196"/>
      <c r="CT569" s="196"/>
      <c r="CU569" s="196"/>
      <c r="CV569" s="194"/>
      <c r="CW569" s="194"/>
      <c r="CX569" s="194"/>
      <c r="CY569" s="194"/>
      <c r="CZ569" s="194"/>
      <c r="DA569" s="194"/>
      <c r="DB569" s="194"/>
      <c r="DC569" s="194"/>
      <c r="DD569" s="194"/>
      <c r="DE569" s="194"/>
      <c r="DF569" s="196"/>
      <c r="DG569" s="198"/>
      <c r="DH569" s="194"/>
      <c r="DI569" s="194"/>
    </row>
    <row r="570" spans="1:113" s="24" customFormat="1" hidden="1" x14ac:dyDescent="0.3">
      <c r="A570" s="172"/>
      <c r="B570" s="172"/>
      <c r="C570" s="172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  <c r="AE570" s="173"/>
      <c r="AF570" s="173"/>
      <c r="AG570" s="173"/>
      <c r="AH570" s="173"/>
      <c r="AI570" s="173"/>
      <c r="AJ570" s="173"/>
      <c r="AK570" s="173"/>
      <c r="AL570" s="173"/>
      <c r="AM570" s="173"/>
      <c r="AN570" s="173"/>
      <c r="AO570" s="173"/>
      <c r="AP570" s="173"/>
      <c r="AQ570" s="173"/>
      <c r="AR570" s="173"/>
      <c r="AS570" s="172"/>
      <c r="AT570" s="172"/>
      <c r="AU570" s="172"/>
      <c r="AV570" s="172"/>
      <c r="AW570" s="172"/>
      <c r="AX570" s="172"/>
      <c r="AY570" s="172"/>
      <c r="AZ570" s="172"/>
      <c r="BA570" s="172"/>
      <c r="BB570" s="172"/>
      <c r="BC570" s="172"/>
      <c r="BD570" s="172"/>
      <c r="BE570" s="172"/>
      <c r="BF570" s="172"/>
      <c r="BG570" s="172"/>
      <c r="BH570" s="172"/>
      <c r="BI570" s="172"/>
      <c r="BJ570" s="172"/>
      <c r="BK570" s="172"/>
      <c r="BL570" s="172"/>
      <c r="BM570" s="172"/>
      <c r="BN570" s="172"/>
      <c r="BO570" s="172"/>
      <c r="BP570" s="172"/>
      <c r="BQ570" s="172"/>
      <c r="BR570" s="172"/>
      <c r="BS570" s="172"/>
      <c r="BT570" s="172"/>
      <c r="BU570" s="172"/>
      <c r="BV570" s="172"/>
      <c r="BW570" s="172"/>
      <c r="BX570" s="172"/>
      <c r="BY570" s="174"/>
      <c r="BZ570" s="172"/>
      <c r="CA570" s="172"/>
      <c r="CD570" s="194"/>
      <c r="CE570" s="194"/>
      <c r="CF570" s="194"/>
      <c r="CG570" s="194"/>
      <c r="CH570" s="195"/>
      <c r="CI570" s="194"/>
      <c r="CJ570" s="194"/>
      <c r="CK570" s="194"/>
      <c r="CL570" s="196"/>
      <c r="CM570" s="196"/>
      <c r="CN570" s="194"/>
      <c r="CO570" s="197"/>
      <c r="CP570" s="196"/>
      <c r="CQ570" s="196"/>
      <c r="CR570" s="196"/>
      <c r="CS570" s="196"/>
      <c r="CT570" s="196"/>
      <c r="CU570" s="196"/>
      <c r="CV570" s="194"/>
      <c r="CW570" s="194"/>
      <c r="CX570" s="194"/>
      <c r="CY570" s="194"/>
      <c r="CZ570" s="194"/>
      <c r="DA570" s="194"/>
      <c r="DB570" s="194"/>
      <c r="DC570" s="194"/>
      <c r="DD570" s="194"/>
      <c r="DE570" s="194"/>
      <c r="DF570" s="196"/>
      <c r="DG570" s="198"/>
      <c r="DH570" s="194"/>
      <c r="DI570" s="194"/>
    </row>
    <row r="571" spans="1:113" s="24" customFormat="1" hidden="1" x14ac:dyDescent="0.3">
      <c r="A571" s="172"/>
      <c r="B571" s="172"/>
      <c r="C571" s="172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  <c r="AE571" s="173"/>
      <c r="AF571" s="173"/>
      <c r="AG571" s="173"/>
      <c r="AH571" s="173"/>
      <c r="AI571" s="173"/>
      <c r="AJ571" s="173"/>
      <c r="AK571" s="173"/>
      <c r="AL571" s="173"/>
      <c r="AM571" s="173"/>
      <c r="AN571" s="173"/>
      <c r="AO571" s="173"/>
      <c r="AP571" s="173"/>
      <c r="AQ571" s="173"/>
      <c r="AR571" s="173"/>
      <c r="AS571" s="172"/>
      <c r="AT571" s="172"/>
      <c r="AU571" s="172"/>
      <c r="AV571" s="172"/>
      <c r="AW571" s="172"/>
      <c r="AX571" s="172"/>
      <c r="AY571" s="172"/>
      <c r="AZ571" s="172"/>
      <c r="BA571" s="172"/>
      <c r="BB571" s="172"/>
      <c r="BC571" s="172"/>
      <c r="BD571" s="172"/>
      <c r="BE571" s="172"/>
      <c r="BF571" s="172"/>
      <c r="BG571" s="172"/>
      <c r="BH571" s="172"/>
      <c r="BI571" s="172"/>
      <c r="BJ571" s="172"/>
      <c r="BK571" s="172"/>
      <c r="BL571" s="172"/>
      <c r="BM571" s="172"/>
      <c r="BN571" s="172"/>
      <c r="BO571" s="172"/>
      <c r="BP571" s="172"/>
      <c r="BQ571" s="172"/>
      <c r="BR571" s="172"/>
      <c r="BS571" s="172"/>
      <c r="BT571" s="172"/>
      <c r="BU571" s="172"/>
      <c r="BV571" s="172"/>
      <c r="BW571" s="172"/>
      <c r="BX571" s="172"/>
      <c r="BY571" s="174"/>
      <c r="BZ571" s="172"/>
      <c r="CA571" s="172"/>
      <c r="CD571" s="194"/>
      <c r="CE571" s="194"/>
      <c r="CF571" s="194"/>
      <c r="CG571" s="194"/>
      <c r="CH571" s="195"/>
      <c r="CI571" s="194"/>
      <c r="CJ571" s="194"/>
      <c r="CK571" s="194"/>
      <c r="CL571" s="196"/>
      <c r="CM571" s="196"/>
      <c r="CN571" s="194"/>
      <c r="CO571" s="197"/>
      <c r="CP571" s="196"/>
      <c r="CQ571" s="196"/>
      <c r="CR571" s="196"/>
      <c r="CS571" s="196"/>
      <c r="CT571" s="196"/>
      <c r="CU571" s="196"/>
      <c r="CV571" s="194"/>
      <c r="CW571" s="194"/>
      <c r="CX571" s="194"/>
      <c r="CY571" s="194"/>
      <c r="CZ571" s="194"/>
      <c r="DA571" s="194"/>
      <c r="DB571" s="194"/>
      <c r="DC571" s="194"/>
      <c r="DD571" s="194"/>
      <c r="DE571" s="194"/>
      <c r="DF571" s="196"/>
      <c r="DG571" s="198"/>
      <c r="DH571" s="194"/>
      <c r="DI571" s="194"/>
    </row>
    <row r="572" spans="1:113" s="24" customFormat="1" hidden="1" x14ac:dyDescent="0.3">
      <c r="A572" s="172"/>
      <c r="B572" s="172"/>
      <c r="C572" s="172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  <c r="AE572" s="173"/>
      <c r="AF572" s="173"/>
      <c r="AG572" s="173"/>
      <c r="AH572" s="173"/>
      <c r="AI572" s="173"/>
      <c r="AJ572" s="173"/>
      <c r="AK572" s="173"/>
      <c r="AL572" s="173"/>
      <c r="AM572" s="173"/>
      <c r="AN572" s="173"/>
      <c r="AO572" s="173"/>
      <c r="AP572" s="173"/>
      <c r="AQ572" s="173"/>
      <c r="AR572" s="173"/>
      <c r="AS572" s="172"/>
      <c r="AT572" s="172"/>
      <c r="AU572" s="172"/>
      <c r="AV572" s="172"/>
      <c r="AW572" s="172"/>
      <c r="AX572" s="172"/>
      <c r="AY572" s="172"/>
      <c r="AZ572" s="172"/>
      <c r="BA572" s="172"/>
      <c r="BB572" s="172"/>
      <c r="BC572" s="172"/>
      <c r="BD572" s="172"/>
      <c r="BE572" s="172"/>
      <c r="BF572" s="172"/>
      <c r="BG572" s="172"/>
      <c r="BH572" s="172"/>
      <c r="BI572" s="172"/>
      <c r="BJ572" s="172"/>
      <c r="BK572" s="172"/>
      <c r="BL572" s="172"/>
      <c r="BM572" s="172"/>
      <c r="BN572" s="172"/>
      <c r="BO572" s="172"/>
      <c r="BP572" s="172"/>
      <c r="BQ572" s="172"/>
      <c r="BR572" s="172"/>
      <c r="BS572" s="172"/>
      <c r="BT572" s="172"/>
      <c r="BU572" s="172"/>
      <c r="BV572" s="172"/>
      <c r="BW572" s="172"/>
      <c r="BX572" s="172"/>
      <c r="BY572" s="174"/>
      <c r="BZ572" s="172"/>
      <c r="CA572" s="172"/>
      <c r="CD572" s="194"/>
      <c r="CE572" s="194"/>
      <c r="CF572" s="194"/>
      <c r="CG572" s="194"/>
      <c r="CH572" s="195"/>
      <c r="CI572" s="194"/>
      <c r="CJ572" s="194"/>
      <c r="CK572" s="194"/>
      <c r="CL572" s="196"/>
      <c r="CM572" s="196"/>
      <c r="CN572" s="194"/>
      <c r="CO572" s="197"/>
      <c r="CP572" s="196"/>
      <c r="CQ572" s="196"/>
      <c r="CR572" s="196"/>
      <c r="CS572" s="196"/>
      <c r="CT572" s="196"/>
      <c r="CU572" s="196"/>
      <c r="CV572" s="194"/>
      <c r="CW572" s="194"/>
      <c r="CX572" s="194"/>
      <c r="CY572" s="194"/>
      <c r="CZ572" s="194"/>
      <c r="DA572" s="194"/>
      <c r="DB572" s="194"/>
      <c r="DC572" s="194"/>
      <c r="DD572" s="194"/>
      <c r="DE572" s="194"/>
      <c r="DF572" s="196"/>
      <c r="DG572" s="198"/>
      <c r="DH572" s="194"/>
      <c r="DI572" s="194"/>
    </row>
    <row r="573" spans="1:113" s="24" customFormat="1" hidden="1" x14ac:dyDescent="0.3">
      <c r="A573" s="172"/>
      <c r="B573" s="172"/>
      <c r="C573" s="172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  <c r="AE573" s="173"/>
      <c r="AF573" s="173"/>
      <c r="AG573" s="173"/>
      <c r="AH573" s="173"/>
      <c r="AI573" s="173"/>
      <c r="AJ573" s="173"/>
      <c r="AK573" s="173"/>
      <c r="AL573" s="173"/>
      <c r="AM573" s="173"/>
      <c r="AN573" s="173"/>
      <c r="AO573" s="173"/>
      <c r="AP573" s="173"/>
      <c r="AQ573" s="173"/>
      <c r="AR573" s="173"/>
      <c r="AS573" s="172"/>
      <c r="AT573" s="172"/>
      <c r="AU573" s="172"/>
      <c r="AV573" s="172"/>
      <c r="AW573" s="172"/>
      <c r="AX573" s="172"/>
      <c r="AY573" s="172"/>
      <c r="AZ573" s="172"/>
      <c r="BA573" s="172"/>
      <c r="BB573" s="172"/>
      <c r="BC573" s="172"/>
      <c r="BD573" s="172"/>
      <c r="BE573" s="172"/>
      <c r="BF573" s="172"/>
      <c r="BG573" s="172"/>
      <c r="BH573" s="172"/>
      <c r="BI573" s="172"/>
      <c r="BJ573" s="172"/>
      <c r="BK573" s="172"/>
      <c r="BL573" s="172"/>
      <c r="BM573" s="172"/>
      <c r="BN573" s="172"/>
      <c r="BO573" s="172"/>
      <c r="BP573" s="172"/>
      <c r="BQ573" s="172"/>
      <c r="BR573" s="172"/>
      <c r="BS573" s="172"/>
      <c r="BT573" s="172"/>
      <c r="BU573" s="172"/>
      <c r="BV573" s="172"/>
      <c r="BW573" s="172"/>
      <c r="BX573" s="172"/>
      <c r="BY573" s="174"/>
      <c r="BZ573" s="172"/>
      <c r="CA573" s="172"/>
      <c r="CD573" s="194"/>
      <c r="CE573" s="194"/>
      <c r="CF573" s="194"/>
      <c r="CG573" s="194"/>
      <c r="CH573" s="195"/>
      <c r="CI573" s="194"/>
      <c r="CJ573" s="194"/>
      <c r="CK573" s="194"/>
      <c r="CL573" s="196"/>
      <c r="CM573" s="196"/>
      <c r="CN573" s="194"/>
      <c r="CO573" s="197"/>
      <c r="CP573" s="196"/>
      <c r="CQ573" s="196"/>
      <c r="CR573" s="196"/>
      <c r="CS573" s="196"/>
      <c r="CT573" s="196"/>
      <c r="CU573" s="196"/>
      <c r="CV573" s="194"/>
      <c r="CW573" s="194"/>
      <c r="CX573" s="194"/>
      <c r="CY573" s="194"/>
      <c r="CZ573" s="194"/>
      <c r="DA573" s="194"/>
      <c r="DB573" s="194"/>
      <c r="DC573" s="194"/>
      <c r="DD573" s="194"/>
      <c r="DE573" s="194"/>
      <c r="DF573" s="196"/>
      <c r="DG573" s="198"/>
      <c r="DH573" s="194"/>
      <c r="DI573" s="194"/>
    </row>
    <row r="574" spans="1:113" s="24" customFormat="1" hidden="1" x14ac:dyDescent="0.3">
      <c r="A574" s="172"/>
      <c r="B574" s="172"/>
      <c r="C574" s="172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  <c r="AE574" s="173"/>
      <c r="AF574" s="173"/>
      <c r="AG574" s="173"/>
      <c r="AH574" s="173"/>
      <c r="AI574" s="173"/>
      <c r="AJ574" s="173"/>
      <c r="AK574" s="173"/>
      <c r="AL574" s="173"/>
      <c r="AM574" s="173"/>
      <c r="AN574" s="173"/>
      <c r="AO574" s="173"/>
      <c r="AP574" s="173"/>
      <c r="AQ574" s="173"/>
      <c r="AR574" s="173"/>
      <c r="AS574" s="172"/>
      <c r="AT574" s="172"/>
      <c r="AU574" s="172"/>
      <c r="AV574" s="172"/>
      <c r="AW574" s="172"/>
      <c r="AX574" s="172"/>
      <c r="AY574" s="172"/>
      <c r="AZ574" s="172"/>
      <c r="BA574" s="172"/>
      <c r="BB574" s="172"/>
      <c r="BC574" s="172"/>
      <c r="BD574" s="172"/>
      <c r="BE574" s="172"/>
      <c r="BF574" s="172"/>
      <c r="BG574" s="172"/>
      <c r="BH574" s="172"/>
      <c r="BI574" s="172"/>
      <c r="BJ574" s="172"/>
      <c r="BK574" s="172"/>
      <c r="BL574" s="172"/>
      <c r="BM574" s="172"/>
      <c r="BN574" s="172"/>
      <c r="BO574" s="172"/>
      <c r="BP574" s="172"/>
      <c r="BQ574" s="172"/>
      <c r="BR574" s="172"/>
      <c r="BS574" s="172"/>
      <c r="BT574" s="172"/>
      <c r="BU574" s="172"/>
      <c r="BV574" s="172"/>
      <c r="BW574" s="172"/>
      <c r="BX574" s="172"/>
      <c r="BY574" s="174"/>
      <c r="BZ574" s="172"/>
      <c r="CA574" s="172"/>
      <c r="CD574" s="194"/>
      <c r="CE574" s="194"/>
      <c r="CF574" s="194"/>
      <c r="CG574" s="194"/>
      <c r="CH574" s="195"/>
      <c r="CI574" s="194"/>
      <c r="CJ574" s="194"/>
      <c r="CK574" s="194"/>
      <c r="CL574" s="196"/>
      <c r="CM574" s="196"/>
      <c r="CN574" s="194"/>
      <c r="CO574" s="197"/>
      <c r="CP574" s="196"/>
      <c r="CQ574" s="196"/>
      <c r="CR574" s="196"/>
      <c r="CS574" s="196"/>
      <c r="CT574" s="196"/>
      <c r="CU574" s="196"/>
      <c r="CV574" s="194"/>
      <c r="CW574" s="194"/>
      <c r="CX574" s="194"/>
      <c r="CY574" s="194"/>
      <c r="CZ574" s="194"/>
      <c r="DA574" s="194"/>
      <c r="DB574" s="194"/>
      <c r="DC574" s="194"/>
      <c r="DD574" s="194"/>
      <c r="DE574" s="194"/>
      <c r="DF574" s="196"/>
      <c r="DG574" s="198"/>
      <c r="DH574" s="194"/>
      <c r="DI574" s="194"/>
    </row>
    <row r="575" spans="1:113" s="24" customFormat="1" hidden="1" x14ac:dyDescent="0.3">
      <c r="A575" s="172"/>
      <c r="B575" s="172"/>
      <c r="C575" s="172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  <c r="AE575" s="173"/>
      <c r="AF575" s="173"/>
      <c r="AG575" s="173"/>
      <c r="AH575" s="173"/>
      <c r="AI575" s="173"/>
      <c r="AJ575" s="173"/>
      <c r="AK575" s="173"/>
      <c r="AL575" s="173"/>
      <c r="AM575" s="173"/>
      <c r="AN575" s="173"/>
      <c r="AO575" s="173"/>
      <c r="AP575" s="173"/>
      <c r="AQ575" s="173"/>
      <c r="AR575" s="173"/>
      <c r="AS575" s="172"/>
      <c r="AT575" s="172"/>
      <c r="AU575" s="172"/>
      <c r="AV575" s="172"/>
      <c r="AW575" s="172"/>
      <c r="AX575" s="172"/>
      <c r="AY575" s="172"/>
      <c r="AZ575" s="172"/>
      <c r="BA575" s="172"/>
      <c r="BB575" s="172"/>
      <c r="BC575" s="172"/>
      <c r="BD575" s="172"/>
      <c r="BE575" s="172"/>
      <c r="BF575" s="172"/>
      <c r="BG575" s="172"/>
      <c r="BH575" s="172"/>
      <c r="BI575" s="172"/>
      <c r="BJ575" s="172"/>
      <c r="BK575" s="172"/>
      <c r="BL575" s="172"/>
      <c r="BM575" s="172"/>
      <c r="BN575" s="172"/>
      <c r="BO575" s="172"/>
      <c r="BP575" s="172"/>
      <c r="BQ575" s="172"/>
      <c r="BR575" s="172"/>
      <c r="BS575" s="172"/>
      <c r="BT575" s="172"/>
      <c r="BU575" s="172"/>
      <c r="BV575" s="172"/>
      <c r="BW575" s="172"/>
      <c r="BX575" s="172"/>
      <c r="BY575" s="174"/>
      <c r="BZ575" s="172"/>
      <c r="CA575" s="172"/>
      <c r="CD575" s="194"/>
      <c r="CE575" s="194"/>
      <c r="CF575" s="194"/>
      <c r="CG575" s="194"/>
      <c r="CH575" s="195"/>
      <c r="CI575" s="194"/>
      <c r="CJ575" s="194"/>
      <c r="CK575" s="194"/>
      <c r="CL575" s="196"/>
      <c r="CM575" s="196"/>
      <c r="CN575" s="194"/>
      <c r="CO575" s="197"/>
      <c r="CP575" s="196"/>
      <c r="CQ575" s="196"/>
      <c r="CR575" s="196"/>
      <c r="CS575" s="196"/>
      <c r="CT575" s="196"/>
      <c r="CU575" s="196"/>
      <c r="CV575" s="194"/>
      <c r="CW575" s="194"/>
      <c r="CX575" s="194"/>
      <c r="CY575" s="194"/>
      <c r="CZ575" s="194"/>
      <c r="DA575" s="194"/>
      <c r="DB575" s="194"/>
      <c r="DC575" s="194"/>
      <c r="DD575" s="194"/>
      <c r="DE575" s="194"/>
      <c r="DF575" s="196"/>
      <c r="DG575" s="198"/>
      <c r="DH575" s="194"/>
      <c r="DI575" s="194"/>
    </row>
    <row r="576" spans="1:113" s="24" customFormat="1" hidden="1" x14ac:dyDescent="0.3">
      <c r="A576" s="172"/>
      <c r="B576" s="172"/>
      <c r="C576" s="172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  <c r="AE576" s="173"/>
      <c r="AF576" s="173"/>
      <c r="AG576" s="173"/>
      <c r="AH576" s="173"/>
      <c r="AI576" s="173"/>
      <c r="AJ576" s="173"/>
      <c r="AK576" s="173"/>
      <c r="AL576" s="173"/>
      <c r="AM576" s="173"/>
      <c r="AN576" s="173"/>
      <c r="AO576" s="173"/>
      <c r="AP576" s="173"/>
      <c r="AQ576" s="173"/>
      <c r="AR576" s="173"/>
      <c r="AS576" s="172"/>
      <c r="AT576" s="172"/>
      <c r="AU576" s="172"/>
      <c r="AV576" s="172"/>
      <c r="AW576" s="172"/>
      <c r="AX576" s="172"/>
      <c r="AY576" s="172"/>
      <c r="AZ576" s="172"/>
      <c r="BA576" s="172"/>
      <c r="BB576" s="172"/>
      <c r="BC576" s="172"/>
      <c r="BD576" s="172"/>
      <c r="BE576" s="172"/>
      <c r="BF576" s="172"/>
      <c r="BG576" s="172"/>
      <c r="BH576" s="172"/>
      <c r="BI576" s="172"/>
      <c r="BJ576" s="172"/>
      <c r="BK576" s="172"/>
      <c r="BL576" s="172"/>
      <c r="BM576" s="172"/>
      <c r="BN576" s="172"/>
      <c r="BO576" s="172"/>
      <c r="BP576" s="172"/>
      <c r="BQ576" s="172"/>
      <c r="BR576" s="172"/>
      <c r="BS576" s="172"/>
      <c r="BT576" s="172"/>
      <c r="BU576" s="172"/>
      <c r="BV576" s="172"/>
      <c r="BW576" s="172"/>
      <c r="BX576" s="172"/>
      <c r="BY576" s="174"/>
      <c r="BZ576" s="172"/>
      <c r="CA576" s="172"/>
      <c r="CD576" s="194"/>
      <c r="CE576" s="194"/>
      <c r="CF576" s="194"/>
      <c r="CG576" s="194"/>
      <c r="CH576" s="195"/>
      <c r="CI576" s="194"/>
      <c r="CJ576" s="194"/>
      <c r="CK576" s="194"/>
      <c r="CL576" s="196"/>
      <c r="CM576" s="196"/>
      <c r="CN576" s="194"/>
      <c r="CO576" s="197"/>
      <c r="CP576" s="196"/>
      <c r="CQ576" s="196"/>
      <c r="CR576" s="196"/>
      <c r="CS576" s="196"/>
      <c r="CT576" s="196"/>
      <c r="CU576" s="196"/>
      <c r="CV576" s="194"/>
      <c r="CW576" s="194"/>
      <c r="CX576" s="194"/>
      <c r="CY576" s="194"/>
      <c r="CZ576" s="194"/>
      <c r="DA576" s="194"/>
      <c r="DB576" s="194"/>
      <c r="DC576" s="194"/>
      <c r="DD576" s="194"/>
      <c r="DE576" s="194"/>
      <c r="DF576" s="196"/>
      <c r="DG576" s="198"/>
      <c r="DH576" s="194"/>
      <c r="DI576" s="194"/>
    </row>
    <row r="577" spans="1:113" s="24" customFormat="1" hidden="1" x14ac:dyDescent="0.3">
      <c r="A577" s="172"/>
      <c r="B577" s="172"/>
      <c r="C577" s="172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  <c r="AE577" s="173"/>
      <c r="AF577" s="173"/>
      <c r="AG577" s="173"/>
      <c r="AH577" s="173"/>
      <c r="AI577" s="173"/>
      <c r="AJ577" s="173"/>
      <c r="AK577" s="173"/>
      <c r="AL577" s="173"/>
      <c r="AM577" s="173"/>
      <c r="AN577" s="173"/>
      <c r="AO577" s="173"/>
      <c r="AP577" s="173"/>
      <c r="AQ577" s="173"/>
      <c r="AR577" s="173"/>
      <c r="AS577" s="172"/>
      <c r="AT577" s="172"/>
      <c r="AU577" s="172"/>
      <c r="AV577" s="172"/>
      <c r="AW577" s="172"/>
      <c r="AX577" s="172"/>
      <c r="AY577" s="172"/>
      <c r="AZ577" s="172"/>
      <c r="BA577" s="172"/>
      <c r="BB577" s="172"/>
      <c r="BC577" s="172"/>
      <c r="BD577" s="172"/>
      <c r="BE577" s="172"/>
      <c r="BF577" s="172"/>
      <c r="BG577" s="172"/>
      <c r="BH577" s="172"/>
      <c r="BI577" s="172"/>
      <c r="BJ577" s="172"/>
      <c r="BK577" s="172"/>
      <c r="BL577" s="172"/>
      <c r="BM577" s="172"/>
      <c r="BN577" s="172"/>
      <c r="BO577" s="172"/>
      <c r="BP577" s="172"/>
      <c r="BQ577" s="172"/>
      <c r="BR577" s="172"/>
      <c r="BS577" s="172"/>
      <c r="BT577" s="172"/>
      <c r="BU577" s="172"/>
      <c r="BV577" s="172"/>
      <c r="BW577" s="172"/>
      <c r="BX577" s="172"/>
      <c r="BY577" s="174"/>
      <c r="BZ577" s="172"/>
      <c r="CA577" s="172"/>
      <c r="CD577" s="194"/>
      <c r="CE577" s="194"/>
      <c r="CF577" s="194"/>
      <c r="CG577" s="194"/>
      <c r="CH577" s="195"/>
      <c r="CI577" s="194"/>
      <c r="CJ577" s="194"/>
      <c r="CK577" s="194"/>
      <c r="CL577" s="196"/>
      <c r="CM577" s="196"/>
      <c r="CN577" s="194"/>
      <c r="CO577" s="197"/>
      <c r="CP577" s="196"/>
      <c r="CQ577" s="196"/>
      <c r="CR577" s="196"/>
      <c r="CS577" s="196"/>
      <c r="CT577" s="196"/>
      <c r="CU577" s="196"/>
      <c r="CV577" s="194"/>
      <c r="CW577" s="194"/>
      <c r="CX577" s="194"/>
      <c r="CY577" s="194"/>
      <c r="CZ577" s="194"/>
      <c r="DA577" s="194"/>
      <c r="DB577" s="194"/>
      <c r="DC577" s="194"/>
      <c r="DD577" s="194"/>
      <c r="DE577" s="194"/>
      <c r="DF577" s="196"/>
      <c r="DG577" s="198"/>
      <c r="DH577" s="194"/>
      <c r="DI577" s="194"/>
    </row>
    <row r="578" spans="1:113" s="24" customFormat="1" hidden="1" x14ac:dyDescent="0.3">
      <c r="A578" s="172"/>
      <c r="B578" s="172"/>
      <c r="C578" s="172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  <c r="AE578" s="173"/>
      <c r="AF578" s="173"/>
      <c r="AG578" s="173"/>
      <c r="AH578" s="173"/>
      <c r="AI578" s="173"/>
      <c r="AJ578" s="173"/>
      <c r="AK578" s="173"/>
      <c r="AL578" s="173"/>
      <c r="AM578" s="173"/>
      <c r="AN578" s="173"/>
      <c r="AO578" s="173"/>
      <c r="AP578" s="173"/>
      <c r="AQ578" s="173"/>
      <c r="AR578" s="173"/>
      <c r="AS578" s="172"/>
      <c r="AT578" s="172"/>
      <c r="AU578" s="172"/>
      <c r="AV578" s="172"/>
      <c r="AW578" s="172"/>
      <c r="AX578" s="172"/>
      <c r="AY578" s="172"/>
      <c r="AZ578" s="172"/>
      <c r="BA578" s="172"/>
      <c r="BB578" s="172"/>
      <c r="BC578" s="172"/>
      <c r="BD578" s="172"/>
      <c r="BE578" s="172"/>
      <c r="BF578" s="172"/>
      <c r="BG578" s="172"/>
      <c r="BH578" s="172"/>
      <c r="BI578" s="172"/>
      <c r="BJ578" s="172"/>
      <c r="BK578" s="172"/>
      <c r="BL578" s="172"/>
      <c r="BM578" s="172"/>
      <c r="BN578" s="172"/>
      <c r="BO578" s="172"/>
      <c r="BP578" s="172"/>
      <c r="BQ578" s="172"/>
      <c r="BR578" s="172"/>
      <c r="BS578" s="172"/>
      <c r="BT578" s="172"/>
      <c r="BU578" s="172"/>
      <c r="BV578" s="172"/>
      <c r="BW578" s="172"/>
      <c r="BX578" s="172"/>
      <c r="BY578" s="174"/>
      <c r="BZ578" s="172"/>
      <c r="CA578" s="172"/>
      <c r="CD578" s="194"/>
      <c r="CE578" s="194"/>
      <c r="CF578" s="194"/>
      <c r="CG578" s="194"/>
      <c r="CH578" s="195"/>
      <c r="CI578" s="194"/>
      <c r="CJ578" s="194"/>
      <c r="CK578" s="194"/>
      <c r="CL578" s="196"/>
      <c r="CM578" s="196"/>
      <c r="CN578" s="194"/>
      <c r="CO578" s="197"/>
      <c r="CP578" s="196"/>
      <c r="CQ578" s="196"/>
      <c r="CR578" s="196"/>
      <c r="CS578" s="196"/>
      <c r="CT578" s="196"/>
      <c r="CU578" s="196"/>
      <c r="CV578" s="194"/>
      <c r="CW578" s="194"/>
      <c r="CX578" s="194"/>
      <c r="CY578" s="194"/>
      <c r="CZ578" s="194"/>
      <c r="DA578" s="194"/>
      <c r="DB578" s="194"/>
      <c r="DC578" s="194"/>
      <c r="DD578" s="194"/>
      <c r="DE578" s="194"/>
      <c r="DF578" s="196"/>
      <c r="DG578" s="198"/>
      <c r="DH578" s="194"/>
      <c r="DI578" s="194"/>
    </row>
    <row r="579" spans="1:113" s="24" customFormat="1" hidden="1" x14ac:dyDescent="0.3">
      <c r="A579" s="172"/>
      <c r="B579" s="172"/>
      <c r="C579" s="172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  <c r="AE579" s="173"/>
      <c r="AF579" s="173"/>
      <c r="AG579" s="173"/>
      <c r="AH579" s="173"/>
      <c r="AI579" s="173"/>
      <c r="AJ579" s="173"/>
      <c r="AK579" s="173"/>
      <c r="AL579" s="173"/>
      <c r="AM579" s="173"/>
      <c r="AN579" s="173"/>
      <c r="AO579" s="173"/>
      <c r="AP579" s="173"/>
      <c r="AQ579" s="173"/>
      <c r="AR579" s="173"/>
      <c r="AS579" s="172"/>
      <c r="AT579" s="172"/>
      <c r="AU579" s="172"/>
      <c r="AV579" s="172"/>
      <c r="AW579" s="172"/>
      <c r="AX579" s="172"/>
      <c r="AY579" s="172"/>
      <c r="AZ579" s="172"/>
      <c r="BA579" s="172"/>
      <c r="BB579" s="172"/>
      <c r="BC579" s="172"/>
      <c r="BD579" s="172"/>
      <c r="BE579" s="172"/>
      <c r="BF579" s="172"/>
      <c r="BG579" s="172"/>
      <c r="BH579" s="172"/>
      <c r="BI579" s="172"/>
      <c r="BJ579" s="172"/>
      <c r="BK579" s="172"/>
      <c r="BL579" s="172"/>
      <c r="BM579" s="172"/>
      <c r="BN579" s="172"/>
      <c r="BO579" s="172"/>
      <c r="BP579" s="172"/>
      <c r="BQ579" s="172"/>
      <c r="BR579" s="172"/>
      <c r="BS579" s="172"/>
      <c r="BT579" s="172"/>
      <c r="BU579" s="172"/>
      <c r="BV579" s="172"/>
      <c r="BW579" s="172"/>
      <c r="BX579" s="172"/>
      <c r="BY579" s="174"/>
      <c r="BZ579" s="172"/>
      <c r="CA579" s="172"/>
      <c r="CD579" s="194"/>
      <c r="CE579" s="194"/>
      <c r="CF579" s="194"/>
      <c r="CG579" s="194"/>
      <c r="CH579" s="195"/>
      <c r="CI579" s="194"/>
      <c r="CJ579" s="194"/>
      <c r="CK579" s="194"/>
      <c r="CL579" s="196"/>
      <c r="CM579" s="196"/>
      <c r="CN579" s="194"/>
      <c r="CO579" s="197"/>
      <c r="CP579" s="196"/>
      <c r="CQ579" s="196"/>
      <c r="CR579" s="196"/>
      <c r="CS579" s="196"/>
      <c r="CT579" s="196"/>
      <c r="CU579" s="196"/>
      <c r="CV579" s="194"/>
      <c r="CW579" s="194"/>
      <c r="CX579" s="194"/>
      <c r="CY579" s="194"/>
      <c r="CZ579" s="194"/>
      <c r="DA579" s="194"/>
      <c r="DB579" s="194"/>
      <c r="DC579" s="194"/>
      <c r="DD579" s="194"/>
      <c r="DE579" s="194"/>
      <c r="DF579" s="196"/>
      <c r="DG579" s="198"/>
      <c r="DH579" s="194"/>
      <c r="DI579" s="194"/>
    </row>
    <row r="580" spans="1:113" s="24" customFormat="1" hidden="1" x14ac:dyDescent="0.3">
      <c r="A580" s="172"/>
      <c r="B580" s="172"/>
      <c r="C580" s="172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  <c r="AE580" s="173"/>
      <c r="AF580" s="173"/>
      <c r="AG580" s="173"/>
      <c r="AH580" s="173"/>
      <c r="AI580" s="173"/>
      <c r="AJ580" s="173"/>
      <c r="AK580" s="173"/>
      <c r="AL580" s="173"/>
      <c r="AM580" s="173"/>
      <c r="AN580" s="173"/>
      <c r="AO580" s="173"/>
      <c r="AP580" s="173"/>
      <c r="AQ580" s="173"/>
      <c r="AR580" s="173"/>
      <c r="AS580" s="172"/>
      <c r="AT580" s="172"/>
      <c r="AU580" s="172"/>
      <c r="AV580" s="172"/>
      <c r="AW580" s="172"/>
      <c r="AX580" s="172"/>
      <c r="AY580" s="172"/>
      <c r="AZ580" s="172"/>
      <c r="BA580" s="172"/>
      <c r="BB580" s="172"/>
      <c r="BC580" s="172"/>
      <c r="BD580" s="172"/>
      <c r="BE580" s="172"/>
      <c r="BF580" s="172"/>
      <c r="BG580" s="172"/>
      <c r="BH580" s="172"/>
      <c r="BI580" s="172"/>
      <c r="BJ580" s="172"/>
      <c r="BK580" s="172"/>
      <c r="BL580" s="172"/>
      <c r="BM580" s="172"/>
      <c r="BN580" s="172"/>
      <c r="BO580" s="172"/>
      <c r="BP580" s="172"/>
      <c r="BQ580" s="172"/>
      <c r="BR580" s="172"/>
      <c r="BS580" s="172"/>
      <c r="BT580" s="172"/>
      <c r="BU580" s="172"/>
      <c r="BV580" s="172"/>
      <c r="BW580" s="172"/>
      <c r="BX580" s="172"/>
      <c r="BY580" s="174"/>
      <c r="BZ580" s="172"/>
      <c r="CA580" s="172"/>
      <c r="CD580" s="194"/>
      <c r="CE580" s="194"/>
      <c r="CF580" s="194"/>
      <c r="CG580" s="194"/>
      <c r="CH580" s="195"/>
      <c r="CI580" s="194"/>
      <c r="CJ580" s="194"/>
      <c r="CK580" s="194"/>
      <c r="CL580" s="196"/>
      <c r="CM580" s="196"/>
      <c r="CN580" s="194"/>
      <c r="CO580" s="197"/>
      <c r="CP580" s="196"/>
      <c r="CQ580" s="196"/>
      <c r="CR580" s="196"/>
      <c r="CS580" s="196"/>
      <c r="CT580" s="196"/>
      <c r="CU580" s="196"/>
      <c r="CV580" s="194"/>
      <c r="CW580" s="194"/>
      <c r="CX580" s="194"/>
      <c r="CY580" s="194"/>
      <c r="CZ580" s="194"/>
      <c r="DA580" s="194"/>
      <c r="DB580" s="194"/>
      <c r="DC580" s="194"/>
      <c r="DD580" s="194"/>
      <c r="DE580" s="194"/>
      <c r="DF580" s="196"/>
      <c r="DG580" s="198"/>
      <c r="DH580" s="194"/>
      <c r="DI580" s="194"/>
    </row>
    <row r="581" spans="1:113" s="24" customFormat="1" hidden="1" x14ac:dyDescent="0.3">
      <c r="A581" s="172"/>
      <c r="B581" s="172"/>
      <c r="C581" s="172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  <c r="AE581" s="173"/>
      <c r="AF581" s="173"/>
      <c r="AG581" s="173"/>
      <c r="AH581" s="173"/>
      <c r="AI581" s="173"/>
      <c r="AJ581" s="173"/>
      <c r="AK581" s="173"/>
      <c r="AL581" s="173"/>
      <c r="AM581" s="173"/>
      <c r="AN581" s="173"/>
      <c r="AO581" s="173"/>
      <c r="AP581" s="173"/>
      <c r="AQ581" s="173"/>
      <c r="AR581" s="173"/>
      <c r="AS581" s="172"/>
      <c r="AT581" s="172"/>
      <c r="AU581" s="172"/>
      <c r="AV581" s="172"/>
      <c r="AW581" s="172"/>
      <c r="AX581" s="172"/>
      <c r="AY581" s="172"/>
      <c r="AZ581" s="172"/>
      <c r="BA581" s="172"/>
      <c r="BB581" s="172"/>
      <c r="BC581" s="172"/>
      <c r="BD581" s="172"/>
      <c r="BE581" s="172"/>
      <c r="BF581" s="172"/>
      <c r="BG581" s="172"/>
      <c r="BH581" s="172"/>
      <c r="BI581" s="172"/>
      <c r="BJ581" s="172"/>
      <c r="BK581" s="172"/>
      <c r="BL581" s="172"/>
      <c r="BM581" s="172"/>
      <c r="BN581" s="172"/>
      <c r="BO581" s="172"/>
      <c r="BP581" s="172"/>
      <c r="BQ581" s="172"/>
      <c r="BR581" s="172"/>
      <c r="BS581" s="172"/>
      <c r="BT581" s="172"/>
      <c r="BU581" s="172"/>
      <c r="BV581" s="172"/>
      <c r="BW581" s="172"/>
      <c r="BX581" s="172"/>
      <c r="BY581" s="174"/>
      <c r="BZ581" s="172"/>
      <c r="CA581" s="172"/>
      <c r="CD581" s="194"/>
      <c r="CE581" s="194"/>
      <c r="CF581" s="194"/>
      <c r="CG581" s="194"/>
      <c r="CH581" s="195"/>
      <c r="CI581" s="194"/>
      <c r="CJ581" s="194"/>
      <c r="CK581" s="194"/>
      <c r="CL581" s="196"/>
      <c r="CM581" s="196"/>
      <c r="CN581" s="194"/>
      <c r="CO581" s="197"/>
      <c r="CP581" s="196"/>
      <c r="CQ581" s="196"/>
      <c r="CR581" s="196"/>
      <c r="CS581" s="196"/>
      <c r="CT581" s="196"/>
      <c r="CU581" s="196"/>
      <c r="CV581" s="194"/>
      <c r="CW581" s="194"/>
      <c r="CX581" s="194"/>
      <c r="CY581" s="194"/>
      <c r="CZ581" s="194"/>
      <c r="DA581" s="194"/>
      <c r="DB581" s="194"/>
      <c r="DC581" s="194"/>
      <c r="DD581" s="194"/>
      <c r="DE581" s="194"/>
      <c r="DF581" s="196"/>
      <c r="DG581" s="198"/>
      <c r="DH581" s="194"/>
      <c r="DI581" s="194"/>
    </row>
    <row r="582" spans="1:113" s="24" customFormat="1" hidden="1" x14ac:dyDescent="0.3">
      <c r="A582" s="172"/>
      <c r="B582" s="172"/>
      <c r="C582" s="172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  <c r="AE582" s="173"/>
      <c r="AF582" s="173"/>
      <c r="AG582" s="173"/>
      <c r="AH582" s="173"/>
      <c r="AI582" s="173"/>
      <c r="AJ582" s="173"/>
      <c r="AK582" s="173"/>
      <c r="AL582" s="173"/>
      <c r="AM582" s="173"/>
      <c r="AN582" s="173"/>
      <c r="AO582" s="173"/>
      <c r="AP582" s="173"/>
      <c r="AQ582" s="173"/>
      <c r="AR582" s="173"/>
      <c r="AS582" s="172"/>
      <c r="AT582" s="172"/>
      <c r="AU582" s="172"/>
      <c r="AV582" s="172"/>
      <c r="AW582" s="172"/>
      <c r="AX582" s="172"/>
      <c r="AY582" s="172"/>
      <c r="AZ582" s="172"/>
      <c r="BA582" s="172"/>
      <c r="BB582" s="172"/>
      <c r="BC582" s="172"/>
      <c r="BD582" s="172"/>
      <c r="BE582" s="172"/>
      <c r="BF582" s="172"/>
      <c r="BG582" s="172"/>
      <c r="BH582" s="172"/>
      <c r="BI582" s="172"/>
      <c r="BJ582" s="172"/>
      <c r="BK582" s="172"/>
      <c r="BL582" s="172"/>
      <c r="BM582" s="172"/>
      <c r="BN582" s="172"/>
      <c r="BO582" s="172"/>
      <c r="BP582" s="172"/>
      <c r="BQ582" s="172"/>
      <c r="BR582" s="172"/>
      <c r="BS582" s="172"/>
      <c r="BT582" s="172"/>
      <c r="BU582" s="172"/>
      <c r="BV582" s="172"/>
      <c r="BW582" s="172"/>
      <c r="BX582" s="172"/>
      <c r="BY582" s="174"/>
      <c r="BZ582" s="172"/>
      <c r="CA582" s="172"/>
      <c r="CD582" s="194"/>
      <c r="CE582" s="194"/>
      <c r="CF582" s="194"/>
      <c r="CG582" s="194"/>
      <c r="CH582" s="195"/>
      <c r="CI582" s="194"/>
      <c r="CJ582" s="194"/>
      <c r="CK582" s="194"/>
      <c r="CL582" s="196"/>
      <c r="CM582" s="196"/>
      <c r="CN582" s="194"/>
      <c r="CO582" s="197"/>
      <c r="CP582" s="196"/>
      <c r="CQ582" s="196"/>
      <c r="CR582" s="196"/>
      <c r="CS582" s="196"/>
      <c r="CT582" s="196"/>
      <c r="CU582" s="196"/>
      <c r="CV582" s="194"/>
      <c r="CW582" s="194"/>
      <c r="CX582" s="194"/>
      <c r="CY582" s="194"/>
      <c r="CZ582" s="194"/>
      <c r="DA582" s="194"/>
      <c r="DB582" s="194"/>
      <c r="DC582" s="194"/>
      <c r="DD582" s="194"/>
      <c r="DE582" s="194"/>
      <c r="DF582" s="196"/>
      <c r="DG582" s="198"/>
      <c r="DH582" s="194"/>
      <c r="DI582" s="194"/>
    </row>
    <row r="583" spans="1:113" s="24" customFormat="1" hidden="1" x14ac:dyDescent="0.3">
      <c r="A583" s="172"/>
      <c r="B583" s="172"/>
      <c r="C583" s="172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  <c r="AE583" s="173"/>
      <c r="AF583" s="173"/>
      <c r="AG583" s="173"/>
      <c r="AH583" s="173"/>
      <c r="AI583" s="173"/>
      <c r="AJ583" s="173"/>
      <c r="AK583" s="173"/>
      <c r="AL583" s="173"/>
      <c r="AM583" s="173"/>
      <c r="AN583" s="173"/>
      <c r="AO583" s="173"/>
      <c r="AP583" s="173"/>
      <c r="AQ583" s="173"/>
      <c r="AR583" s="173"/>
      <c r="AS583" s="172"/>
      <c r="AT583" s="172"/>
      <c r="AU583" s="172"/>
      <c r="AV583" s="172"/>
      <c r="AW583" s="172"/>
      <c r="AX583" s="172"/>
      <c r="AY583" s="172"/>
      <c r="AZ583" s="172"/>
      <c r="BA583" s="172"/>
      <c r="BB583" s="172"/>
      <c r="BC583" s="172"/>
      <c r="BD583" s="172"/>
      <c r="BE583" s="172"/>
      <c r="BF583" s="172"/>
      <c r="BG583" s="172"/>
      <c r="BH583" s="172"/>
      <c r="BI583" s="172"/>
      <c r="BJ583" s="172"/>
      <c r="BK583" s="172"/>
      <c r="BL583" s="172"/>
      <c r="BM583" s="172"/>
      <c r="BN583" s="172"/>
      <c r="BO583" s="172"/>
      <c r="BP583" s="172"/>
      <c r="BQ583" s="172"/>
      <c r="BR583" s="172"/>
      <c r="BS583" s="172"/>
      <c r="BT583" s="172"/>
      <c r="BU583" s="172"/>
      <c r="BV583" s="172"/>
      <c r="BW583" s="172"/>
      <c r="BX583" s="172"/>
      <c r="BY583" s="174"/>
      <c r="BZ583" s="172"/>
      <c r="CA583" s="172"/>
      <c r="CD583" s="194"/>
      <c r="CE583" s="194"/>
      <c r="CF583" s="194"/>
      <c r="CG583" s="194"/>
      <c r="CH583" s="195"/>
      <c r="CI583" s="194"/>
      <c r="CJ583" s="194"/>
      <c r="CK583" s="194"/>
      <c r="CL583" s="196"/>
      <c r="CM583" s="196"/>
      <c r="CN583" s="194"/>
      <c r="CO583" s="197"/>
      <c r="CP583" s="196"/>
      <c r="CQ583" s="196"/>
      <c r="CR583" s="196"/>
      <c r="CS583" s="196"/>
      <c r="CT583" s="196"/>
      <c r="CU583" s="196"/>
      <c r="CV583" s="194"/>
      <c r="CW583" s="194"/>
      <c r="CX583" s="194"/>
      <c r="CY583" s="194"/>
      <c r="CZ583" s="194"/>
      <c r="DA583" s="194"/>
      <c r="DB583" s="194"/>
      <c r="DC583" s="194"/>
      <c r="DD583" s="194"/>
      <c r="DE583" s="194"/>
      <c r="DF583" s="196"/>
      <c r="DG583" s="198"/>
      <c r="DH583" s="194"/>
      <c r="DI583" s="194"/>
    </row>
    <row r="584" spans="1:113" s="24" customFormat="1" hidden="1" x14ac:dyDescent="0.3">
      <c r="A584" s="172"/>
      <c r="B584" s="172"/>
      <c r="C584" s="172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  <c r="AE584" s="173"/>
      <c r="AF584" s="173"/>
      <c r="AG584" s="173"/>
      <c r="AH584" s="173"/>
      <c r="AI584" s="173"/>
      <c r="AJ584" s="173"/>
      <c r="AK584" s="173"/>
      <c r="AL584" s="173"/>
      <c r="AM584" s="173"/>
      <c r="AN584" s="173"/>
      <c r="AO584" s="173"/>
      <c r="AP584" s="173"/>
      <c r="AQ584" s="173"/>
      <c r="AR584" s="173"/>
      <c r="AS584" s="172"/>
      <c r="AT584" s="172"/>
      <c r="AU584" s="172"/>
      <c r="AV584" s="172"/>
      <c r="AW584" s="172"/>
      <c r="AX584" s="172"/>
      <c r="AY584" s="172"/>
      <c r="AZ584" s="172"/>
      <c r="BA584" s="172"/>
      <c r="BB584" s="172"/>
      <c r="BC584" s="172"/>
      <c r="BD584" s="172"/>
      <c r="BE584" s="172"/>
      <c r="BF584" s="172"/>
      <c r="BG584" s="172"/>
      <c r="BH584" s="172"/>
      <c r="BI584" s="172"/>
      <c r="BJ584" s="172"/>
      <c r="BK584" s="172"/>
      <c r="BL584" s="172"/>
      <c r="BM584" s="172"/>
      <c r="BN584" s="172"/>
      <c r="BO584" s="172"/>
      <c r="BP584" s="172"/>
      <c r="BQ584" s="172"/>
      <c r="BR584" s="172"/>
      <c r="BS584" s="172"/>
      <c r="BT584" s="172"/>
      <c r="BU584" s="172"/>
      <c r="BV584" s="172"/>
      <c r="BW584" s="172"/>
      <c r="BX584" s="172"/>
      <c r="BY584" s="174"/>
      <c r="BZ584" s="172"/>
      <c r="CA584" s="172"/>
      <c r="CD584" s="194"/>
      <c r="CE584" s="194"/>
      <c r="CF584" s="194"/>
      <c r="CG584" s="194"/>
      <c r="CH584" s="195"/>
      <c r="CI584" s="194"/>
      <c r="CJ584" s="194"/>
      <c r="CK584" s="194"/>
      <c r="CL584" s="196"/>
      <c r="CM584" s="196"/>
      <c r="CN584" s="194"/>
      <c r="CO584" s="197"/>
      <c r="CP584" s="196"/>
      <c r="CQ584" s="196"/>
      <c r="CR584" s="196"/>
      <c r="CS584" s="196"/>
      <c r="CT584" s="196"/>
      <c r="CU584" s="196"/>
      <c r="CV584" s="194"/>
      <c r="CW584" s="194"/>
      <c r="CX584" s="194"/>
      <c r="CY584" s="194"/>
      <c r="CZ584" s="194"/>
      <c r="DA584" s="194"/>
      <c r="DB584" s="194"/>
      <c r="DC584" s="194"/>
      <c r="DD584" s="194"/>
      <c r="DE584" s="194"/>
      <c r="DF584" s="196"/>
      <c r="DG584" s="198"/>
      <c r="DH584" s="194"/>
      <c r="DI584" s="194"/>
    </row>
    <row r="585" spans="1:113" s="24" customFormat="1" hidden="1" x14ac:dyDescent="0.3">
      <c r="A585" s="172"/>
      <c r="B585" s="172"/>
      <c r="C585" s="172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  <c r="AE585" s="173"/>
      <c r="AF585" s="173"/>
      <c r="AG585" s="173"/>
      <c r="AH585" s="173"/>
      <c r="AI585" s="173"/>
      <c r="AJ585" s="173"/>
      <c r="AK585" s="173"/>
      <c r="AL585" s="173"/>
      <c r="AM585" s="173"/>
      <c r="AN585" s="173"/>
      <c r="AO585" s="173"/>
      <c r="AP585" s="173"/>
      <c r="AQ585" s="173"/>
      <c r="AR585" s="173"/>
      <c r="AS585" s="172"/>
      <c r="AT585" s="172"/>
      <c r="AU585" s="172"/>
      <c r="AV585" s="172"/>
      <c r="AW585" s="172"/>
      <c r="AX585" s="172"/>
      <c r="AY585" s="172"/>
      <c r="AZ585" s="172"/>
      <c r="BA585" s="172"/>
      <c r="BB585" s="172"/>
      <c r="BC585" s="172"/>
      <c r="BD585" s="172"/>
      <c r="BE585" s="172"/>
      <c r="BF585" s="172"/>
      <c r="BG585" s="172"/>
      <c r="BH585" s="172"/>
      <c r="BI585" s="172"/>
      <c r="BJ585" s="172"/>
      <c r="BK585" s="172"/>
      <c r="BL585" s="172"/>
      <c r="BM585" s="172"/>
      <c r="BN585" s="172"/>
      <c r="BO585" s="172"/>
      <c r="BP585" s="172"/>
      <c r="BQ585" s="172"/>
      <c r="BR585" s="172"/>
      <c r="BS585" s="172"/>
      <c r="BT585" s="172"/>
      <c r="BU585" s="172"/>
      <c r="BV585" s="172"/>
      <c r="BW585" s="172"/>
      <c r="BX585" s="172"/>
      <c r="BY585" s="174"/>
      <c r="BZ585" s="172"/>
      <c r="CA585" s="172"/>
      <c r="CD585" s="194"/>
      <c r="CE585" s="194"/>
      <c r="CF585" s="194"/>
      <c r="CG585" s="194"/>
      <c r="CH585" s="195"/>
      <c r="CI585" s="194"/>
      <c r="CJ585" s="194"/>
      <c r="CK585" s="194"/>
      <c r="CL585" s="196"/>
      <c r="CM585" s="196"/>
      <c r="CN585" s="194"/>
      <c r="CO585" s="197"/>
      <c r="CP585" s="196"/>
      <c r="CQ585" s="196"/>
      <c r="CR585" s="196"/>
      <c r="CS585" s="196"/>
      <c r="CT585" s="196"/>
      <c r="CU585" s="196"/>
      <c r="CV585" s="194"/>
      <c r="CW585" s="194"/>
      <c r="CX585" s="194"/>
      <c r="CY585" s="194"/>
      <c r="CZ585" s="194"/>
      <c r="DA585" s="194"/>
      <c r="DB585" s="194"/>
      <c r="DC585" s="194"/>
      <c r="DD585" s="194"/>
      <c r="DE585" s="194"/>
      <c r="DF585" s="196"/>
      <c r="DG585" s="198"/>
      <c r="DH585" s="194"/>
      <c r="DI585" s="194"/>
    </row>
    <row r="586" spans="1:113" s="24" customFormat="1" hidden="1" x14ac:dyDescent="0.3">
      <c r="A586" s="172"/>
      <c r="B586" s="172"/>
      <c r="C586" s="172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  <c r="AE586" s="173"/>
      <c r="AF586" s="173"/>
      <c r="AG586" s="173"/>
      <c r="AH586" s="173"/>
      <c r="AI586" s="173"/>
      <c r="AJ586" s="173"/>
      <c r="AK586" s="173"/>
      <c r="AL586" s="173"/>
      <c r="AM586" s="173"/>
      <c r="AN586" s="173"/>
      <c r="AO586" s="173"/>
      <c r="AP586" s="173"/>
      <c r="AQ586" s="173"/>
      <c r="AR586" s="173"/>
      <c r="AS586" s="172"/>
      <c r="AT586" s="172"/>
      <c r="AU586" s="172"/>
      <c r="AV586" s="172"/>
      <c r="AW586" s="172"/>
      <c r="AX586" s="172"/>
      <c r="AY586" s="172"/>
      <c r="AZ586" s="172"/>
      <c r="BA586" s="172"/>
      <c r="BB586" s="172"/>
      <c r="BC586" s="172"/>
      <c r="BD586" s="172"/>
      <c r="BE586" s="172"/>
      <c r="BF586" s="172"/>
      <c r="BG586" s="172"/>
      <c r="BH586" s="172"/>
      <c r="BI586" s="172"/>
      <c r="BJ586" s="172"/>
      <c r="BK586" s="172"/>
      <c r="BL586" s="172"/>
      <c r="BM586" s="172"/>
      <c r="BN586" s="172"/>
      <c r="BO586" s="172"/>
      <c r="BP586" s="172"/>
      <c r="BQ586" s="172"/>
      <c r="BR586" s="172"/>
      <c r="BS586" s="172"/>
      <c r="BT586" s="172"/>
      <c r="BU586" s="172"/>
      <c r="BV586" s="172"/>
      <c r="BW586" s="172"/>
      <c r="BX586" s="172"/>
      <c r="BY586" s="174"/>
      <c r="BZ586" s="172"/>
      <c r="CA586" s="172"/>
      <c r="CD586" s="194"/>
      <c r="CE586" s="194"/>
      <c r="CF586" s="194"/>
      <c r="CG586" s="194"/>
      <c r="CH586" s="195"/>
      <c r="CI586" s="194"/>
      <c r="CJ586" s="194"/>
      <c r="CK586" s="194"/>
      <c r="CL586" s="196"/>
      <c r="CM586" s="196"/>
      <c r="CN586" s="194"/>
      <c r="CO586" s="197"/>
      <c r="CP586" s="196"/>
      <c r="CQ586" s="196"/>
      <c r="CR586" s="196"/>
      <c r="CS586" s="196"/>
      <c r="CT586" s="196"/>
      <c r="CU586" s="196"/>
      <c r="CV586" s="194"/>
      <c r="CW586" s="194"/>
      <c r="CX586" s="194"/>
      <c r="CY586" s="194"/>
      <c r="CZ586" s="194"/>
      <c r="DA586" s="194"/>
      <c r="DB586" s="194"/>
      <c r="DC586" s="194"/>
      <c r="DD586" s="194"/>
      <c r="DE586" s="194"/>
      <c r="DF586" s="196"/>
      <c r="DG586" s="198"/>
      <c r="DH586" s="194"/>
      <c r="DI586" s="194"/>
    </row>
    <row r="587" spans="1:113" s="24" customFormat="1" hidden="1" x14ac:dyDescent="0.3">
      <c r="A587" s="172"/>
      <c r="B587" s="172"/>
      <c r="C587" s="172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  <c r="AE587" s="173"/>
      <c r="AF587" s="173"/>
      <c r="AG587" s="173"/>
      <c r="AH587" s="173"/>
      <c r="AI587" s="173"/>
      <c r="AJ587" s="173"/>
      <c r="AK587" s="173"/>
      <c r="AL587" s="173"/>
      <c r="AM587" s="173"/>
      <c r="AN587" s="173"/>
      <c r="AO587" s="173"/>
      <c r="AP587" s="173"/>
      <c r="AQ587" s="173"/>
      <c r="AR587" s="173"/>
      <c r="AS587" s="172"/>
      <c r="AT587" s="172"/>
      <c r="AU587" s="172"/>
      <c r="AV587" s="172"/>
      <c r="AW587" s="172"/>
      <c r="AX587" s="172"/>
      <c r="AY587" s="172"/>
      <c r="AZ587" s="172"/>
      <c r="BA587" s="172"/>
      <c r="BB587" s="172"/>
      <c r="BC587" s="172"/>
      <c r="BD587" s="172"/>
      <c r="BE587" s="172"/>
      <c r="BF587" s="172"/>
      <c r="BG587" s="172"/>
      <c r="BH587" s="172"/>
      <c r="BI587" s="172"/>
      <c r="BJ587" s="172"/>
      <c r="BK587" s="172"/>
      <c r="BL587" s="172"/>
      <c r="BM587" s="172"/>
      <c r="BN587" s="172"/>
      <c r="BO587" s="172"/>
      <c r="BP587" s="172"/>
      <c r="BQ587" s="172"/>
      <c r="BR587" s="172"/>
      <c r="BS587" s="172"/>
      <c r="BT587" s="172"/>
      <c r="BU587" s="172"/>
      <c r="BV587" s="172"/>
      <c r="BW587" s="172"/>
      <c r="BX587" s="172"/>
      <c r="BY587" s="174"/>
      <c r="BZ587" s="172"/>
      <c r="CA587" s="172"/>
      <c r="CD587" s="194"/>
      <c r="CE587" s="194"/>
      <c r="CF587" s="194"/>
      <c r="CG587" s="194"/>
      <c r="CH587" s="195"/>
      <c r="CI587" s="194"/>
      <c r="CJ587" s="194"/>
      <c r="CK587" s="194"/>
      <c r="CL587" s="196"/>
      <c r="CM587" s="196"/>
      <c r="CN587" s="194"/>
      <c r="CO587" s="197"/>
      <c r="CP587" s="196"/>
      <c r="CQ587" s="196"/>
      <c r="CR587" s="196"/>
      <c r="CS587" s="196"/>
      <c r="CT587" s="196"/>
      <c r="CU587" s="196"/>
      <c r="CV587" s="194"/>
      <c r="CW587" s="194"/>
      <c r="CX587" s="194"/>
      <c r="CY587" s="194"/>
      <c r="CZ587" s="194"/>
      <c r="DA587" s="194"/>
      <c r="DB587" s="194"/>
      <c r="DC587" s="194"/>
      <c r="DD587" s="194"/>
      <c r="DE587" s="194"/>
      <c r="DF587" s="196"/>
      <c r="DG587" s="198"/>
      <c r="DH587" s="194"/>
      <c r="DI587" s="194"/>
    </row>
    <row r="588" spans="1:113" s="24" customFormat="1" hidden="1" x14ac:dyDescent="0.3">
      <c r="A588" s="172"/>
      <c r="B588" s="172"/>
      <c r="C588" s="172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  <c r="AE588" s="173"/>
      <c r="AF588" s="173"/>
      <c r="AG588" s="173"/>
      <c r="AH588" s="173"/>
      <c r="AI588" s="173"/>
      <c r="AJ588" s="173"/>
      <c r="AK588" s="173"/>
      <c r="AL588" s="173"/>
      <c r="AM588" s="173"/>
      <c r="AN588" s="173"/>
      <c r="AO588" s="173"/>
      <c r="AP588" s="173"/>
      <c r="AQ588" s="173"/>
      <c r="AR588" s="173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  <c r="BT588" s="172"/>
      <c r="BU588" s="172"/>
      <c r="BV588" s="172"/>
      <c r="BW588" s="172"/>
      <c r="BX588" s="172"/>
      <c r="BY588" s="174"/>
      <c r="BZ588" s="172"/>
      <c r="CA588" s="172"/>
      <c r="CD588" s="194"/>
      <c r="CE588" s="194"/>
      <c r="CF588" s="194"/>
      <c r="CG588" s="194"/>
      <c r="CH588" s="195"/>
      <c r="CI588" s="194"/>
      <c r="CJ588" s="194"/>
      <c r="CK588" s="194"/>
      <c r="CL588" s="196"/>
      <c r="CM588" s="196"/>
      <c r="CN588" s="194"/>
      <c r="CO588" s="197"/>
      <c r="CP588" s="196"/>
      <c r="CQ588" s="196"/>
      <c r="CR588" s="196"/>
      <c r="CS588" s="196"/>
      <c r="CT588" s="196"/>
      <c r="CU588" s="196"/>
      <c r="CV588" s="194"/>
      <c r="CW588" s="194"/>
      <c r="CX588" s="194"/>
      <c r="CY588" s="194"/>
      <c r="CZ588" s="194"/>
      <c r="DA588" s="194"/>
      <c r="DB588" s="194"/>
      <c r="DC588" s="194"/>
      <c r="DD588" s="194"/>
      <c r="DE588" s="194"/>
      <c r="DF588" s="196"/>
      <c r="DG588" s="198"/>
      <c r="DH588" s="194"/>
      <c r="DI588" s="194"/>
    </row>
    <row r="589" spans="1:113" s="24" customFormat="1" hidden="1" x14ac:dyDescent="0.3">
      <c r="A589" s="172"/>
      <c r="B589" s="172"/>
      <c r="C589" s="172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  <c r="AE589" s="173"/>
      <c r="AF589" s="173"/>
      <c r="AG589" s="173"/>
      <c r="AH589" s="173"/>
      <c r="AI589" s="173"/>
      <c r="AJ589" s="173"/>
      <c r="AK589" s="173"/>
      <c r="AL589" s="173"/>
      <c r="AM589" s="173"/>
      <c r="AN589" s="173"/>
      <c r="AO589" s="173"/>
      <c r="AP589" s="173"/>
      <c r="AQ589" s="173"/>
      <c r="AR589" s="173"/>
      <c r="AS589" s="172"/>
      <c r="AT589" s="172"/>
      <c r="AU589" s="172"/>
      <c r="AV589" s="172"/>
      <c r="AW589" s="172"/>
      <c r="AX589" s="172"/>
      <c r="AY589" s="172"/>
      <c r="AZ589" s="172"/>
      <c r="BA589" s="172"/>
      <c r="BB589" s="172"/>
      <c r="BC589" s="172"/>
      <c r="BD589" s="172"/>
      <c r="BE589" s="172"/>
      <c r="BF589" s="172"/>
      <c r="BG589" s="172"/>
      <c r="BH589" s="172"/>
      <c r="BI589" s="172"/>
      <c r="BJ589" s="172"/>
      <c r="BK589" s="172"/>
      <c r="BL589" s="172"/>
      <c r="BM589" s="172"/>
      <c r="BN589" s="172"/>
      <c r="BO589" s="172"/>
      <c r="BP589" s="172"/>
      <c r="BQ589" s="172"/>
      <c r="BR589" s="172"/>
      <c r="BS589" s="172"/>
      <c r="BT589" s="172"/>
      <c r="BU589" s="172"/>
      <c r="BV589" s="172"/>
      <c r="BW589" s="172"/>
      <c r="BX589" s="172"/>
      <c r="BY589" s="174"/>
      <c r="BZ589" s="172"/>
      <c r="CA589" s="172"/>
      <c r="CD589" s="194"/>
      <c r="CE589" s="194"/>
      <c r="CF589" s="194"/>
      <c r="CG589" s="194"/>
      <c r="CH589" s="195"/>
      <c r="CI589" s="194"/>
      <c r="CJ589" s="194"/>
      <c r="CK589" s="194"/>
      <c r="CL589" s="196"/>
      <c r="CM589" s="196"/>
      <c r="CN589" s="194"/>
      <c r="CO589" s="197"/>
      <c r="CP589" s="196"/>
      <c r="CQ589" s="196"/>
      <c r="CR589" s="196"/>
      <c r="CS589" s="196"/>
      <c r="CT589" s="196"/>
      <c r="CU589" s="196"/>
      <c r="CV589" s="194"/>
      <c r="CW589" s="194"/>
      <c r="CX589" s="194"/>
      <c r="CY589" s="194"/>
      <c r="CZ589" s="194"/>
      <c r="DA589" s="194"/>
      <c r="DB589" s="194"/>
      <c r="DC589" s="194"/>
      <c r="DD589" s="194"/>
      <c r="DE589" s="194"/>
      <c r="DF589" s="196"/>
      <c r="DG589" s="198"/>
      <c r="DH589" s="194"/>
      <c r="DI589" s="194"/>
    </row>
    <row r="590" spans="1:113" s="24" customFormat="1" hidden="1" x14ac:dyDescent="0.3">
      <c r="A590" s="172"/>
      <c r="B590" s="172"/>
      <c r="C590" s="172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  <c r="AE590" s="173"/>
      <c r="AF590" s="173"/>
      <c r="AG590" s="173"/>
      <c r="AH590" s="173"/>
      <c r="AI590" s="173"/>
      <c r="AJ590" s="173"/>
      <c r="AK590" s="173"/>
      <c r="AL590" s="173"/>
      <c r="AM590" s="173"/>
      <c r="AN590" s="173"/>
      <c r="AO590" s="173"/>
      <c r="AP590" s="173"/>
      <c r="AQ590" s="173"/>
      <c r="AR590" s="173"/>
      <c r="AS590" s="172"/>
      <c r="AT590" s="172"/>
      <c r="AU590" s="172"/>
      <c r="AV590" s="172"/>
      <c r="AW590" s="172"/>
      <c r="AX590" s="172"/>
      <c r="AY590" s="172"/>
      <c r="AZ590" s="172"/>
      <c r="BA590" s="172"/>
      <c r="BB590" s="172"/>
      <c r="BC590" s="172"/>
      <c r="BD590" s="172"/>
      <c r="BE590" s="172"/>
      <c r="BF590" s="172"/>
      <c r="BG590" s="172"/>
      <c r="BH590" s="172"/>
      <c r="BI590" s="172"/>
      <c r="BJ590" s="172"/>
      <c r="BK590" s="172"/>
      <c r="BL590" s="172"/>
      <c r="BM590" s="172"/>
      <c r="BN590" s="172"/>
      <c r="BO590" s="172"/>
      <c r="BP590" s="172"/>
      <c r="BQ590" s="172"/>
      <c r="BR590" s="172"/>
      <c r="BS590" s="172"/>
      <c r="BT590" s="172"/>
      <c r="BU590" s="172"/>
      <c r="BV590" s="172"/>
      <c r="BW590" s="172"/>
      <c r="BX590" s="172"/>
      <c r="BY590" s="174"/>
      <c r="BZ590" s="172"/>
      <c r="CA590" s="172"/>
      <c r="CD590" s="194"/>
      <c r="CE590" s="194"/>
      <c r="CF590" s="194"/>
      <c r="CG590" s="194"/>
      <c r="CH590" s="195"/>
      <c r="CI590" s="194"/>
      <c r="CJ590" s="194"/>
      <c r="CK590" s="194"/>
      <c r="CL590" s="196"/>
      <c r="CM590" s="196"/>
      <c r="CN590" s="194"/>
      <c r="CO590" s="197"/>
      <c r="CP590" s="196"/>
      <c r="CQ590" s="196"/>
      <c r="CR590" s="196"/>
      <c r="CS590" s="196"/>
      <c r="CT590" s="196"/>
      <c r="CU590" s="196"/>
      <c r="CV590" s="194"/>
      <c r="CW590" s="194"/>
      <c r="CX590" s="194"/>
      <c r="CY590" s="194"/>
      <c r="CZ590" s="194"/>
      <c r="DA590" s="194"/>
      <c r="DB590" s="194"/>
      <c r="DC590" s="194"/>
      <c r="DD590" s="194"/>
      <c r="DE590" s="194"/>
      <c r="DF590" s="196"/>
      <c r="DG590" s="198"/>
      <c r="DH590" s="194"/>
      <c r="DI590" s="194"/>
    </row>
    <row r="591" spans="1:113" s="24" customFormat="1" hidden="1" x14ac:dyDescent="0.3">
      <c r="A591" s="172"/>
      <c r="B591" s="172"/>
      <c r="C591" s="172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  <c r="AE591" s="173"/>
      <c r="AF591" s="173"/>
      <c r="AG591" s="173"/>
      <c r="AH591" s="173"/>
      <c r="AI591" s="173"/>
      <c r="AJ591" s="173"/>
      <c r="AK591" s="173"/>
      <c r="AL591" s="173"/>
      <c r="AM591" s="173"/>
      <c r="AN591" s="173"/>
      <c r="AO591" s="173"/>
      <c r="AP591" s="173"/>
      <c r="AQ591" s="173"/>
      <c r="AR591" s="173"/>
      <c r="AS591" s="172"/>
      <c r="AT591" s="172"/>
      <c r="AU591" s="172"/>
      <c r="AV591" s="172"/>
      <c r="AW591" s="172"/>
      <c r="AX591" s="172"/>
      <c r="AY591" s="172"/>
      <c r="AZ591" s="172"/>
      <c r="BA591" s="172"/>
      <c r="BB591" s="172"/>
      <c r="BC591" s="172"/>
      <c r="BD591" s="172"/>
      <c r="BE591" s="172"/>
      <c r="BF591" s="172"/>
      <c r="BG591" s="172"/>
      <c r="BH591" s="172"/>
      <c r="BI591" s="172"/>
      <c r="BJ591" s="172"/>
      <c r="BK591" s="172"/>
      <c r="BL591" s="172"/>
      <c r="BM591" s="172"/>
      <c r="BN591" s="172"/>
      <c r="BO591" s="172"/>
      <c r="BP591" s="172"/>
      <c r="BQ591" s="172"/>
      <c r="BR591" s="172"/>
      <c r="BS591" s="172"/>
      <c r="BT591" s="172"/>
      <c r="BU591" s="172"/>
      <c r="BV591" s="172"/>
      <c r="BW591" s="172"/>
      <c r="BX591" s="172"/>
      <c r="BY591" s="174"/>
      <c r="BZ591" s="172"/>
      <c r="CA591" s="172"/>
      <c r="CD591" s="194"/>
      <c r="CE591" s="194"/>
      <c r="CF591" s="194"/>
      <c r="CG591" s="194"/>
      <c r="CH591" s="195"/>
      <c r="CI591" s="194"/>
      <c r="CJ591" s="194"/>
      <c r="CK591" s="194"/>
      <c r="CL591" s="196"/>
      <c r="CM591" s="196"/>
      <c r="CN591" s="194"/>
      <c r="CO591" s="197"/>
      <c r="CP591" s="196"/>
      <c r="CQ591" s="196"/>
      <c r="CR591" s="196"/>
      <c r="CS591" s="196"/>
      <c r="CT591" s="196"/>
      <c r="CU591" s="196"/>
      <c r="CV591" s="194"/>
      <c r="CW591" s="194"/>
      <c r="CX591" s="194"/>
      <c r="CY591" s="194"/>
      <c r="CZ591" s="194"/>
      <c r="DA591" s="194"/>
      <c r="DB591" s="194"/>
      <c r="DC591" s="194"/>
      <c r="DD591" s="194"/>
      <c r="DE591" s="194"/>
      <c r="DF591" s="196"/>
      <c r="DG591" s="198"/>
      <c r="DH591" s="194"/>
      <c r="DI591" s="194"/>
    </row>
    <row r="592" spans="1:113" s="24" customFormat="1" hidden="1" x14ac:dyDescent="0.3">
      <c r="A592" s="172"/>
      <c r="B592" s="172"/>
      <c r="C592" s="172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  <c r="AE592" s="173"/>
      <c r="AF592" s="173"/>
      <c r="AG592" s="173"/>
      <c r="AH592" s="173"/>
      <c r="AI592" s="173"/>
      <c r="AJ592" s="173"/>
      <c r="AK592" s="173"/>
      <c r="AL592" s="173"/>
      <c r="AM592" s="173"/>
      <c r="AN592" s="173"/>
      <c r="AO592" s="173"/>
      <c r="AP592" s="173"/>
      <c r="AQ592" s="173"/>
      <c r="AR592" s="173"/>
      <c r="AS592" s="172"/>
      <c r="AT592" s="172"/>
      <c r="AU592" s="172"/>
      <c r="AV592" s="172"/>
      <c r="AW592" s="172"/>
      <c r="AX592" s="172"/>
      <c r="AY592" s="172"/>
      <c r="AZ592" s="172"/>
      <c r="BA592" s="172"/>
      <c r="BB592" s="172"/>
      <c r="BC592" s="172"/>
      <c r="BD592" s="172"/>
      <c r="BE592" s="172"/>
      <c r="BF592" s="172"/>
      <c r="BG592" s="172"/>
      <c r="BH592" s="172"/>
      <c r="BI592" s="172"/>
      <c r="BJ592" s="172"/>
      <c r="BK592" s="172"/>
      <c r="BL592" s="172"/>
      <c r="BM592" s="172"/>
      <c r="BN592" s="172"/>
      <c r="BO592" s="172"/>
      <c r="BP592" s="172"/>
      <c r="BQ592" s="172"/>
      <c r="BR592" s="172"/>
      <c r="BS592" s="172"/>
      <c r="BT592" s="172"/>
      <c r="BU592" s="172"/>
      <c r="BV592" s="172"/>
      <c r="BW592" s="172"/>
      <c r="BX592" s="172"/>
      <c r="BY592" s="174"/>
      <c r="BZ592" s="172"/>
      <c r="CA592" s="172"/>
      <c r="CD592" s="194"/>
      <c r="CE592" s="194"/>
      <c r="CF592" s="194"/>
      <c r="CG592" s="194"/>
      <c r="CH592" s="195"/>
      <c r="CI592" s="194"/>
      <c r="CJ592" s="194"/>
      <c r="CK592" s="194"/>
      <c r="CL592" s="196"/>
      <c r="CM592" s="196"/>
      <c r="CN592" s="194"/>
      <c r="CO592" s="197"/>
      <c r="CP592" s="196"/>
      <c r="CQ592" s="196"/>
      <c r="CR592" s="196"/>
      <c r="CS592" s="196"/>
      <c r="CT592" s="196"/>
      <c r="CU592" s="196"/>
      <c r="CV592" s="194"/>
      <c r="CW592" s="194"/>
      <c r="CX592" s="194"/>
      <c r="CY592" s="194"/>
      <c r="CZ592" s="194"/>
      <c r="DA592" s="194"/>
      <c r="DB592" s="194"/>
      <c r="DC592" s="194"/>
      <c r="DD592" s="194"/>
      <c r="DE592" s="194"/>
      <c r="DF592" s="196"/>
      <c r="DG592" s="198"/>
      <c r="DH592" s="194"/>
      <c r="DI592" s="194"/>
    </row>
    <row r="593" spans="1:113" s="24" customFormat="1" hidden="1" x14ac:dyDescent="0.3">
      <c r="A593" s="172"/>
      <c r="B593" s="172"/>
      <c r="C593" s="172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  <c r="AE593" s="173"/>
      <c r="AF593" s="173"/>
      <c r="AG593" s="173"/>
      <c r="AH593" s="173"/>
      <c r="AI593" s="173"/>
      <c r="AJ593" s="173"/>
      <c r="AK593" s="173"/>
      <c r="AL593" s="173"/>
      <c r="AM593" s="173"/>
      <c r="AN593" s="173"/>
      <c r="AO593" s="173"/>
      <c r="AP593" s="173"/>
      <c r="AQ593" s="173"/>
      <c r="AR593" s="173"/>
      <c r="AS593" s="172"/>
      <c r="AT593" s="172"/>
      <c r="AU593" s="172"/>
      <c r="AV593" s="172"/>
      <c r="AW593" s="172"/>
      <c r="AX593" s="172"/>
      <c r="AY593" s="172"/>
      <c r="AZ593" s="172"/>
      <c r="BA593" s="172"/>
      <c r="BB593" s="172"/>
      <c r="BC593" s="172"/>
      <c r="BD593" s="172"/>
      <c r="BE593" s="172"/>
      <c r="BF593" s="172"/>
      <c r="BG593" s="172"/>
      <c r="BH593" s="172"/>
      <c r="BI593" s="172"/>
      <c r="BJ593" s="172"/>
      <c r="BK593" s="172"/>
      <c r="BL593" s="172"/>
      <c r="BM593" s="172"/>
      <c r="BN593" s="172"/>
      <c r="BO593" s="172"/>
      <c r="BP593" s="172"/>
      <c r="BQ593" s="172"/>
      <c r="BR593" s="172"/>
      <c r="BS593" s="172"/>
      <c r="BT593" s="172"/>
      <c r="BU593" s="172"/>
      <c r="BV593" s="172"/>
      <c r="BW593" s="172"/>
      <c r="BX593" s="172"/>
      <c r="BY593" s="174"/>
      <c r="BZ593" s="172"/>
      <c r="CA593" s="172"/>
      <c r="CD593" s="194"/>
      <c r="CE593" s="194"/>
      <c r="CF593" s="194"/>
      <c r="CG593" s="194"/>
      <c r="CH593" s="195"/>
      <c r="CI593" s="194"/>
      <c r="CJ593" s="194"/>
      <c r="CK593" s="194"/>
      <c r="CL593" s="196"/>
      <c r="CM593" s="196"/>
      <c r="CN593" s="194"/>
      <c r="CO593" s="197"/>
      <c r="CP593" s="196"/>
      <c r="CQ593" s="196"/>
      <c r="CR593" s="196"/>
      <c r="CS593" s="196"/>
      <c r="CT593" s="196"/>
      <c r="CU593" s="196"/>
      <c r="CV593" s="194"/>
      <c r="CW593" s="194"/>
      <c r="CX593" s="194"/>
      <c r="CY593" s="194"/>
      <c r="CZ593" s="194"/>
      <c r="DA593" s="194"/>
      <c r="DB593" s="194"/>
      <c r="DC593" s="194"/>
      <c r="DD593" s="194"/>
      <c r="DE593" s="194"/>
      <c r="DF593" s="196"/>
      <c r="DG593" s="198"/>
      <c r="DH593" s="194"/>
      <c r="DI593" s="194"/>
    </row>
    <row r="594" spans="1:113" s="24" customFormat="1" hidden="1" x14ac:dyDescent="0.3">
      <c r="A594" s="172"/>
      <c r="B594" s="172"/>
      <c r="C594" s="172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  <c r="AE594" s="173"/>
      <c r="AF594" s="173"/>
      <c r="AG594" s="173"/>
      <c r="AH594" s="173"/>
      <c r="AI594" s="173"/>
      <c r="AJ594" s="173"/>
      <c r="AK594" s="173"/>
      <c r="AL594" s="173"/>
      <c r="AM594" s="173"/>
      <c r="AN594" s="173"/>
      <c r="AO594" s="173"/>
      <c r="AP594" s="173"/>
      <c r="AQ594" s="173"/>
      <c r="AR594" s="173"/>
      <c r="AS594" s="172"/>
      <c r="AT594" s="172"/>
      <c r="AU594" s="172"/>
      <c r="AV594" s="172"/>
      <c r="AW594" s="172"/>
      <c r="AX594" s="172"/>
      <c r="AY594" s="172"/>
      <c r="AZ594" s="172"/>
      <c r="BA594" s="172"/>
      <c r="BB594" s="172"/>
      <c r="BC594" s="172"/>
      <c r="BD594" s="172"/>
      <c r="BE594" s="172"/>
      <c r="BF594" s="172"/>
      <c r="BG594" s="172"/>
      <c r="BH594" s="172"/>
      <c r="BI594" s="172"/>
      <c r="BJ594" s="172"/>
      <c r="BK594" s="172"/>
      <c r="BL594" s="172"/>
      <c r="BM594" s="172"/>
      <c r="BN594" s="172"/>
      <c r="BO594" s="172"/>
      <c r="BP594" s="172"/>
      <c r="BQ594" s="172"/>
      <c r="BR594" s="172"/>
      <c r="BS594" s="172"/>
      <c r="BT594" s="172"/>
      <c r="BU594" s="172"/>
      <c r="BV594" s="172"/>
      <c r="BW594" s="172"/>
      <c r="BX594" s="172"/>
      <c r="BY594" s="174"/>
      <c r="BZ594" s="172"/>
      <c r="CA594" s="172"/>
      <c r="CD594" s="194"/>
      <c r="CE594" s="194"/>
      <c r="CF594" s="194"/>
      <c r="CG594" s="194"/>
      <c r="CH594" s="195"/>
      <c r="CI594" s="194"/>
      <c r="CJ594" s="194"/>
      <c r="CK594" s="194"/>
      <c r="CL594" s="196"/>
      <c r="CM594" s="196"/>
      <c r="CN594" s="194"/>
      <c r="CO594" s="197"/>
      <c r="CP594" s="196"/>
      <c r="CQ594" s="196"/>
      <c r="CR594" s="196"/>
      <c r="CS594" s="196"/>
      <c r="CT594" s="196"/>
      <c r="CU594" s="196"/>
      <c r="CV594" s="194"/>
      <c r="CW594" s="194"/>
      <c r="CX594" s="194"/>
      <c r="CY594" s="194"/>
      <c r="CZ594" s="194"/>
      <c r="DA594" s="194"/>
      <c r="DB594" s="194"/>
      <c r="DC594" s="194"/>
      <c r="DD594" s="194"/>
      <c r="DE594" s="194"/>
      <c r="DF594" s="196"/>
      <c r="DG594" s="198"/>
      <c r="DH594" s="194"/>
      <c r="DI594" s="194"/>
    </row>
    <row r="595" spans="1:113" s="24" customFormat="1" hidden="1" x14ac:dyDescent="0.3">
      <c r="A595" s="172"/>
      <c r="B595" s="172"/>
      <c r="C595" s="172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  <c r="AE595" s="173"/>
      <c r="AF595" s="173"/>
      <c r="AG595" s="173"/>
      <c r="AH595" s="173"/>
      <c r="AI595" s="173"/>
      <c r="AJ595" s="173"/>
      <c r="AK595" s="173"/>
      <c r="AL595" s="173"/>
      <c r="AM595" s="173"/>
      <c r="AN595" s="173"/>
      <c r="AO595" s="173"/>
      <c r="AP595" s="173"/>
      <c r="AQ595" s="173"/>
      <c r="AR595" s="173"/>
      <c r="AS595" s="172"/>
      <c r="AT595" s="172"/>
      <c r="AU595" s="172"/>
      <c r="AV595" s="172"/>
      <c r="AW595" s="172"/>
      <c r="AX595" s="172"/>
      <c r="AY595" s="172"/>
      <c r="AZ595" s="172"/>
      <c r="BA595" s="172"/>
      <c r="BB595" s="172"/>
      <c r="BC595" s="172"/>
      <c r="BD595" s="172"/>
      <c r="BE595" s="172"/>
      <c r="BF595" s="172"/>
      <c r="BG595" s="172"/>
      <c r="BH595" s="172"/>
      <c r="BI595" s="172"/>
      <c r="BJ595" s="172"/>
      <c r="BK595" s="172"/>
      <c r="BL595" s="172"/>
      <c r="BM595" s="172"/>
      <c r="BN595" s="172"/>
      <c r="BO595" s="172"/>
      <c r="BP595" s="172"/>
      <c r="BQ595" s="172"/>
      <c r="BR595" s="172"/>
      <c r="BS595" s="172"/>
      <c r="BT595" s="172"/>
      <c r="BU595" s="172"/>
      <c r="BV595" s="172"/>
      <c r="BW595" s="172"/>
      <c r="BX595" s="172"/>
      <c r="BY595" s="174"/>
      <c r="BZ595" s="172"/>
      <c r="CA595" s="172"/>
      <c r="CD595" s="194"/>
      <c r="CE595" s="194"/>
      <c r="CF595" s="194"/>
      <c r="CG595" s="194"/>
      <c r="CH595" s="195"/>
      <c r="CI595" s="194"/>
      <c r="CJ595" s="194"/>
      <c r="CK595" s="194"/>
      <c r="CL595" s="196"/>
      <c r="CM595" s="196"/>
      <c r="CN595" s="194"/>
      <c r="CO595" s="197"/>
      <c r="CP595" s="196"/>
      <c r="CQ595" s="196"/>
      <c r="CR595" s="196"/>
      <c r="CS595" s="196"/>
      <c r="CT595" s="196"/>
      <c r="CU595" s="196"/>
      <c r="CV595" s="194"/>
      <c r="CW595" s="194"/>
      <c r="CX595" s="194"/>
      <c r="CY595" s="194"/>
      <c r="CZ595" s="194"/>
      <c r="DA595" s="194"/>
      <c r="DB595" s="194"/>
      <c r="DC595" s="194"/>
      <c r="DD595" s="194"/>
      <c r="DE595" s="194"/>
      <c r="DF595" s="196"/>
      <c r="DG595" s="198"/>
      <c r="DH595" s="194"/>
      <c r="DI595" s="194"/>
    </row>
    <row r="596" spans="1:113" s="24" customFormat="1" hidden="1" x14ac:dyDescent="0.3">
      <c r="A596" s="172"/>
      <c r="B596" s="172"/>
      <c r="C596" s="172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  <c r="AE596" s="173"/>
      <c r="AF596" s="173"/>
      <c r="AG596" s="173"/>
      <c r="AH596" s="173"/>
      <c r="AI596" s="173"/>
      <c r="AJ596" s="173"/>
      <c r="AK596" s="173"/>
      <c r="AL596" s="173"/>
      <c r="AM596" s="173"/>
      <c r="AN596" s="173"/>
      <c r="AO596" s="173"/>
      <c r="AP596" s="173"/>
      <c r="AQ596" s="173"/>
      <c r="AR596" s="173"/>
      <c r="AS596" s="172"/>
      <c r="AT596" s="172"/>
      <c r="AU596" s="172"/>
      <c r="AV596" s="172"/>
      <c r="AW596" s="172"/>
      <c r="AX596" s="172"/>
      <c r="AY596" s="172"/>
      <c r="AZ596" s="172"/>
      <c r="BA596" s="172"/>
      <c r="BB596" s="172"/>
      <c r="BC596" s="172"/>
      <c r="BD596" s="172"/>
      <c r="BE596" s="172"/>
      <c r="BF596" s="172"/>
      <c r="BG596" s="172"/>
      <c r="BH596" s="172"/>
      <c r="BI596" s="172"/>
      <c r="BJ596" s="172"/>
      <c r="BK596" s="172"/>
      <c r="BL596" s="172"/>
      <c r="BM596" s="172"/>
      <c r="BN596" s="172"/>
      <c r="BO596" s="172"/>
      <c r="BP596" s="172"/>
      <c r="BQ596" s="172"/>
      <c r="BR596" s="172"/>
      <c r="BS596" s="172"/>
      <c r="BT596" s="172"/>
      <c r="BU596" s="172"/>
      <c r="BV596" s="172"/>
      <c r="BW596" s="172"/>
      <c r="BX596" s="172"/>
      <c r="BY596" s="174"/>
      <c r="BZ596" s="172"/>
      <c r="CA596" s="172"/>
      <c r="CD596" s="194"/>
      <c r="CE596" s="194"/>
      <c r="CF596" s="194"/>
      <c r="CG596" s="194"/>
      <c r="CH596" s="195"/>
      <c r="CI596" s="194"/>
      <c r="CJ596" s="194"/>
      <c r="CK596" s="194"/>
      <c r="CL596" s="196"/>
      <c r="CM596" s="196"/>
      <c r="CN596" s="194"/>
      <c r="CO596" s="197"/>
      <c r="CP596" s="196"/>
      <c r="CQ596" s="196"/>
      <c r="CR596" s="196"/>
      <c r="CS596" s="196"/>
      <c r="CT596" s="196"/>
      <c r="CU596" s="196"/>
      <c r="CV596" s="194"/>
      <c r="CW596" s="194"/>
      <c r="CX596" s="194"/>
      <c r="CY596" s="194"/>
      <c r="CZ596" s="194"/>
      <c r="DA596" s="194"/>
      <c r="DB596" s="194"/>
      <c r="DC596" s="194"/>
      <c r="DD596" s="194"/>
      <c r="DE596" s="194"/>
      <c r="DF596" s="196"/>
      <c r="DG596" s="198"/>
      <c r="DH596" s="194"/>
      <c r="DI596" s="194"/>
    </row>
    <row r="597" spans="1:113" s="24" customFormat="1" hidden="1" x14ac:dyDescent="0.3">
      <c r="A597" s="172"/>
      <c r="B597" s="172"/>
      <c r="C597" s="172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  <c r="AE597" s="173"/>
      <c r="AF597" s="173"/>
      <c r="AG597" s="173"/>
      <c r="AH597" s="173"/>
      <c r="AI597" s="173"/>
      <c r="AJ597" s="173"/>
      <c r="AK597" s="173"/>
      <c r="AL597" s="173"/>
      <c r="AM597" s="173"/>
      <c r="AN597" s="173"/>
      <c r="AO597" s="173"/>
      <c r="AP597" s="173"/>
      <c r="AQ597" s="173"/>
      <c r="AR597" s="173"/>
      <c r="AS597" s="172"/>
      <c r="AT597" s="172"/>
      <c r="AU597" s="172"/>
      <c r="AV597" s="172"/>
      <c r="AW597" s="172"/>
      <c r="AX597" s="172"/>
      <c r="AY597" s="172"/>
      <c r="AZ597" s="172"/>
      <c r="BA597" s="172"/>
      <c r="BB597" s="172"/>
      <c r="BC597" s="172"/>
      <c r="BD597" s="172"/>
      <c r="BE597" s="172"/>
      <c r="BF597" s="172"/>
      <c r="BG597" s="172"/>
      <c r="BH597" s="172"/>
      <c r="BI597" s="172"/>
      <c r="BJ597" s="172"/>
      <c r="BK597" s="172"/>
      <c r="BL597" s="172"/>
      <c r="BM597" s="172"/>
      <c r="BN597" s="172"/>
      <c r="BO597" s="172"/>
      <c r="BP597" s="172"/>
      <c r="BQ597" s="172"/>
      <c r="BR597" s="172"/>
      <c r="BS597" s="172"/>
      <c r="BT597" s="172"/>
      <c r="BU597" s="172"/>
      <c r="BV597" s="172"/>
      <c r="BW597" s="172"/>
      <c r="BX597" s="172"/>
      <c r="BY597" s="174"/>
      <c r="BZ597" s="172"/>
      <c r="CA597" s="172"/>
      <c r="CD597" s="194"/>
      <c r="CE597" s="194"/>
      <c r="CF597" s="194"/>
      <c r="CG597" s="194"/>
      <c r="CH597" s="195"/>
      <c r="CI597" s="194"/>
      <c r="CJ597" s="194"/>
      <c r="CK597" s="194"/>
      <c r="CL597" s="196"/>
      <c r="CM597" s="196"/>
      <c r="CN597" s="194"/>
      <c r="CO597" s="197"/>
      <c r="CP597" s="196"/>
      <c r="CQ597" s="196"/>
      <c r="CR597" s="196"/>
      <c r="CS597" s="196"/>
      <c r="CT597" s="196"/>
      <c r="CU597" s="196"/>
      <c r="CV597" s="194"/>
      <c r="CW597" s="194"/>
      <c r="CX597" s="194"/>
      <c r="CY597" s="194"/>
      <c r="CZ597" s="194"/>
      <c r="DA597" s="194"/>
      <c r="DB597" s="194"/>
      <c r="DC597" s="194"/>
      <c r="DD597" s="194"/>
      <c r="DE597" s="194"/>
      <c r="DF597" s="196"/>
      <c r="DG597" s="198"/>
      <c r="DH597" s="194"/>
      <c r="DI597" s="194"/>
    </row>
    <row r="598" spans="1:113" s="24" customFormat="1" hidden="1" x14ac:dyDescent="0.3">
      <c r="A598" s="172"/>
      <c r="B598" s="172"/>
      <c r="C598" s="172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  <c r="AE598" s="173"/>
      <c r="AF598" s="173"/>
      <c r="AG598" s="173"/>
      <c r="AH598" s="173"/>
      <c r="AI598" s="173"/>
      <c r="AJ598" s="173"/>
      <c r="AK598" s="173"/>
      <c r="AL598" s="173"/>
      <c r="AM598" s="173"/>
      <c r="AN598" s="173"/>
      <c r="AO598" s="173"/>
      <c r="AP598" s="173"/>
      <c r="AQ598" s="173"/>
      <c r="AR598" s="173"/>
      <c r="AS598" s="172"/>
      <c r="AT598" s="172"/>
      <c r="AU598" s="172"/>
      <c r="AV598" s="172"/>
      <c r="AW598" s="172"/>
      <c r="AX598" s="172"/>
      <c r="AY598" s="172"/>
      <c r="AZ598" s="172"/>
      <c r="BA598" s="172"/>
      <c r="BB598" s="172"/>
      <c r="BC598" s="172"/>
      <c r="BD598" s="172"/>
      <c r="BE598" s="172"/>
      <c r="BF598" s="172"/>
      <c r="BG598" s="172"/>
      <c r="BH598" s="172"/>
      <c r="BI598" s="172"/>
      <c r="BJ598" s="172"/>
      <c r="BK598" s="172"/>
      <c r="BL598" s="172"/>
      <c r="BM598" s="172"/>
      <c r="BN598" s="172"/>
      <c r="BO598" s="172"/>
      <c r="BP598" s="172"/>
      <c r="BQ598" s="172"/>
      <c r="BR598" s="172"/>
      <c r="BS598" s="172"/>
      <c r="BT598" s="172"/>
      <c r="BU598" s="172"/>
      <c r="BV598" s="172"/>
      <c r="BW598" s="172"/>
      <c r="BX598" s="172"/>
      <c r="BY598" s="174"/>
      <c r="BZ598" s="172"/>
      <c r="CA598" s="172"/>
      <c r="CD598" s="194"/>
      <c r="CE598" s="194"/>
      <c r="CF598" s="194"/>
      <c r="CG598" s="194"/>
      <c r="CH598" s="195"/>
      <c r="CI598" s="194"/>
      <c r="CJ598" s="194"/>
      <c r="CK598" s="194"/>
      <c r="CL598" s="196"/>
      <c r="CM598" s="196"/>
      <c r="CN598" s="194"/>
      <c r="CO598" s="197"/>
      <c r="CP598" s="196"/>
      <c r="CQ598" s="196"/>
      <c r="CR598" s="196"/>
      <c r="CS598" s="196"/>
      <c r="CT598" s="196"/>
      <c r="CU598" s="196"/>
      <c r="CV598" s="194"/>
      <c r="CW598" s="194"/>
      <c r="CX598" s="194"/>
      <c r="CY598" s="194"/>
      <c r="CZ598" s="194"/>
      <c r="DA598" s="194"/>
      <c r="DB598" s="194"/>
      <c r="DC598" s="194"/>
      <c r="DD598" s="194"/>
      <c r="DE598" s="194"/>
      <c r="DF598" s="196"/>
      <c r="DG598" s="198"/>
      <c r="DH598" s="194"/>
      <c r="DI598" s="194"/>
    </row>
    <row r="599" spans="1:113" s="24" customFormat="1" hidden="1" x14ac:dyDescent="0.3">
      <c r="A599" s="172"/>
      <c r="B599" s="172"/>
      <c r="C599" s="172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  <c r="AE599" s="173"/>
      <c r="AF599" s="173"/>
      <c r="AG599" s="173"/>
      <c r="AH599" s="173"/>
      <c r="AI599" s="173"/>
      <c r="AJ599" s="173"/>
      <c r="AK599" s="173"/>
      <c r="AL599" s="173"/>
      <c r="AM599" s="173"/>
      <c r="AN599" s="173"/>
      <c r="AO599" s="173"/>
      <c r="AP599" s="173"/>
      <c r="AQ599" s="173"/>
      <c r="AR599" s="173"/>
      <c r="AS599" s="172"/>
      <c r="AT599" s="172"/>
      <c r="AU599" s="172"/>
      <c r="AV599" s="172"/>
      <c r="AW599" s="172"/>
      <c r="AX599" s="172"/>
      <c r="AY599" s="172"/>
      <c r="AZ599" s="172"/>
      <c r="BA599" s="172"/>
      <c r="BB599" s="172"/>
      <c r="BC599" s="172"/>
      <c r="BD599" s="172"/>
      <c r="BE599" s="172"/>
      <c r="BF599" s="172"/>
      <c r="BG599" s="172"/>
      <c r="BH599" s="172"/>
      <c r="BI599" s="172"/>
      <c r="BJ599" s="172"/>
      <c r="BK599" s="172"/>
      <c r="BL599" s="172"/>
      <c r="BM599" s="172"/>
      <c r="BN599" s="172"/>
      <c r="BO599" s="172"/>
      <c r="BP599" s="172"/>
      <c r="BQ599" s="172"/>
      <c r="BR599" s="172"/>
      <c r="BS599" s="172"/>
      <c r="BT599" s="172"/>
      <c r="BU599" s="172"/>
      <c r="BV599" s="172"/>
      <c r="BW599" s="172"/>
      <c r="BX599" s="172"/>
      <c r="BY599" s="174"/>
      <c r="BZ599" s="172"/>
      <c r="CA599" s="172"/>
      <c r="CD599" s="194"/>
      <c r="CE599" s="194"/>
      <c r="CF599" s="194"/>
      <c r="CG599" s="194"/>
      <c r="CH599" s="195"/>
      <c r="CI599" s="194"/>
      <c r="CJ599" s="194"/>
      <c r="CK599" s="194"/>
      <c r="CL599" s="196"/>
      <c r="CM599" s="196"/>
      <c r="CN599" s="194"/>
      <c r="CO599" s="197"/>
      <c r="CP599" s="196"/>
      <c r="CQ599" s="196"/>
      <c r="CR599" s="196"/>
      <c r="CS599" s="196"/>
      <c r="CT599" s="196"/>
      <c r="CU599" s="196"/>
      <c r="CV599" s="194"/>
      <c r="CW599" s="194"/>
      <c r="CX599" s="194"/>
      <c r="CY599" s="194"/>
      <c r="CZ599" s="194"/>
      <c r="DA599" s="194"/>
      <c r="DB599" s="194"/>
      <c r="DC599" s="194"/>
      <c r="DD599" s="194"/>
      <c r="DE599" s="194"/>
      <c r="DF599" s="196"/>
      <c r="DG599" s="198"/>
      <c r="DH599" s="194"/>
      <c r="DI599" s="194"/>
    </row>
    <row r="600" spans="1:113" s="24" customFormat="1" hidden="1" x14ac:dyDescent="0.3">
      <c r="A600" s="172"/>
      <c r="B600" s="172"/>
      <c r="C600" s="172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  <c r="AE600" s="173"/>
      <c r="AF600" s="173"/>
      <c r="AG600" s="173"/>
      <c r="AH600" s="173"/>
      <c r="AI600" s="173"/>
      <c r="AJ600" s="173"/>
      <c r="AK600" s="173"/>
      <c r="AL600" s="173"/>
      <c r="AM600" s="173"/>
      <c r="AN600" s="173"/>
      <c r="AO600" s="173"/>
      <c r="AP600" s="173"/>
      <c r="AQ600" s="173"/>
      <c r="AR600" s="173"/>
      <c r="AS600" s="172"/>
      <c r="AT600" s="172"/>
      <c r="AU600" s="172"/>
      <c r="AV600" s="172"/>
      <c r="AW600" s="172"/>
      <c r="AX600" s="172"/>
      <c r="AY600" s="172"/>
      <c r="AZ600" s="172"/>
      <c r="BA600" s="172"/>
      <c r="BB600" s="172"/>
      <c r="BC600" s="172"/>
      <c r="BD600" s="172"/>
      <c r="BE600" s="172"/>
      <c r="BF600" s="172"/>
      <c r="BG600" s="172"/>
      <c r="BH600" s="172"/>
      <c r="BI600" s="172"/>
      <c r="BJ600" s="172"/>
      <c r="BK600" s="172"/>
      <c r="BL600" s="172"/>
      <c r="BM600" s="172"/>
      <c r="BN600" s="172"/>
      <c r="BO600" s="172"/>
      <c r="BP600" s="172"/>
      <c r="BQ600" s="172"/>
      <c r="BR600" s="172"/>
      <c r="BS600" s="172"/>
      <c r="BT600" s="172"/>
      <c r="BU600" s="172"/>
      <c r="BV600" s="172"/>
      <c r="BW600" s="172"/>
      <c r="BX600" s="172"/>
      <c r="BY600" s="174"/>
      <c r="BZ600" s="172"/>
      <c r="CA600" s="172"/>
      <c r="CD600" s="194"/>
      <c r="CE600" s="194"/>
      <c r="CF600" s="194"/>
      <c r="CG600" s="194"/>
      <c r="CH600" s="195"/>
      <c r="CI600" s="194"/>
      <c r="CJ600" s="194"/>
      <c r="CK600" s="194"/>
      <c r="CL600" s="196"/>
      <c r="CM600" s="196"/>
      <c r="CN600" s="194"/>
      <c r="CO600" s="197"/>
      <c r="CP600" s="196"/>
      <c r="CQ600" s="196"/>
      <c r="CR600" s="196"/>
      <c r="CS600" s="196"/>
      <c r="CT600" s="196"/>
      <c r="CU600" s="196"/>
      <c r="CV600" s="194"/>
      <c r="CW600" s="194"/>
      <c r="CX600" s="194"/>
      <c r="CY600" s="194"/>
      <c r="CZ600" s="194"/>
      <c r="DA600" s="194"/>
      <c r="DB600" s="194"/>
      <c r="DC600" s="194"/>
      <c r="DD600" s="194"/>
      <c r="DE600" s="194"/>
      <c r="DF600" s="196"/>
      <c r="DG600" s="198"/>
      <c r="DH600" s="194"/>
      <c r="DI600" s="194"/>
    </row>
    <row r="601" spans="1:113" s="24" customFormat="1" hidden="1" x14ac:dyDescent="0.3">
      <c r="A601" s="172"/>
      <c r="B601" s="172"/>
      <c r="C601" s="172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  <c r="AE601" s="173"/>
      <c r="AF601" s="173"/>
      <c r="AG601" s="173"/>
      <c r="AH601" s="173"/>
      <c r="AI601" s="173"/>
      <c r="AJ601" s="173"/>
      <c r="AK601" s="173"/>
      <c r="AL601" s="173"/>
      <c r="AM601" s="173"/>
      <c r="AN601" s="173"/>
      <c r="AO601" s="173"/>
      <c r="AP601" s="173"/>
      <c r="AQ601" s="173"/>
      <c r="AR601" s="173"/>
      <c r="AS601" s="172"/>
      <c r="AT601" s="172"/>
      <c r="AU601" s="172"/>
      <c r="AV601" s="172"/>
      <c r="AW601" s="172"/>
      <c r="AX601" s="172"/>
      <c r="AY601" s="172"/>
      <c r="AZ601" s="172"/>
      <c r="BA601" s="172"/>
      <c r="BB601" s="172"/>
      <c r="BC601" s="172"/>
      <c r="BD601" s="172"/>
      <c r="BE601" s="172"/>
      <c r="BF601" s="172"/>
      <c r="BG601" s="172"/>
      <c r="BH601" s="172"/>
      <c r="BI601" s="172"/>
      <c r="BJ601" s="172"/>
      <c r="BK601" s="172"/>
      <c r="BL601" s="172"/>
      <c r="BM601" s="172"/>
      <c r="BN601" s="172"/>
      <c r="BO601" s="172"/>
      <c r="BP601" s="172"/>
      <c r="BQ601" s="172"/>
      <c r="BR601" s="172"/>
      <c r="BS601" s="172"/>
      <c r="BT601" s="172"/>
      <c r="BU601" s="172"/>
      <c r="BV601" s="172"/>
      <c r="BW601" s="172"/>
      <c r="BX601" s="172"/>
      <c r="BY601" s="174"/>
      <c r="BZ601" s="172"/>
      <c r="CA601" s="172"/>
      <c r="CD601" s="194"/>
      <c r="CE601" s="194"/>
      <c r="CF601" s="194"/>
      <c r="CG601" s="194"/>
      <c r="CH601" s="195"/>
      <c r="CI601" s="194"/>
      <c r="CJ601" s="194"/>
      <c r="CK601" s="194"/>
      <c r="CL601" s="196"/>
      <c r="CM601" s="196"/>
      <c r="CN601" s="194"/>
      <c r="CO601" s="197"/>
      <c r="CP601" s="196"/>
      <c r="CQ601" s="196"/>
      <c r="CR601" s="196"/>
      <c r="CS601" s="196"/>
      <c r="CT601" s="196"/>
      <c r="CU601" s="196"/>
      <c r="CV601" s="194"/>
      <c r="CW601" s="194"/>
      <c r="CX601" s="194"/>
      <c r="CY601" s="194"/>
      <c r="CZ601" s="194"/>
      <c r="DA601" s="194"/>
      <c r="DB601" s="194"/>
      <c r="DC601" s="194"/>
      <c r="DD601" s="194"/>
      <c r="DE601" s="194"/>
      <c r="DF601" s="196"/>
      <c r="DG601" s="198"/>
      <c r="DH601" s="194"/>
      <c r="DI601" s="194"/>
    </row>
    <row r="602" spans="1:113" s="24" customFormat="1" hidden="1" x14ac:dyDescent="0.3">
      <c r="A602" s="172"/>
      <c r="B602" s="172"/>
      <c r="C602" s="172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  <c r="AE602" s="173"/>
      <c r="AF602" s="173"/>
      <c r="AG602" s="173"/>
      <c r="AH602" s="173"/>
      <c r="AI602" s="173"/>
      <c r="AJ602" s="173"/>
      <c r="AK602" s="173"/>
      <c r="AL602" s="173"/>
      <c r="AM602" s="173"/>
      <c r="AN602" s="173"/>
      <c r="AO602" s="173"/>
      <c r="AP602" s="173"/>
      <c r="AQ602" s="173"/>
      <c r="AR602" s="173"/>
      <c r="AS602" s="172"/>
      <c r="AT602" s="172"/>
      <c r="AU602" s="172"/>
      <c r="AV602" s="172"/>
      <c r="AW602" s="172"/>
      <c r="AX602" s="172"/>
      <c r="AY602" s="172"/>
      <c r="AZ602" s="172"/>
      <c r="BA602" s="172"/>
      <c r="BB602" s="172"/>
      <c r="BC602" s="172"/>
      <c r="BD602" s="172"/>
      <c r="BE602" s="172"/>
      <c r="BF602" s="172"/>
      <c r="BG602" s="172"/>
      <c r="BH602" s="172"/>
      <c r="BI602" s="172"/>
      <c r="BJ602" s="172"/>
      <c r="BK602" s="172"/>
      <c r="BL602" s="172"/>
      <c r="BM602" s="172"/>
      <c r="BN602" s="172"/>
      <c r="BO602" s="172"/>
      <c r="BP602" s="172"/>
      <c r="BQ602" s="172"/>
      <c r="BR602" s="172"/>
      <c r="BS602" s="172"/>
      <c r="BT602" s="172"/>
      <c r="BU602" s="172"/>
      <c r="BV602" s="172"/>
      <c r="BW602" s="172"/>
      <c r="BX602" s="172"/>
      <c r="BY602" s="174"/>
      <c r="BZ602" s="172"/>
      <c r="CA602" s="172"/>
      <c r="CD602" s="194"/>
      <c r="CE602" s="194"/>
      <c r="CF602" s="194"/>
      <c r="CG602" s="194"/>
      <c r="CH602" s="195"/>
      <c r="CI602" s="194"/>
      <c r="CJ602" s="194"/>
      <c r="CK602" s="194"/>
      <c r="CL602" s="196"/>
      <c r="CM602" s="196"/>
      <c r="CN602" s="194"/>
      <c r="CO602" s="197"/>
      <c r="CP602" s="196"/>
      <c r="CQ602" s="196"/>
      <c r="CR602" s="196"/>
      <c r="CS602" s="196"/>
      <c r="CT602" s="196"/>
      <c r="CU602" s="196"/>
      <c r="CV602" s="194"/>
      <c r="CW602" s="194"/>
      <c r="CX602" s="194"/>
      <c r="CY602" s="194"/>
      <c r="CZ602" s="194"/>
      <c r="DA602" s="194"/>
      <c r="DB602" s="194"/>
      <c r="DC602" s="194"/>
      <c r="DD602" s="194"/>
      <c r="DE602" s="194"/>
      <c r="DF602" s="196"/>
      <c r="DG602" s="198"/>
      <c r="DH602" s="194"/>
      <c r="DI602" s="194"/>
    </row>
    <row r="603" spans="1:113" s="24" customFormat="1" hidden="1" x14ac:dyDescent="0.3">
      <c r="A603" s="172"/>
      <c r="B603" s="172"/>
      <c r="C603" s="172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  <c r="AE603" s="173"/>
      <c r="AF603" s="173"/>
      <c r="AG603" s="173"/>
      <c r="AH603" s="173"/>
      <c r="AI603" s="173"/>
      <c r="AJ603" s="173"/>
      <c r="AK603" s="173"/>
      <c r="AL603" s="173"/>
      <c r="AM603" s="173"/>
      <c r="AN603" s="173"/>
      <c r="AO603" s="173"/>
      <c r="AP603" s="173"/>
      <c r="AQ603" s="173"/>
      <c r="AR603" s="173"/>
      <c r="AS603" s="172"/>
      <c r="AT603" s="172"/>
      <c r="AU603" s="172"/>
      <c r="AV603" s="172"/>
      <c r="AW603" s="172"/>
      <c r="AX603" s="172"/>
      <c r="AY603" s="172"/>
      <c r="AZ603" s="172"/>
      <c r="BA603" s="172"/>
      <c r="BB603" s="172"/>
      <c r="BC603" s="172"/>
      <c r="BD603" s="172"/>
      <c r="BE603" s="172"/>
      <c r="BF603" s="172"/>
      <c r="BG603" s="172"/>
      <c r="BH603" s="172"/>
      <c r="BI603" s="172"/>
      <c r="BJ603" s="172"/>
      <c r="BK603" s="172"/>
      <c r="BL603" s="172"/>
      <c r="BM603" s="172"/>
      <c r="BN603" s="172"/>
      <c r="BO603" s="172"/>
      <c r="BP603" s="172"/>
      <c r="BQ603" s="172"/>
      <c r="BR603" s="172"/>
      <c r="BS603" s="172"/>
      <c r="BT603" s="172"/>
      <c r="BU603" s="172"/>
      <c r="BV603" s="172"/>
      <c r="BW603" s="172"/>
      <c r="BX603" s="172"/>
      <c r="BY603" s="174"/>
      <c r="BZ603" s="172"/>
      <c r="CA603" s="172"/>
      <c r="CD603" s="194"/>
      <c r="CE603" s="194"/>
      <c r="CF603" s="194"/>
      <c r="CG603" s="194"/>
      <c r="CH603" s="195"/>
      <c r="CI603" s="194"/>
      <c r="CJ603" s="194"/>
      <c r="CK603" s="194"/>
      <c r="CL603" s="196"/>
      <c r="CM603" s="196"/>
      <c r="CN603" s="194"/>
      <c r="CO603" s="197"/>
      <c r="CP603" s="196"/>
      <c r="CQ603" s="196"/>
      <c r="CR603" s="196"/>
      <c r="CS603" s="196"/>
      <c r="CT603" s="196"/>
      <c r="CU603" s="196"/>
      <c r="CV603" s="194"/>
      <c r="CW603" s="194"/>
      <c r="CX603" s="194"/>
      <c r="CY603" s="194"/>
      <c r="CZ603" s="194"/>
      <c r="DA603" s="194"/>
      <c r="DB603" s="194"/>
      <c r="DC603" s="194"/>
      <c r="DD603" s="194"/>
      <c r="DE603" s="194"/>
      <c r="DF603" s="196"/>
      <c r="DG603" s="198"/>
      <c r="DH603" s="194"/>
      <c r="DI603" s="194"/>
    </row>
    <row r="604" spans="1:113" s="24" customFormat="1" hidden="1" x14ac:dyDescent="0.3">
      <c r="A604" s="172"/>
      <c r="B604" s="172"/>
      <c r="C604" s="172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  <c r="AE604" s="173"/>
      <c r="AF604" s="173"/>
      <c r="AG604" s="173"/>
      <c r="AH604" s="173"/>
      <c r="AI604" s="173"/>
      <c r="AJ604" s="173"/>
      <c r="AK604" s="173"/>
      <c r="AL604" s="173"/>
      <c r="AM604" s="173"/>
      <c r="AN604" s="173"/>
      <c r="AO604" s="173"/>
      <c r="AP604" s="173"/>
      <c r="AQ604" s="173"/>
      <c r="AR604" s="173"/>
      <c r="AS604" s="172"/>
      <c r="AT604" s="172"/>
      <c r="AU604" s="172"/>
      <c r="AV604" s="172"/>
      <c r="AW604" s="172"/>
      <c r="AX604" s="172"/>
      <c r="AY604" s="172"/>
      <c r="AZ604" s="172"/>
      <c r="BA604" s="172"/>
      <c r="BB604" s="172"/>
      <c r="BC604" s="172"/>
      <c r="BD604" s="172"/>
      <c r="BE604" s="172"/>
      <c r="BF604" s="172"/>
      <c r="BG604" s="172"/>
      <c r="BH604" s="172"/>
      <c r="BI604" s="172"/>
      <c r="BJ604" s="172"/>
      <c r="BK604" s="172"/>
      <c r="BL604" s="172"/>
      <c r="BM604" s="172"/>
      <c r="BN604" s="172"/>
      <c r="BO604" s="172"/>
      <c r="BP604" s="172"/>
      <c r="BQ604" s="172"/>
      <c r="BR604" s="172"/>
      <c r="BS604" s="172"/>
      <c r="BT604" s="172"/>
      <c r="BU604" s="172"/>
      <c r="BV604" s="172"/>
      <c r="BW604" s="172"/>
      <c r="BX604" s="172"/>
      <c r="BY604" s="174"/>
      <c r="BZ604" s="172"/>
      <c r="CA604" s="172"/>
      <c r="CD604" s="194"/>
      <c r="CE604" s="194"/>
      <c r="CF604" s="194"/>
      <c r="CG604" s="194"/>
      <c r="CH604" s="195"/>
      <c r="CI604" s="194"/>
      <c r="CJ604" s="194"/>
      <c r="CK604" s="194"/>
      <c r="CL604" s="196"/>
      <c r="CM604" s="196"/>
      <c r="CN604" s="194"/>
      <c r="CO604" s="197"/>
      <c r="CP604" s="196"/>
      <c r="CQ604" s="196"/>
      <c r="CR604" s="196"/>
      <c r="CS604" s="196"/>
      <c r="CT604" s="196"/>
      <c r="CU604" s="196"/>
      <c r="CV604" s="194"/>
      <c r="CW604" s="194"/>
      <c r="CX604" s="194"/>
      <c r="CY604" s="194"/>
      <c r="CZ604" s="194"/>
      <c r="DA604" s="194"/>
      <c r="DB604" s="194"/>
      <c r="DC604" s="194"/>
      <c r="DD604" s="194"/>
      <c r="DE604" s="194"/>
      <c r="DF604" s="196"/>
      <c r="DG604" s="198"/>
      <c r="DH604" s="194"/>
      <c r="DI604" s="194"/>
    </row>
    <row r="605" spans="1:113" s="24" customFormat="1" hidden="1" x14ac:dyDescent="0.3">
      <c r="A605" s="172"/>
      <c r="B605" s="172"/>
      <c r="C605" s="172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  <c r="AE605" s="173"/>
      <c r="AF605" s="173"/>
      <c r="AG605" s="173"/>
      <c r="AH605" s="173"/>
      <c r="AI605" s="173"/>
      <c r="AJ605" s="173"/>
      <c r="AK605" s="173"/>
      <c r="AL605" s="173"/>
      <c r="AM605" s="173"/>
      <c r="AN605" s="173"/>
      <c r="AO605" s="173"/>
      <c r="AP605" s="173"/>
      <c r="AQ605" s="173"/>
      <c r="AR605" s="173"/>
      <c r="AS605" s="172"/>
      <c r="AT605" s="172"/>
      <c r="AU605" s="172"/>
      <c r="AV605" s="172"/>
      <c r="AW605" s="172"/>
      <c r="AX605" s="172"/>
      <c r="AY605" s="172"/>
      <c r="AZ605" s="172"/>
      <c r="BA605" s="172"/>
      <c r="BB605" s="172"/>
      <c r="BC605" s="172"/>
      <c r="BD605" s="172"/>
      <c r="BE605" s="172"/>
      <c r="BF605" s="172"/>
      <c r="BG605" s="172"/>
      <c r="BH605" s="172"/>
      <c r="BI605" s="172"/>
      <c r="BJ605" s="172"/>
      <c r="BK605" s="172"/>
      <c r="BL605" s="172"/>
      <c r="BM605" s="172"/>
      <c r="BN605" s="172"/>
      <c r="BO605" s="172"/>
      <c r="BP605" s="172"/>
      <c r="BQ605" s="172"/>
      <c r="BR605" s="172"/>
      <c r="BS605" s="172"/>
      <c r="BT605" s="172"/>
      <c r="BU605" s="172"/>
      <c r="BV605" s="172"/>
      <c r="BW605" s="172"/>
      <c r="BX605" s="172"/>
      <c r="BY605" s="174"/>
      <c r="BZ605" s="172"/>
      <c r="CA605" s="172"/>
      <c r="CD605" s="194"/>
      <c r="CE605" s="194"/>
      <c r="CF605" s="194"/>
      <c r="CG605" s="194"/>
      <c r="CH605" s="195"/>
      <c r="CI605" s="194"/>
      <c r="CJ605" s="194"/>
      <c r="CK605" s="194"/>
      <c r="CL605" s="196"/>
      <c r="CM605" s="196"/>
      <c r="CN605" s="194"/>
      <c r="CO605" s="197"/>
      <c r="CP605" s="196"/>
      <c r="CQ605" s="196"/>
      <c r="CR605" s="196"/>
      <c r="CS605" s="196"/>
      <c r="CT605" s="196"/>
      <c r="CU605" s="196"/>
      <c r="CV605" s="194"/>
      <c r="CW605" s="194"/>
      <c r="CX605" s="194"/>
      <c r="CY605" s="194"/>
      <c r="CZ605" s="194"/>
      <c r="DA605" s="194"/>
      <c r="DB605" s="194"/>
      <c r="DC605" s="194"/>
      <c r="DD605" s="194"/>
      <c r="DE605" s="194"/>
      <c r="DF605" s="196"/>
      <c r="DG605" s="198"/>
      <c r="DH605" s="194"/>
      <c r="DI605" s="194"/>
    </row>
    <row r="606" spans="1:113" s="24" customFormat="1" hidden="1" x14ac:dyDescent="0.3">
      <c r="A606" s="172"/>
      <c r="B606" s="172"/>
      <c r="C606" s="172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  <c r="AE606" s="173"/>
      <c r="AF606" s="173"/>
      <c r="AG606" s="173"/>
      <c r="AH606" s="173"/>
      <c r="AI606" s="173"/>
      <c r="AJ606" s="173"/>
      <c r="AK606" s="173"/>
      <c r="AL606" s="173"/>
      <c r="AM606" s="173"/>
      <c r="AN606" s="173"/>
      <c r="AO606" s="173"/>
      <c r="AP606" s="173"/>
      <c r="AQ606" s="173"/>
      <c r="AR606" s="173"/>
      <c r="AS606" s="172"/>
      <c r="AT606" s="172"/>
      <c r="AU606" s="172"/>
      <c r="AV606" s="172"/>
      <c r="AW606" s="172"/>
      <c r="AX606" s="172"/>
      <c r="AY606" s="172"/>
      <c r="AZ606" s="172"/>
      <c r="BA606" s="172"/>
      <c r="BB606" s="172"/>
      <c r="BC606" s="172"/>
      <c r="BD606" s="172"/>
      <c r="BE606" s="172"/>
      <c r="BF606" s="172"/>
      <c r="BG606" s="172"/>
      <c r="BH606" s="172"/>
      <c r="BI606" s="172"/>
      <c r="BJ606" s="172"/>
      <c r="BK606" s="172"/>
      <c r="BL606" s="172"/>
      <c r="BM606" s="172"/>
      <c r="BN606" s="172"/>
      <c r="BO606" s="172"/>
      <c r="BP606" s="172"/>
      <c r="BQ606" s="172"/>
      <c r="BR606" s="172"/>
      <c r="BS606" s="172"/>
      <c r="BT606" s="172"/>
      <c r="BU606" s="172"/>
      <c r="BV606" s="172"/>
      <c r="BW606" s="172"/>
      <c r="BX606" s="172"/>
      <c r="BY606" s="174"/>
      <c r="BZ606" s="172"/>
      <c r="CA606" s="172"/>
      <c r="CD606" s="194"/>
      <c r="CE606" s="194"/>
      <c r="CF606" s="194"/>
      <c r="CG606" s="194"/>
      <c r="CH606" s="195"/>
      <c r="CI606" s="194"/>
      <c r="CJ606" s="194"/>
      <c r="CK606" s="194"/>
      <c r="CL606" s="196"/>
      <c r="CM606" s="196"/>
      <c r="CN606" s="194"/>
      <c r="CO606" s="197"/>
      <c r="CP606" s="196"/>
      <c r="CQ606" s="196"/>
      <c r="CR606" s="196"/>
      <c r="CS606" s="196"/>
      <c r="CT606" s="196"/>
      <c r="CU606" s="196"/>
      <c r="CV606" s="194"/>
      <c r="CW606" s="194"/>
      <c r="CX606" s="194"/>
      <c r="CY606" s="194"/>
      <c r="CZ606" s="194"/>
      <c r="DA606" s="194"/>
      <c r="DB606" s="194"/>
      <c r="DC606" s="194"/>
      <c r="DD606" s="194"/>
      <c r="DE606" s="194"/>
      <c r="DF606" s="196"/>
      <c r="DG606" s="198"/>
      <c r="DH606" s="194"/>
      <c r="DI606" s="194"/>
    </row>
    <row r="607" spans="1:113" s="24" customFormat="1" hidden="1" x14ac:dyDescent="0.3">
      <c r="A607" s="172"/>
      <c r="B607" s="172"/>
      <c r="C607" s="172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  <c r="AE607" s="173"/>
      <c r="AF607" s="173"/>
      <c r="AG607" s="173"/>
      <c r="AH607" s="173"/>
      <c r="AI607" s="173"/>
      <c r="AJ607" s="173"/>
      <c r="AK607" s="173"/>
      <c r="AL607" s="173"/>
      <c r="AM607" s="173"/>
      <c r="AN607" s="173"/>
      <c r="AO607" s="173"/>
      <c r="AP607" s="173"/>
      <c r="AQ607" s="173"/>
      <c r="AR607" s="173"/>
      <c r="AS607" s="172"/>
      <c r="AT607" s="172"/>
      <c r="AU607" s="172"/>
      <c r="AV607" s="172"/>
      <c r="AW607" s="172"/>
      <c r="AX607" s="172"/>
      <c r="AY607" s="172"/>
      <c r="AZ607" s="172"/>
      <c r="BA607" s="172"/>
      <c r="BB607" s="172"/>
      <c r="BC607" s="172"/>
      <c r="BD607" s="172"/>
      <c r="BE607" s="172"/>
      <c r="BF607" s="172"/>
      <c r="BG607" s="172"/>
      <c r="BH607" s="172"/>
      <c r="BI607" s="172"/>
      <c r="BJ607" s="172"/>
      <c r="BK607" s="172"/>
      <c r="BL607" s="172"/>
      <c r="BM607" s="172"/>
      <c r="BN607" s="172"/>
      <c r="BO607" s="172"/>
      <c r="BP607" s="172"/>
      <c r="BQ607" s="172"/>
      <c r="BR607" s="172"/>
      <c r="BS607" s="172"/>
      <c r="BT607" s="172"/>
      <c r="BU607" s="172"/>
      <c r="BV607" s="172"/>
      <c r="BW607" s="172"/>
      <c r="BX607" s="172"/>
      <c r="BY607" s="174"/>
      <c r="BZ607" s="172"/>
      <c r="CA607" s="172"/>
      <c r="CD607" s="194"/>
      <c r="CE607" s="194"/>
      <c r="CF607" s="194"/>
      <c r="CG607" s="194"/>
      <c r="CH607" s="195"/>
      <c r="CI607" s="194"/>
      <c r="CJ607" s="194"/>
      <c r="CK607" s="194"/>
      <c r="CL607" s="196"/>
      <c r="CM607" s="196"/>
      <c r="CN607" s="194"/>
      <c r="CO607" s="197"/>
      <c r="CP607" s="196"/>
      <c r="CQ607" s="196"/>
      <c r="CR607" s="196"/>
      <c r="CS607" s="196"/>
      <c r="CT607" s="196"/>
      <c r="CU607" s="196"/>
      <c r="CV607" s="194"/>
      <c r="CW607" s="194"/>
      <c r="CX607" s="194"/>
      <c r="CY607" s="194"/>
      <c r="CZ607" s="194"/>
      <c r="DA607" s="194"/>
      <c r="DB607" s="194"/>
      <c r="DC607" s="194"/>
      <c r="DD607" s="194"/>
      <c r="DE607" s="194"/>
      <c r="DF607" s="196"/>
      <c r="DG607" s="198"/>
      <c r="DH607" s="194"/>
      <c r="DI607" s="194"/>
    </row>
    <row r="608" spans="1:113" s="24" customFormat="1" hidden="1" x14ac:dyDescent="0.3">
      <c r="A608" s="172"/>
      <c r="B608" s="172"/>
      <c r="C608" s="172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  <c r="AE608" s="173"/>
      <c r="AF608" s="173"/>
      <c r="AG608" s="173"/>
      <c r="AH608" s="173"/>
      <c r="AI608" s="173"/>
      <c r="AJ608" s="173"/>
      <c r="AK608" s="173"/>
      <c r="AL608" s="173"/>
      <c r="AM608" s="173"/>
      <c r="AN608" s="173"/>
      <c r="AO608" s="173"/>
      <c r="AP608" s="173"/>
      <c r="AQ608" s="173"/>
      <c r="AR608" s="173"/>
      <c r="AS608" s="172"/>
      <c r="AT608" s="172"/>
      <c r="AU608" s="172"/>
      <c r="AV608" s="172"/>
      <c r="AW608" s="172"/>
      <c r="AX608" s="172"/>
      <c r="AY608" s="172"/>
      <c r="AZ608" s="172"/>
      <c r="BA608" s="172"/>
      <c r="BB608" s="172"/>
      <c r="BC608" s="172"/>
      <c r="BD608" s="172"/>
      <c r="BE608" s="172"/>
      <c r="BF608" s="172"/>
      <c r="BG608" s="172"/>
      <c r="BH608" s="172"/>
      <c r="BI608" s="172"/>
      <c r="BJ608" s="172"/>
      <c r="BK608" s="172"/>
      <c r="BL608" s="172"/>
      <c r="BM608" s="172"/>
      <c r="BN608" s="172"/>
      <c r="BO608" s="172"/>
      <c r="BP608" s="172"/>
      <c r="BQ608" s="172"/>
      <c r="BR608" s="172"/>
      <c r="BS608" s="172"/>
      <c r="BT608" s="172"/>
      <c r="BU608" s="172"/>
      <c r="BV608" s="172"/>
      <c r="BW608" s="172"/>
      <c r="BX608" s="172"/>
      <c r="BY608" s="174"/>
      <c r="BZ608" s="172"/>
      <c r="CA608" s="172"/>
      <c r="CD608" s="194"/>
      <c r="CE608" s="194"/>
      <c r="CF608" s="194"/>
      <c r="CG608" s="194"/>
      <c r="CH608" s="195"/>
      <c r="CI608" s="194"/>
      <c r="CJ608" s="194"/>
      <c r="CK608" s="194"/>
      <c r="CL608" s="196"/>
      <c r="CM608" s="196"/>
      <c r="CN608" s="194"/>
      <c r="CO608" s="197"/>
      <c r="CP608" s="196"/>
      <c r="CQ608" s="196"/>
      <c r="CR608" s="196"/>
      <c r="CS608" s="196"/>
      <c r="CT608" s="196"/>
      <c r="CU608" s="196"/>
      <c r="CV608" s="194"/>
      <c r="CW608" s="194"/>
      <c r="CX608" s="194"/>
      <c r="CY608" s="194"/>
      <c r="CZ608" s="194"/>
      <c r="DA608" s="194"/>
      <c r="DB608" s="194"/>
      <c r="DC608" s="194"/>
      <c r="DD608" s="194"/>
      <c r="DE608" s="194"/>
      <c r="DF608" s="196"/>
      <c r="DG608" s="198"/>
      <c r="DH608" s="194"/>
      <c r="DI608" s="194"/>
    </row>
    <row r="609" spans="1:113" s="24" customFormat="1" hidden="1" x14ac:dyDescent="0.3">
      <c r="A609" s="172"/>
      <c r="B609" s="172"/>
      <c r="C609" s="172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  <c r="AE609" s="173"/>
      <c r="AF609" s="173"/>
      <c r="AG609" s="173"/>
      <c r="AH609" s="173"/>
      <c r="AI609" s="173"/>
      <c r="AJ609" s="173"/>
      <c r="AK609" s="173"/>
      <c r="AL609" s="173"/>
      <c r="AM609" s="173"/>
      <c r="AN609" s="173"/>
      <c r="AO609" s="173"/>
      <c r="AP609" s="173"/>
      <c r="AQ609" s="173"/>
      <c r="AR609" s="173"/>
      <c r="AS609" s="172"/>
      <c r="AT609" s="172"/>
      <c r="AU609" s="172"/>
      <c r="AV609" s="172"/>
      <c r="AW609" s="172"/>
      <c r="AX609" s="172"/>
      <c r="AY609" s="172"/>
      <c r="AZ609" s="172"/>
      <c r="BA609" s="172"/>
      <c r="BB609" s="172"/>
      <c r="BC609" s="172"/>
      <c r="BD609" s="172"/>
      <c r="BE609" s="172"/>
      <c r="BF609" s="172"/>
      <c r="BG609" s="172"/>
      <c r="BH609" s="172"/>
      <c r="BI609" s="172"/>
      <c r="BJ609" s="172"/>
      <c r="BK609" s="172"/>
      <c r="BL609" s="172"/>
      <c r="BM609" s="172"/>
      <c r="BN609" s="172"/>
      <c r="BO609" s="172"/>
      <c r="BP609" s="172"/>
      <c r="BQ609" s="172"/>
      <c r="BR609" s="172"/>
      <c r="BS609" s="172"/>
      <c r="BT609" s="172"/>
      <c r="BU609" s="172"/>
      <c r="BV609" s="172"/>
      <c r="BW609" s="172"/>
      <c r="BX609" s="172"/>
      <c r="BY609" s="174"/>
      <c r="BZ609" s="172"/>
      <c r="CA609" s="172"/>
      <c r="CD609" s="194"/>
      <c r="CE609" s="194"/>
      <c r="CF609" s="194"/>
      <c r="CG609" s="194"/>
      <c r="CH609" s="195"/>
      <c r="CI609" s="194"/>
      <c r="CJ609" s="194"/>
      <c r="CK609" s="194"/>
      <c r="CL609" s="196"/>
      <c r="CM609" s="196"/>
      <c r="CN609" s="194"/>
      <c r="CO609" s="197"/>
      <c r="CP609" s="196"/>
      <c r="CQ609" s="196"/>
      <c r="CR609" s="196"/>
      <c r="CS609" s="196"/>
      <c r="CT609" s="196"/>
      <c r="CU609" s="196"/>
      <c r="CV609" s="194"/>
      <c r="CW609" s="194"/>
      <c r="CX609" s="194"/>
      <c r="CY609" s="194"/>
      <c r="CZ609" s="194"/>
      <c r="DA609" s="194"/>
      <c r="DB609" s="194"/>
      <c r="DC609" s="194"/>
      <c r="DD609" s="194"/>
      <c r="DE609" s="194"/>
      <c r="DF609" s="196"/>
      <c r="DG609" s="198"/>
      <c r="DH609" s="194"/>
      <c r="DI609" s="194"/>
    </row>
    <row r="610" spans="1:113" s="24" customFormat="1" hidden="1" x14ac:dyDescent="0.3">
      <c r="A610" s="172"/>
      <c r="B610" s="172"/>
      <c r="C610" s="172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  <c r="AE610" s="173"/>
      <c r="AF610" s="173"/>
      <c r="AG610" s="173"/>
      <c r="AH610" s="173"/>
      <c r="AI610" s="173"/>
      <c r="AJ610" s="173"/>
      <c r="AK610" s="173"/>
      <c r="AL610" s="173"/>
      <c r="AM610" s="173"/>
      <c r="AN610" s="173"/>
      <c r="AO610" s="173"/>
      <c r="AP610" s="173"/>
      <c r="AQ610" s="173"/>
      <c r="AR610" s="173"/>
      <c r="AS610" s="172"/>
      <c r="AT610" s="172"/>
      <c r="AU610" s="172"/>
      <c r="AV610" s="172"/>
      <c r="AW610" s="172"/>
      <c r="AX610" s="172"/>
      <c r="AY610" s="172"/>
      <c r="AZ610" s="172"/>
      <c r="BA610" s="172"/>
      <c r="BB610" s="172"/>
      <c r="BC610" s="172"/>
      <c r="BD610" s="172"/>
      <c r="BE610" s="172"/>
      <c r="BF610" s="172"/>
      <c r="BG610" s="172"/>
      <c r="BH610" s="172"/>
      <c r="BI610" s="172"/>
      <c r="BJ610" s="172"/>
      <c r="BK610" s="172"/>
      <c r="BL610" s="172"/>
      <c r="BM610" s="172"/>
      <c r="BN610" s="172"/>
      <c r="BO610" s="172"/>
      <c r="BP610" s="172"/>
      <c r="BQ610" s="172"/>
      <c r="BR610" s="172"/>
      <c r="BS610" s="172"/>
      <c r="BT610" s="172"/>
      <c r="BU610" s="172"/>
      <c r="BV610" s="172"/>
      <c r="BW610" s="172"/>
      <c r="BX610" s="172"/>
      <c r="BY610" s="174"/>
      <c r="BZ610" s="172"/>
      <c r="CA610" s="172"/>
      <c r="CD610" s="194"/>
      <c r="CE610" s="194"/>
      <c r="CF610" s="194"/>
      <c r="CG610" s="194"/>
      <c r="CH610" s="195"/>
      <c r="CI610" s="194"/>
      <c r="CJ610" s="194"/>
      <c r="CK610" s="194"/>
      <c r="CL610" s="196"/>
      <c r="CM610" s="196"/>
      <c r="CN610" s="194"/>
      <c r="CO610" s="197"/>
      <c r="CP610" s="196"/>
      <c r="CQ610" s="196"/>
      <c r="CR610" s="196"/>
      <c r="CS610" s="196"/>
      <c r="CT610" s="196"/>
      <c r="CU610" s="196"/>
      <c r="CV610" s="194"/>
      <c r="CW610" s="194"/>
      <c r="CX610" s="194"/>
      <c r="CY610" s="194"/>
      <c r="CZ610" s="194"/>
      <c r="DA610" s="194"/>
      <c r="DB610" s="194"/>
      <c r="DC610" s="194"/>
      <c r="DD610" s="194"/>
      <c r="DE610" s="194"/>
      <c r="DF610" s="196"/>
      <c r="DG610" s="198"/>
      <c r="DH610" s="194"/>
      <c r="DI610" s="194"/>
    </row>
    <row r="611" spans="1:113" s="24" customFormat="1" hidden="1" x14ac:dyDescent="0.3">
      <c r="A611" s="172"/>
      <c r="B611" s="172"/>
      <c r="C611" s="172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  <c r="AE611" s="173"/>
      <c r="AF611" s="173"/>
      <c r="AG611" s="173"/>
      <c r="AH611" s="173"/>
      <c r="AI611" s="173"/>
      <c r="AJ611" s="173"/>
      <c r="AK611" s="173"/>
      <c r="AL611" s="173"/>
      <c r="AM611" s="173"/>
      <c r="AN611" s="173"/>
      <c r="AO611" s="173"/>
      <c r="AP611" s="173"/>
      <c r="AQ611" s="173"/>
      <c r="AR611" s="173"/>
      <c r="AS611" s="172"/>
      <c r="AT611" s="172"/>
      <c r="AU611" s="172"/>
      <c r="AV611" s="172"/>
      <c r="AW611" s="172"/>
      <c r="AX611" s="172"/>
      <c r="AY611" s="172"/>
      <c r="AZ611" s="172"/>
      <c r="BA611" s="172"/>
      <c r="BB611" s="172"/>
      <c r="BC611" s="172"/>
      <c r="BD611" s="172"/>
      <c r="BE611" s="172"/>
      <c r="BF611" s="172"/>
      <c r="BG611" s="172"/>
      <c r="BH611" s="172"/>
      <c r="BI611" s="172"/>
      <c r="BJ611" s="172"/>
      <c r="BK611" s="172"/>
      <c r="BL611" s="172"/>
      <c r="BM611" s="172"/>
      <c r="BN611" s="172"/>
      <c r="BO611" s="172"/>
      <c r="BP611" s="172"/>
      <c r="BQ611" s="172"/>
      <c r="BR611" s="172"/>
      <c r="BS611" s="172"/>
      <c r="BT611" s="172"/>
      <c r="BU611" s="172"/>
      <c r="BV611" s="172"/>
      <c r="BW611" s="172"/>
      <c r="BX611" s="172"/>
      <c r="BY611" s="174"/>
      <c r="BZ611" s="172"/>
      <c r="CA611" s="172"/>
      <c r="CD611" s="194"/>
      <c r="CE611" s="194"/>
      <c r="CF611" s="194"/>
      <c r="CG611" s="194"/>
      <c r="CH611" s="195"/>
      <c r="CI611" s="194"/>
      <c r="CJ611" s="194"/>
      <c r="CK611" s="194"/>
      <c r="CL611" s="196"/>
      <c r="CM611" s="196"/>
      <c r="CN611" s="194"/>
      <c r="CO611" s="197"/>
      <c r="CP611" s="196"/>
      <c r="CQ611" s="196"/>
      <c r="CR611" s="196"/>
      <c r="CS611" s="196"/>
      <c r="CT611" s="196"/>
      <c r="CU611" s="196"/>
      <c r="CV611" s="194"/>
      <c r="CW611" s="194"/>
      <c r="CX611" s="194"/>
      <c r="CY611" s="194"/>
      <c r="CZ611" s="194"/>
      <c r="DA611" s="194"/>
      <c r="DB611" s="194"/>
      <c r="DC611" s="194"/>
      <c r="DD611" s="194"/>
      <c r="DE611" s="194"/>
      <c r="DF611" s="196"/>
      <c r="DG611" s="198"/>
      <c r="DH611" s="194"/>
      <c r="DI611" s="194"/>
    </row>
    <row r="612" spans="1:113" s="24" customFormat="1" hidden="1" x14ac:dyDescent="0.3">
      <c r="A612" s="172"/>
      <c r="B612" s="172"/>
      <c r="C612" s="172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  <c r="AE612" s="173"/>
      <c r="AF612" s="173"/>
      <c r="AG612" s="173"/>
      <c r="AH612" s="173"/>
      <c r="AI612" s="173"/>
      <c r="AJ612" s="173"/>
      <c r="AK612" s="173"/>
      <c r="AL612" s="173"/>
      <c r="AM612" s="173"/>
      <c r="AN612" s="173"/>
      <c r="AO612" s="173"/>
      <c r="AP612" s="173"/>
      <c r="AQ612" s="173"/>
      <c r="AR612" s="173"/>
      <c r="AS612" s="172"/>
      <c r="AT612" s="172"/>
      <c r="AU612" s="172"/>
      <c r="AV612" s="172"/>
      <c r="AW612" s="172"/>
      <c r="AX612" s="172"/>
      <c r="AY612" s="172"/>
      <c r="AZ612" s="172"/>
      <c r="BA612" s="172"/>
      <c r="BB612" s="172"/>
      <c r="BC612" s="172"/>
      <c r="BD612" s="172"/>
      <c r="BE612" s="172"/>
      <c r="BF612" s="172"/>
      <c r="BG612" s="172"/>
      <c r="BH612" s="172"/>
      <c r="BI612" s="172"/>
      <c r="BJ612" s="172"/>
      <c r="BK612" s="172"/>
      <c r="BL612" s="172"/>
      <c r="BM612" s="172"/>
      <c r="BN612" s="172"/>
      <c r="BO612" s="172"/>
      <c r="BP612" s="172"/>
      <c r="BQ612" s="172"/>
      <c r="BR612" s="172"/>
      <c r="BS612" s="172"/>
      <c r="BT612" s="172"/>
      <c r="BU612" s="172"/>
      <c r="BV612" s="172"/>
      <c r="BW612" s="172"/>
      <c r="BX612" s="172"/>
      <c r="BY612" s="174"/>
      <c r="BZ612" s="172"/>
      <c r="CA612" s="172"/>
      <c r="CD612" s="194"/>
      <c r="CE612" s="194"/>
      <c r="CF612" s="194"/>
      <c r="CG612" s="194"/>
      <c r="CH612" s="195"/>
      <c r="CI612" s="194"/>
      <c r="CJ612" s="194"/>
      <c r="CK612" s="194"/>
      <c r="CL612" s="196"/>
      <c r="CM612" s="196"/>
      <c r="CN612" s="194"/>
      <c r="CO612" s="197"/>
      <c r="CP612" s="196"/>
      <c r="CQ612" s="196"/>
      <c r="CR612" s="196"/>
      <c r="CS612" s="196"/>
      <c r="CT612" s="196"/>
      <c r="CU612" s="196"/>
      <c r="CV612" s="194"/>
      <c r="CW612" s="194"/>
      <c r="CX612" s="194"/>
      <c r="CY612" s="194"/>
      <c r="CZ612" s="194"/>
      <c r="DA612" s="194"/>
      <c r="DB612" s="194"/>
      <c r="DC612" s="194"/>
      <c r="DD612" s="194"/>
      <c r="DE612" s="194"/>
      <c r="DF612" s="196"/>
      <c r="DG612" s="198"/>
      <c r="DH612" s="194"/>
      <c r="DI612" s="194"/>
    </row>
    <row r="613" spans="1:113" s="24" customFormat="1" hidden="1" x14ac:dyDescent="0.3">
      <c r="A613" s="172"/>
      <c r="B613" s="172"/>
      <c r="C613" s="172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  <c r="AE613" s="173"/>
      <c r="AF613" s="173"/>
      <c r="AG613" s="173"/>
      <c r="AH613" s="173"/>
      <c r="AI613" s="173"/>
      <c r="AJ613" s="173"/>
      <c r="AK613" s="173"/>
      <c r="AL613" s="173"/>
      <c r="AM613" s="173"/>
      <c r="AN613" s="173"/>
      <c r="AO613" s="173"/>
      <c r="AP613" s="173"/>
      <c r="AQ613" s="173"/>
      <c r="AR613" s="173"/>
      <c r="AS613" s="172"/>
      <c r="AT613" s="172"/>
      <c r="AU613" s="172"/>
      <c r="AV613" s="172"/>
      <c r="AW613" s="172"/>
      <c r="AX613" s="172"/>
      <c r="AY613" s="172"/>
      <c r="AZ613" s="172"/>
      <c r="BA613" s="172"/>
      <c r="BB613" s="172"/>
      <c r="BC613" s="172"/>
      <c r="BD613" s="172"/>
      <c r="BE613" s="172"/>
      <c r="BF613" s="172"/>
      <c r="BG613" s="172"/>
      <c r="BH613" s="172"/>
      <c r="BI613" s="172"/>
      <c r="BJ613" s="172"/>
      <c r="BK613" s="172"/>
      <c r="BL613" s="172"/>
      <c r="BM613" s="172"/>
      <c r="BN613" s="172"/>
      <c r="BO613" s="172"/>
      <c r="BP613" s="172"/>
      <c r="BQ613" s="172"/>
      <c r="BR613" s="172"/>
      <c r="BS613" s="172"/>
      <c r="BT613" s="172"/>
      <c r="BU613" s="172"/>
      <c r="BV613" s="172"/>
      <c r="BW613" s="172"/>
      <c r="BX613" s="172"/>
      <c r="BY613" s="174"/>
      <c r="BZ613" s="172"/>
      <c r="CA613" s="172"/>
      <c r="CD613" s="194"/>
      <c r="CE613" s="194"/>
      <c r="CF613" s="194"/>
      <c r="CG613" s="194"/>
      <c r="CH613" s="195"/>
      <c r="CI613" s="194"/>
      <c r="CJ613" s="194"/>
      <c r="CK613" s="194"/>
      <c r="CL613" s="196"/>
      <c r="CM613" s="196"/>
      <c r="CN613" s="194"/>
      <c r="CO613" s="197"/>
      <c r="CP613" s="196"/>
      <c r="CQ613" s="196"/>
      <c r="CR613" s="196"/>
      <c r="CS613" s="196"/>
      <c r="CT613" s="196"/>
      <c r="CU613" s="196"/>
      <c r="CV613" s="194"/>
      <c r="CW613" s="194"/>
      <c r="CX613" s="194"/>
      <c r="CY613" s="194"/>
      <c r="CZ613" s="194"/>
      <c r="DA613" s="194"/>
      <c r="DB613" s="194"/>
      <c r="DC613" s="194"/>
      <c r="DD613" s="194"/>
      <c r="DE613" s="194"/>
      <c r="DF613" s="196"/>
      <c r="DG613" s="198"/>
      <c r="DH613" s="194"/>
      <c r="DI613" s="194"/>
    </row>
    <row r="614" spans="1:113" s="24" customFormat="1" hidden="1" x14ac:dyDescent="0.3">
      <c r="A614" s="172"/>
      <c r="B614" s="172"/>
      <c r="C614" s="172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  <c r="AE614" s="173"/>
      <c r="AF614" s="173"/>
      <c r="AG614" s="173"/>
      <c r="AH614" s="173"/>
      <c r="AI614" s="173"/>
      <c r="AJ614" s="173"/>
      <c r="AK614" s="173"/>
      <c r="AL614" s="173"/>
      <c r="AM614" s="173"/>
      <c r="AN614" s="173"/>
      <c r="AO614" s="173"/>
      <c r="AP614" s="173"/>
      <c r="AQ614" s="173"/>
      <c r="AR614" s="173"/>
      <c r="AS614" s="172"/>
      <c r="AT614" s="172"/>
      <c r="AU614" s="172"/>
      <c r="AV614" s="172"/>
      <c r="AW614" s="172"/>
      <c r="AX614" s="172"/>
      <c r="AY614" s="172"/>
      <c r="AZ614" s="172"/>
      <c r="BA614" s="172"/>
      <c r="BB614" s="172"/>
      <c r="BC614" s="172"/>
      <c r="BD614" s="172"/>
      <c r="BE614" s="172"/>
      <c r="BF614" s="172"/>
      <c r="BG614" s="172"/>
      <c r="BH614" s="172"/>
      <c r="BI614" s="172"/>
      <c r="BJ614" s="172"/>
      <c r="BK614" s="172"/>
      <c r="BL614" s="172"/>
      <c r="BM614" s="172"/>
      <c r="BN614" s="172"/>
      <c r="BO614" s="172"/>
      <c r="BP614" s="172"/>
      <c r="BQ614" s="172"/>
      <c r="BR614" s="172"/>
      <c r="BS614" s="172"/>
      <c r="BT614" s="172"/>
      <c r="BU614" s="172"/>
      <c r="BV614" s="172"/>
      <c r="BW614" s="172"/>
      <c r="BX614" s="172"/>
      <c r="BY614" s="174"/>
      <c r="BZ614" s="172"/>
      <c r="CA614" s="172"/>
      <c r="CD614" s="194"/>
      <c r="CE614" s="194"/>
      <c r="CF614" s="194"/>
      <c r="CG614" s="194"/>
      <c r="CH614" s="195"/>
      <c r="CI614" s="194"/>
      <c r="CJ614" s="194"/>
      <c r="CK614" s="194"/>
      <c r="CL614" s="196"/>
      <c r="CM614" s="196"/>
      <c r="CN614" s="194"/>
      <c r="CO614" s="197"/>
      <c r="CP614" s="196"/>
      <c r="CQ614" s="196"/>
      <c r="CR614" s="196"/>
      <c r="CS614" s="196"/>
      <c r="CT614" s="196"/>
      <c r="CU614" s="196"/>
      <c r="CV614" s="194"/>
      <c r="CW614" s="194"/>
      <c r="CX614" s="194"/>
      <c r="CY614" s="194"/>
      <c r="CZ614" s="194"/>
      <c r="DA614" s="194"/>
      <c r="DB614" s="194"/>
      <c r="DC614" s="194"/>
      <c r="DD614" s="194"/>
      <c r="DE614" s="194"/>
      <c r="DF614" s="196"/>
      <c r="DG614" s="198"/>
      <c r="DH614" s="194"/>
      <c r="DI614" s="194"/>
    </row>
    <row r="615" spans="1:113" s="24" customFormat="1" hidden="1" x14ac:dyDescent="0.3">
      <c r="A615" s="172"/>
      <c r="B615" s="172"/>
      <c r="C615" s="172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  <c r="AE615" s="173"/>
      <c r="AF615" s="173"/>
      <c r="AG615" s="173"/>
      <c r="AH615" s="173"/>
      <c r="AI615" s="173"/>
      <c r="AJ615" s="173"/>
      <c r="AK615" s="173"/>
      <c r="AL615" s="173"/>
      <c r="AM615" s="173"/>
      <c r="AN615" s="173"/>
      <c r="AO615" s="173"/>
      <c r="AP615" s="173"/>
      <c r="AQ615" s="173"/>
      <c r="AR615" s="173"/>
      <c r="AS615" s="172"/>
      <c r="AT615" s="172"/>
      <c r="AU615" s="172"/>
      <c r="AV615" s="172"/>
      <c r="AW615" s="172"/>
      <c r="AX615" s="172"/>
      <c r="AY615" s="172"/>
      <c r="AZ615" s="172"/>
      <c r="BA615" s="172"/>
      <c r="BB615" s="172"/>
      <c r="BC615" s="172"/>
      <c r="BD615" s="172"/>
      <c r="BE615" s="172"/>
      <c r="BF615" s="172"/>
      <c r="BG615" s="172"/>
      <c r="BH615" s="172"/>
      <c r="BI615" s="172"/>
      <c r="BJ615" s="172"/>
      <c r="BK615" s="172"/>
      <c r="BL615" s="172"/>
      <c r="BM615" s="172"/>
      <c r="BN615" s="172"/>
      <c r="BO615" s="172"/>
      <c r="BP615" s="172"/>
      <c r="BQ615" s="172"/>
      <c r="BR615" s="172"/>
      <c r="BS615" s="172"/>
      <c r="BT615" s="172"/>
      <c r="BU615" s="172"/>
      <c r="BV615" s="172"/>
      <c r="BW615" s="172"/>
      <c r="BX615" s="172"/>
      <c r="BY615" s="174"/>
      <c r="BZ615" s="172"/>
      <c r="CA615" s="172"/>
      <c r="CD615" s="194"/>
      <c r="CE615" s="194"/>
      <c r="CF615" s="194"/>
      <c r="CG615" s="194"/>
      <c r="CH615" s="195"/>
      <c r="CI615" s="194"/>
      <c r="CJ615" s="194"/>
      <c r="CK615" s="194"/>
      <c r="CL615" s="196"/>
      <c r="CM615" s="196"/>
      <c r="CN615" s="194"/>
      <c r="CO615" s="197"/>
      <c r="CP615" s="196"/>
      <c r="CQ615" s="196"/>
      <c r="CR615" s="196"/>
      <c r="CS615" s="196"/>
      <c r="CT615" s="196"/>
      <c r="CU615" s="196"/>
      <c r="CV615" s="194"/>
      <c r="CW615" s="194"/>
      <c r="CX615" s="194"/>
      <c r="CY615" s="194"/>
      <c r="CZ615" s="194"/>
      <c r="DA615" s="194"/>
      <c r="DB615" s="194"/>
      <c r="DC615" s="194"/>
      <c r="DD615" s="194"/>
      <c r="DE615" s="194"/>
      <c r="DF615" s="196"/>
      <c r="DG615" s="198"/>
      <c r="DH615" s="194"/>
      <c r="DI615" s="194"/>
    </row>
    <row r="616" spans="1:113" s="24" customFormat="1" hidden="1" x14ac:dyDescent="0.3">
      <c r="A616" s="172"/>
      <c r="B616" s="172"/>
      <c r="C616" s="172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  <c r="AE616" s="173"/>
      <c r="AF616" s="173"/>
      <c r="AG616" s="173"/>
      <c r="AH616" s="173"/>
      <c r="AI616" s="173"/>
      <c r="AJ616" s="173"/>
      <c r="AK616" s="173"/>
      <c r="AL616" s="173"/>
      <c r="AM616" s="173"/>
      <c r="AN616" s="173"/>
      <c r="AO616" s="173"/>
      <c r="AP616" s="173"/>
      <c r="AQ616" s="173"/>
      <c r="AR616" s="173"/>
      <c r="AS616" s="172"/>
      <c r="AT616" s="172"/>
      <c r="AU616" s="172"/>
      <c r="AV616" s="172"/>
      <c r="AW616" s="172"/>
      <c r="AX616" s="172"/>
      <c r="AY616" s="172"/>
      <c r="AZ616" s="172"/>
      <c r="BA616" s="172"/>
      <c r="BB616" s="172"/>
      <c r="BC616" s="172"/>
      <c r="BD616" s="172"/>
      <c r="BE616" s="172"/>
      <c r="BF616" s="172"/>
      <c r="BG616" s="172"/>
      <c r="BH616" s="172"/>
      <c r="BI616" s="172"/>
      <c r="BJ616" s="172"/>
      <c r="BK616" s="172"/>
      <c r="BL616" s="172"/>
      <c r="BM616" s="172"/>
      <c r="BN616" s="172"/>
      <c r="BO616" s="172"/>
      <c r="BP616" s="172"/>
      <c r="BQ616" s="172"/>
      <c r="BR616" s="172"/>
      <c r="BS616" s="172"/>
      <c r="BT616" s="172"/>
      <c r="BU616" s="172"/>
      <c r="BV616" s="172"/>
      <c r="BW616" s="172"/>
      <c r="BX616" s="172"/>
      <c r="BY616" s="174"/>
      <c r="BZ616" s="172"/>
      <c r="CA616" s="172"/>
      <c r="CD616" s="194"/>
      <c r="CE616" s="194"/>
      <c r="CF616" s="194"/>
      <c r="CG616" s="194"/>
      <c r="CH616" s="195"/>
      <c r="CI616" s="194"/>
      <c r="CJ616" s="194"/>
      <c r="CK616" s="194"/>
      <c r="CL616" s="196"/>
      <c r="CM616" s="196"/>
      <c r="CN616" s="194"/>
      <c r="CO616" s="197"/>
      <c r="CP616" s="196"/>
      <c r="CQ616" s="196"/>
      <c r="CR616" s="196"/>
      <c r="CS616" s="196"/>
      <c r="CT616" s="196"/>
      <c r="CU616" s="196"/>
      <c r="CV616" s="194"/>
      <c r="CW616" s="194"/>
      <c r="CX616" s="194"/>
      <c r="CY616" s="194"/>
      <c r="CZ616" s="194"/>
      <c r="DA616" s="194"/>
      <c r="DB616" s="194"/>
      <c r="DC616" s="194"/>
      <c r="DD616" s="194"/>
      <c r="DE616" s="194"/>
      <c r="DF616" s="196"/>
      <c r="DG616" s="198"/>
      <c r="DH616" s="194"/>
      <c r="DI616" s="194"/>
    </row>
    <row r="617" spans="1:113" s="24" customFormat="1" hidden="1" x14ac:dyDescent="0.3">
      <c r="A617" s="172"/>
      <c r="B617" s="172"/>
      <c r="C617" s="172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  <c r="AE617" s="173"/>
      <c r="AF617" s="173"/>
      <c r="AG617" s="173"/>
      <c r="AH617" s="173"/>
      <c r="AI617" s="173"/>
      <c r="AJ617" s="173"/>
      <c r="AK617" s="173"/>
      <c r="AL617" s="173"/>
      <c r="AM617" s="173"/>
      <c r="AN617" s="173"/>
      <c r="AO617" s="173"/>
      <c r="AP617" s="173"/>
      <c r="AQ617" s="173"/>
      <c r="AR617" s="173"/>
      <c r="AS617" s="172"/>
      <c r="AT617" s="172"/>
      <c r="AU617" s="172"/>
      <c r="AV617" s="172"/>
      <c r="AW617" s="172"/>
      <c r="AX617" s="172"/>
      <c r="AY617" s="172"/>
      <c r="AZ617" s="172"/>
      <c r="BA617" s="172"/>
      <c r="BB617" s="172"/>
      <c r="BC617" s="172"/>
      <c r="BD617" s="172"/>
      <c r="BE617" s="172"/>
      <c r="BF617" s="172"/>
      <c r="BG617" s="172"/>
      <c r="BH617" s="172"/>
      <c r="BI617" s="172"/>
      <c r="BJ617" s="172"/>
      <c r="BK617" s="172"/>
      <c r="BL617" s="172"/>
      <c r="BM617" s="172"/>
      <c r="BN617" s="172"/>
      <c r="BO617" s="172"/>
      <c r="BP617" s="172"/>
      <c r="BQ617" s="172"/>
      <c r="BR617" s="172"/>
      <c r="BS617" s="172"/>
      <c r="BT617" s="172"/>
      <c r="BU617" s="172"/>
      <c r="BV617" s="172"/>
      <c r="BW617" s="172"/>
      <c r="BX617" s="172"/>
      <c r="BY617" s="174"/>
      <c r="BZ617" s="172"/>
      <c r="CA617" s="172"/>
      <c r="CD617" s="194"/>
      <c r="CE617" s="194"/>
      <c r="CF617" s="194"/>
      <c r="CG617" s="194"/>
      <c r="CH617" s="195"/>
      <c r="CI617" s="194"/>
      <c r="CJ617" s="194"/>
      <c r="CK617" s="194"/>
      <c r="CL617" s="196"/>
      <c r="CM617" s="196"/>
      <c r="CN617" s="194"/>
      <c r="CO617" s="197"/>
      <c r="CP617" s="196"/>
      <c r="CQ617" s="196"/>
      <c r="CR617" s="196"/>
      <c r="CS617" s="196"/>
      <c r="CT617" s="196"/>
      <c r="CU617" s="196"/>
      <c r="CV617" s="194"/>
      <c r="CW617" s="194"/>
      <c r="CX617" s="194"/>
      <c r="CY617" s="194"/>
      <c r="CZ617" s="194"/>
      <c r="DA617" s="194"/>
      <c r="DB617" s="194"/>
      <c r="DC617" s="194"/>
      <c r="DD617" s="194"/>
      <c r="DE617" s="194"/>
      <c r="DF617" s="196"/>
      <c r="DG617" s="198"/>
      <c r="DH617" s="194"/>
      <c r="DI617" s="194"/>
    </row>
    <row r="618" spans="1:113" s="24" customFormat="1" hidden="1" x14ac:dyDescent="0.3">
      <c r="A618" s="172"/>
      <c r="B618" s="172"/>
      <c r="C618" s="172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  <c r="AE618" s="173"/>
      <c r="AF618" s="173"/>
      <c r="AG618" s="173"/>
      <c r="AH618" s="173"/>
      <c r="AI618" s="173"/>
      <c r="AJ618" s="173"/>
      <c r="AK618" s="173"/>
      <c r="AL618" s="173"/>
      <c r="AM618" s="173"/>
      <c r="AN618" s="173"/>
      <c r="AO618" s="173"/>
      <c r="AP618" s="173"/>
      <c r="AQ618" s="173"/>
      <c r="AR618" s="173"/>
      <c r="AS618" s="172"/>
      <c r="AT618" s="172"/>
      <c r="AU618" s="172"/>
      <c r="AV618" s="172"/>
      <c r="AW618" s="172"/>
      <c r="AX618" s="172"/>
      <c r="AY618" s="172"/>
      <c r="AZ618" s="172"/>
      <c r="BA618" s="172"/>
      <c r="BB618" s="172"/>
      <c r="BC618" s="172"/>
      <c r="BD618" s="172"/>
      <c r="BE618" s="172"/>
      <c r="BF618" s="172"/>
      <c r="BG618" s="172"/>
      <c r="BH618" s="172"/>
      <c r="BI618" s="172"/>
      <c r="BJ618" s="172"/>
      <c r="BK618" s="172"/>
      <c r="BL618" s="172"/>
      <c r="BM618" s="172"/>
      <c r="BN618" s="172"/>
      <c r="BO618" s="172"/>
      <c r="BP618" s="172"/>
      <c r="BQ618" s="172"/>
      <c r="BR618" s="172"/>
      <c r="BS618" s="172"/>
      <c r="BT618" s="172"/>
      <c r="BU618" s="172"/>
      <c r="BV618" s="172"/>
      <c r="BW618" s="172"/>
      <c r="BX618" s="172"/>
      <c r="BY618" s="174"/>
      <c r="BZ618" s="172"/>
      <c r="CA618" s="172"/>
      <c r="CD618" s="194"/>
      <c r="CE618" s="194"/>
      <c r="CF618" s="194"/>
      <c r="CG618" s="194"/>
      <c r="CH618" s="195"/>
      <c r="CI618" s="194"/>
      <c r="CJ618" s="194"/>
      <c r="CK618" s="194"/>
      <c r="CL618" s="196"/>
      <c r="CM618" s="196"/>
      <c r="CN618" s="194"/>
      <c r="CO618" s="197"/>
      <c r="CP618" s="196"/>
      <c r="CQ618" s="196"/>
      <c r="CR618" s="196"/>
      <c r="CS618" s="196"/>
      <c r="CT618" s="196"/>
      <c r="CU618" s="196"/>
      <c r="CV618" s="194"/>
      <c r="CW618" s="194"/>
      <c r="CX618" s="194"/>
      <c r="CY618" s="194"/>
      <c r="CZ618" s="194"/>
      <c r="DA618" s="194"/>
      <c r="DB618" s="194"/>
      <c r="DC618" s="194"/>
      <c r="DD618" s="194"/>
      <c r="DE618" s="194"/>
      <c r="DF618" s="196"/>
      <c r="DG618" s="198"/>
      <c r="DH618" s="194"/>
      <c r="DI618" s="194"/>
    </row>
    <row r="619" spans="1:113" s="24" customFormat="1" hidden="1" x14ac:dyDescent="0.3">
      <c r="A619" s="172"/>
      <c r="B619" s="172"/>
      <c r="C619" s="172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  <c r="AE619" s="173"/>
      <c r="AF619" s="173"/>
      <c r="AG619" s="173"/>
      <c r="AH619" s="173"/>
      <c r="AI619" s="173"/>
      <c r="AJ619" s="173"/>
      <c r="AK619" s="173"/>
      <c r="AL619" s="173"/>
      <c r="AM619" s="173"/>
      <c r="AN619" s="173"/>
      <c r="AO619" s="173"/>
      <c r="AP619" s="173"/>
      <c r="AQ619" s="173"/>
      <c r="AR619" s="173"/>
      <c r="AS619" s="172"/>
      <c r="AT619" s="172"/>
      <c r="AU619" s="172"/>
      <c r="AV619" s="172"/>
      <c r="AW619" s="172"/>
      <c r="AX619" s="172"/>
      <c r="AY619" s="172"/>
      <c r="AZ619" s="172"/>
      <c r="BA619" s="172"/>
      <c r="BB619" s="172"/>
      <c r="BC619" s="172"/>
      <c r="BD619" s="172"/>
      <c r="BE619" s="172"/>
      <c r="BF619" s="172"/>
      <c r="BG619" s="172"/>
      <c r="BH619" s="172"/>
      <c r="BI619" s="172"/>
      <c r="BJ619" s="172"/>
      <c r="BK619" s="172"/>
      <c r="BL619" s="172"/>
      <c r="BM619" s="172"/>
      <c r="BN619" s="172"/>
      <c r="BO619" s="172"/>
      <c r="BP619" s="172"/>
      <c r="BQ619" s="172"/>
      <c r="BR619" s="172"/>
      <c r="BS619" s="172"/>
      <c r="BT619" s="172"/>
      <c r="BU619" s="172"/>
      <c r="BV619" s="172"/>
      <c r="BW619" s="172"/>
      <c r="BX619" s="172"/>
      <c r="BY619" s="174"/>
      <c r="BZ619" s="172"/>
      <c r="CA619" s="172"/>
      <c r="CD619" s="194"/>
      <c r="CE619" s="194"/>
      <c r="CF619" s="194"/>
      <c r="CG619" s="194"/>
      <c r="CH619" s="195"/>
      <c r="CI619" s="194"/>
      <c r="CJ619" s="194"/>
      <c r="CK619" s="194"/>
      <c r="CL619" s="196"/>
      <c r="CM619" s="196"/>
      <c r="CN619" s="194"/>
      <c r="CO619" s="197"/>
      <c r="CP619" s="196"/>
      <c r="CQ619" s="196"/>
      <c r="CR619" s="196"/>
      <c r="CS619" s="196"/>
      <c r="CT619" s="196"/>
      <c r="CU619" s="196"/>
      <c r="CV619" s="194"/>
      <c r="CW619" s="194"/>
      <c r="CX619" s="194"/>
      <c r="CY619" s="194"/>
      <c r="CZ619" s="194"/>
      <c r="DA619" s="194"/>
      <c r="DB619" s="194"/>
      <c r="DC619" s="194"/>
      <c r="DD619" s="194"/>
      <c r="DE619" s="194"/>
      <c r="DF619" s="196"/>
      <c r="DG619" s="198"/>
      <c r="DH619" s="194"/>
      <c r="DI619" s="194"/>
    </row>
    <row r="620" spans="1:113" s="24" customFormat="1" hidden="1" x14ac:dyDescent="0.3">
      <c r="A620" s="172"/>
      <c r="B620" s="172"/>
      <c r="C620" s="172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  <c r="AE620" s="173"/>
      <c r="AF620" s="173"/>
      <c r="AG620" s="173"/>
      <c r="AH620" s="173"/>
      <c r="AI620" s="173"/>
      <c r="AJ620" s="173"/>
      <c r="AK620" s="173"/>
      <c r="AL620" s="173"/>
      <c r="AM620" s="173"/>
      <c r="AN620" s="173"/>
      <c r="AO620" s="173"/>
      <c r="AP620" s="173"/>
      <c r="AQ620" s="173"/>
      <c r="AR620" s="173"/>
      <c r="AS620" s="172"/>
      <c r="AT620" s="172"/>
      <c r="AU620" s="172"/>
      <c r="AV620" s="172"/>
      <c r="AW620" s="172"/>
      <c r="AX620" s="172"/>
      <c r="AY620" s="172"/>
      <c r="AZ620" s="172"/>
      <c r="BA620" s="172"/>
      <c r="BB620" s="172"/>
      <c r="BC620" s="172"/>
      <c r="BD620" s="172"/>
      <c r="BE620" s="172"/>
      <c r="BF620" s="172"/>
      <c r="BG620" s="172"/>
      <c r="BH620" s="172"/>
      <c r="BI620" s="172"/>
      <c r="BJ620" s="172"/>
      <c r="BK620" s="172"/>
      <c r="BL620" s="172"/>
      <c r="BM620" s="172"/>
      <c r="BN620" s="172"/>
      <c r="BO620" s="172"/>
      <c r="BP620" s="172"/>
      <c r="BQ620" s="172"/>
      <c r="BR620" s="172"/>
      <c r="BS620" s="172"/>
      <c r="BT620" s="172"/>
      <c r="BU620" s="172"/>
      <c r="BV620" s="172"/>
      <c r="BW620" s="172"/>
      <c r="BX620" s="172"/>
      <c r="BY620" s="174"/>
      <c r="BZ620" s="172"/>
      <c r="CA620" s="172"/>
      <c r="CD620" s="194"/>
      <c r="CE620" s="194"/>
      <c r="CF620" s="194"/>
      <c r="CG620" s="194"/>
      <c r="CH620" s="195"/>
      <c r="CI620" s="194"/>
      <c r="CJ620" s="194"/>
      <c r="CK620" s="194"/>
      <c r="CL620" s="196"/>
      <c r="CM620" s="196"/>
      <c r="CN620" s="194"/>
      <c r="CO620" s="197"/>
      <c r="CP620" s="196"/>
      <c r="CQ620" s="196"/>
      <c r="CR620" s="196"/>
      <c r="CS620" s="196"/>
      <c r="CT620" s="196"/>
      <c r="CU620" s="196"/>
      <c r="CV620" s="194"/>
      <c r="CW620" s="194"/>
      <c r="CX620" s="194"/>
      <c r="CY620" s="194"/>
      <c r="CZ620" s="194"/>
      <c r="DA620" s="194"/>
      <c r="DB620" s="194"/>
      <c r="DC620" s="194"/>
      <c r="DD620" s="194"/>
      <c r="DE620" s="194"/>
      <c r="DF620" s="196"/>
      <c r="DG620" s="198"/>
      <c r="DH620" s="194"/>
      <c r="DI620" s="194"/>
    </row>
    <row r="621" spans="1:113" s="24" customFormat="1" hidden="1" x14ac:dyDescent="0.3">
      <c r="A621" s="172"/>
      <c r="B621" s="172"/>
      <c r="C621" s="172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  <c r="AE621" s="173"/>
      <c r="AF621" s="173"/>
      <c r="AG621" s="173"/>
      <c r="AH621" s="173"/>
      <c r="AI621" s="173"/>
      <c r="AJ621" s="173"/>
      <c r="AK621" s="173"/>
      <c r="AL621" s="173"/>
      <c r="AM621" s="173"/>
      <c r="AN621" s="173"/>
      <c r="AO621" s="173"/>
      <c r="AP621" s="173"/>
      <c r="AQ621" s="173"/>
      <c r="AR621" s="173"/>
      <c r="AS621" s="172"/>
      <c r="AT621" s="172"/>
      <c r="AU621" s="172"/>
      <c r="AV621" s="172"/>
      <c r="AW621" s="172"/>
      <c r="AX621" s="172"/>
      <c r="AY621" s="172"/>
      <c r="AZ621" s="172"/>
      <c r="BA621" s="172"/>
      <c r="BB621" s="172"/>
      <c r="BC621" s="172"/>
      <c r="BD621" s="172"/>
      <c r="BE621" s="172"/>
      <c r="BF621" s="172"/>
      <c r="BG621" s="172"/>
      <c r="BH621" s="172"/>
      <c r="BI621" s="172"/>
      <c r="BJ621" s="172"/>
      <c r="BK621" s="172"/>
      <c r="BL621" s="172"/>
      <c r="BM621" s="172"/>
      <c r="BN621" s="172"/>
      <c r="BO621" s="172"/>
      <c r="BP621" s="172"/>
      <c r="BQ621" s="172"/>
      <c r="BR621" s="172"/>
      <c r="BS621" s="172"/>
      <c r="BT621" s="172"/>
      <c r="BU621" s="172"/>
      <c r="BV621" s="172"/>
      <c r="BW621" s="172"/>
      <c r="BX621" s="172"/>
      <c r="BY621" s="174"/>
      <c r="BZ621" s="172"/>
      <c r="CA621" s="172"/>
      <c r="CD621" s="194"/>
      <c r="CE621" s="194"/>
      <c r="CF621" s="194"/>
      <c r="CG621" s="194"/>
      <c r="CH621" s="195"/>
      <c r="CI621" s="194"/>
      <c r="CJ621" s="194"/>
      <c r="CK621" s="194"/>
      <c r="CL621" s="196"/>
      <c r="CM621" s="196"/>
      <c r="CN621" s="194"/>
      <c r="CO621" s="197"/>
      <c r="CP621" s="196"/>
      <c r="CQ621" s="196"/>
      <c r="CR621" s="196"/>
      <c r="CS621" s="196"/>
      <c r="CT621" s="196"/>
      <c r="CU621" s="196"/>
      <c r="CV621" s="194"/>
      <c r="CW621" s="194"/>
      <c r="CX621" s="194"/>
      <c r="CY621" s="194"/>
      <c r="CZ621" s="194"/>
      <c r="DA621" s="194"/>
      <c r="DB621" s="194"/>
      <c r="DC621" s="194"/>
      <c r="DD621" s="194"/>
      <c r="DE621" s="194"/>
      <c r="DF621" s="196"/>
      <c r="DG621" s="198"/>
      <c r="DH621" s="194"/>
      <c r="DI621" s="194"/>
    </row>
    <row r="622" spans="1:113" s="24" customFormat="1" hidden="1" x14ac:dyDescent="0.3">
      <c r="A622" s="172"/>
      <c r="B622" s="172"/>
      <c r="C622" s="172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  <c r="AE622" s="173"/>
      <c r="AF622" s="173"/>
      <c r="AG622" s="173"/>
      <c r="AH622" s="173"/>
      <c r="AI622" s="173"/>
      <c r="AJ622" s="173"/>
      <c r="AK622" s="173"/>
      <c r="AL622" s="173"/>
      <c r="AM622" s="173"/>
      <c r="AN622" s="173"/>
      <c r="AO622" s="173"/>
      <c r="AP622" s="173"/>
      <c r="AQ622" s="173"/>
      <c r="AR622" s="173"/>
      <c r="AS622" s="172"/>
      <c r="AT622" s="172"/>
      <c r="AU622" s="172"/>
      <c r="AV622" s="172"/>
      <c r="AW622" s="172"/>
      <c r="AX622" s="172"/>
      <c r="AY622" s="172"/>
      <c r="AZ622" s="172"/>
      <c r="BA622" s="172"/>
      <c r="BB622" s="172"/>
      <c r="BC622" s="172"/>
      <c r="BD622" s="172"/>
      <c r="BE622" s="172"/>
      <c r="BF622" s="172"/>
      <c r="BG622" s="172"/>
      <c r="BH622" s="172"/>
      <c r="BI622" s="172"/>
      <c r="BJ622" s="172"/>
      <c r="BK622" s="172"/>
      <c r="BL622" s="172"/>
      <c r="BM622" s="172"/>
      <c r="BN622" s="172"/>
      <c r="BO622" s="172"/>
      <c r="BP622" s="172"/>
      <c r="BQ622" s="172"/>
      <c r="BR622" s="172"/>
      <c r="BS622" s="172"/>
      <c r="BT622" s="172"/>
      <c r="BU622" s="172"/>
      <c r="BV622" s="172"/>
      <c r="BW622" s="172"/>
      <c r="BX622" s="172"/>
      <c r="BY622" s="174"/>
      <c r="BZ622" s="172"/>
      <c r="CA622" s="172"/>
      <c r="CD622" s="194"/>
      <c r="CE622" s="194"/>
      <c r="CF622" s="194"/>
      <c r="CG622" s="194"/>
      <c r="CH622" s="195"/>
      <c r="CI622" s="194"/>
      <c r="CJ622" s="194"/>
      <c r="CK622" s="194"/>
      <c r="CL622" s="196"/>
      <c r="CM622" s="196"/>
      <c r="CN622" s="194"/>
      <c r="CO622" s="197"/>
      <c r="CP622" s="196"/>
      <c r="CQ622" s="196"/>
      <c r="CR622" s="196"/>
      <c r="CS622" s="196"/>
      <c r="CT622" s="196"/>
      <c r="CU622" s="196"/>
      <c r="CV622" s="194"/>
      <c r="CW622" s="194"/>
      <c r="CX622" s="194"/>
      <c r="CY622" s="194"/>
      <c r="CZ622" s="194"/>
      <c r="DA622" s="194"/>
      <c r="DB622" s="194"/>
      <c r="DC622" s="194"/>
      <c r="DD622" s="194"/>
      <c r="DE622" s="194"/>
      <c r="DF622" s="196"/>
      <c r="DG622" s="198"/>
      <c r="DH622" s="194"/>
      <c r="DI622" s="194"/>
    </row>
    <row r="623" spans="1:113" s="24" customFormat="1" hidden="1" x14ac:dyDescent="0.3">
      <c r="A623" s="172"/>
      <c r="B623" s="172"/>
      <c r="C623" s="172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  <c r="AE623" s="173"/>
      <c r="AF623" s="173"/>
      <c r="AG623" s="173"/>
      <c r="AH623" s="173"/>
      <c r="AI623" s="173"/>
      <c r="AJ623" s="173"/>
      <c r="AK623" s="173"/>
      <c r="AL623" s="173"/>
      <c r="AM623" s="173"/>
      <c r="AN623" s="173"/>
      <c r="AO623" s="173"/>
      <c r="AP623" s="173"/>
      <c r="AQ623" s="173"/>
      <c r="AR623" s="173"/>
      <c r="AS623" s="172"/>
      <c r="AT623" s="172"/>
      <c r="AU623" s="172"/>
      <c r="AV623" s="172"/>
      <c r="AW623" s="172"/>
      <c r="AX623" s="172"/>
      <c r="AY623" s="172"/>
      <c r="AZ623" s="172"/>
      <c r="BA623" s="172"/>
      <c r="BB623" s="172"/>
      <c r="BC623" s="172"/>
      <c r="BD623" s="172"/>
      <c r="BE623" s="172"/>
      <c r="BF623" s="172"/>
      <c r="BG623" s="172"/>
      <c r="BH623" s="172"/>
      <c r="BI623" s="172"/>
      <c r="BJ623" s="172"/>
      <c r="BK623" s="172"/>
      <c r="BL623" s="172"/>
      <c r="BM623" s="172"/>
      <c r="BN623" s="172"/>
      <c r="BO623" s="172"/>
      <c r="BP623" s="172"/>
      <c r="BQ623" s="172"/>
      <c r="BR623" s="172"/>
      <c r="BS623" s="172"/>
      <c r="BT623" s="172"/>
      <c r="BU623" s="172"/>
      <c r="BV623" s="172"/>
      <c r="BW623" s="172"/>
      <c r="BX623" s="172"/>
      <c r="BY623" s="174"/>
      <c r="BZ623" s="172"/>
      <c r="CA623" s="172"/>
      <c r="CD623" s="194"/>
      <c r="CE623" s="194"/>
      <c r="CF623" s="194"/>
      <c r="CG623" s="194"/>
      <c r="CH623" s="195"/>
      <c r="CI623" s="194"/>
      <c r="CJ623" s="194"/>
      <c r="CK623" s="194"/>
      <c r="CL623" s="196"/>
      <c r="CM623" s="196"/>
      <c r="CN623" s="194"/>
      <c r="CO623" s="197"/>
      <c r="CP623" s="196"/>
      <c r="CQ623" s="196"/>
      <c r="CR623" s="196"/>
      <c r="CS623" s="196"/>
      <c r="CT623" s="196"/>
      <c r="CU623" s="196"/>
      <c r="CV623" s="194"/>
      <c r="CW623" s="194"/>
      <c r="CX623" s="194"/>
      <c r="CY623" s="194"/>
      <c r="CZ623" s="194"/>
      <c r="DA623" s="194"/>
      <c r="DB623" s="194"/>
      <c r="DC623" s="194"/>
      <c r="DD623" s="194"/>
      <c r="DE623" s="194"/>
      <c r="DF623" s="196"/>
      <c r="DG623" s="198"/>
      <c r="DH623" s="194"/>
      <c r="DI623" s="194"/>
    </row>
    <row r="624" spans="1:113" s="24" customFormat="1" hidden="1" x14ac:dyDescent="0.3">
      <c r="A624" s="172"/>
      <c r="B624" s="172"/>
      <c r="C624" s="172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  <c r="AE624" s="173"/>
      <c r="AF624" s="173"/>
      <c r="AG624" s="173"/>
      <c r="AH624" s="173"/>
      <c r="AI624" s="173"/>
      <c r="AJ624" s="173"/>
      <c r="AK624" s="173"/>
      <c r="AL624" s="173"/>
      <c r="AM624" s="173"/>
      <c r="AN624" s="173"/>
      <c r="AO624" s="173"/>
      <c r="AP624" s="173"/>
      <c r="AQ624" s="173"/>
      <c r="AR624" s="173"/>
      <c r="AS624" s="172"/>
      <c r="AT624" s="172"/>
      <c r="AU624" s="172"/>
      <c r="AV624" s="172"/>
      <c r="AW624" s="172"/>
      <c r="AX624" s="172"/>
      <c r="AY624" s="172"/>
      <c r="AZ624" s="172"/>
      <c r="BA624" s="172"/>
      <c r="BB624" s="172"/>
      <c r="BC624" s="172"/>
      <c r="BD624" s="172"/>
      <c r="BE624" s="172"/>
      <c r="BF624" s="172"/>
      <c r="BG624" s="172"/>
      <c r="BH624" s="172"/>
      <c r="BI624" s="172"/>
      <c r="BJ624" s="172"/>
      <c r="BK624" s="172"/>
      <c r="BL624" s="172"/>
      <c r="BM624" s="172"/>
      <c r="BN624" s="172"/>
      <c r="BO624" s="172"/>
      <c r="BP624" s="172"/>
      <c r="BQ624" s="172"/>
      <c r="BR624" s="172"/>
      <c r="BS624" s="172"/>
      <c r="BT624" s="172"/>
      <c r="BU624" s="172"/>
      <c r="BV624" s="172"/>
      <c r="BW624" s="172"/>
      <c r="BX624" s="172"/>
      <c r="BY624" s="174"/>
      <c r="BZ624" s="172"/>
      <c r="CA624" s="172"/>
      <c r="CD624" s="194"/>
      <c r="CE624" s="194"/>
      <c r="CF624" s="194"/>
      <c r="CG624" s="194"/>
      <c r="CH624" s="195"/>
      <c r="CI624" s="194"/>
      <c r="CJ624" s="194"/>
      <c r="CK624" s="194"/>
      <c r="CL624" s="196"/>
      <c r="CM624" s="196"/>
      <c r="CN624" s="194"/>
      <c r="CO624" s="197"/>
      <c r="CP624" s="196"/>
      <c r="CQ624" s="196"/>
      <c r="CR624" s="196"/>
      <c r="CS624" s="196"/>
      <c r="CT624" s="196"/>
      <c r="CU624" s="196"/>
      <c r="CV624" s="194"/>
      <c r="CW624" s="194"/>
      <c r="CX624" s="194"/>
      <c r="CY624" s="194"/>
      <c r="CZ624" s="194"/>
      <c r="DA624" s="194"/>
      <c r="DB624" s="194"/>
      <c r="DC624" s="194"/>
      <c r="DD624" s="194"/>
      <c r="DE624" s="194"/>
      <c r="DF624" s="196"/>
      <c r="DG624" s="198"/>
      <c r="DH624" s="194"/>
      <c r="DI624" s="194"/>
    </row>
    <row r="625" spans="1:113" s="24" customFormat="1" hidden="1" x14ac:dyDescent="0.3">
      <c r="A625" s="172"/>
      <c r="B625" s="172"/>
      <c r="C625" s="172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  <c r="AE625" s="173"/>
      <c r="AF625" s="173"/>
      <c r="AG625" s="173"/>
      <c r="AH625" s="173"/>
      <c r="AI625" s="173"/>
      <c r="AJ625" s="173"/>
      <c r="AK625" s="173"/>
      <c r="AL625" s="173"/>
      <c r="AM625" s="173"/>
      <c r="AN625" s="173"/>
      <c r="AO625" s="173"/>
      <c r="AP625" s="173"/>
      <c r="AQ625" s="173"/>
      <c r="AR625" s="173"/>
      <c r="AS625" s="172"/>
      <c r="AT625" s="172"/>
      <c r="AU625" s="172"/>
      <c r="AV625" s="172"/>
      <c r="AW625" s="172"/>
      <c r="AX625" s="172"/>
      <c r="AY625" s="172"/>
      <c r="AZ625" s="172"/>
      <c r="BA625" s="172"/>
      <c r="BB625" s="172"/>
      <c r="BC625" s="172"/>
      <c r="BD625" s="172"/>
      <c r="BE625" s="172"/>
      <c r="BF625" s="172"/>
      <c r="BG625" s="172"/>
      <c r="BH625" s="172"/>
      <c r="BI625" s="172"/>
      <c r="BJ625" s="172"/>
      <c r="BK625" s="172"/>
      <c r="BL625" s="172"/>
      <c r="BM625" s="172"/>
      <c r="BN625" s="172"/>
      <c r="BO625" s="172"/>
      <c r="BP625" s="172"/>
      <c r="BQ625" s="172"/>
      <c r="BR625" s="172"/>
      <c r="BS625" s="172"/>
      <c r="BT625" s="172"/>
      <c r="BU625" s="172"/>
      <c r="BV625" s="172"/>
      <c r="BW625" s="172"/>
      <c r="BX625" s="172"/>
      <c r="BY625" s="174"/>
      <c r="BZ625" s="172"/>
      <c r="CA625" s="172"/>
      <c r="CD625" s="194"/>
      <c r="CE625" s="194"/>
      <c r="CF625" s="194"/>
      <c r="CG625" s="194"/>
      <c r="CH625" s="195"/>
      <c r="CI625" s="194"/>
      <c r="CJ625" s="194"/>
      <c r="CK625" s="194"/>
      <c r="CL625" s="196"/>
      <c r="CM625" s="196"/>
      <c r="CN625" s="194"/>
      <c r="CO625" s="197"/>
      <c r="CP625" s="196"/>
      <c r="CQ625" s="196"/>
      <c r="CR625" s="196"/>
      <c r="CS625" s="196"/>
      <c r="CT625" s="196"/>
      <c r="CU625" s="196"/>
      <c r="CV625" s="194"/>
      <c r="CW625" s="194"/>
      <c r="CX625" s="194"/>
      <c r="CY625" s="194"/>
      <c r="CZ625" s="194"/>
      <c r="DA625" s="194"/>
      <c r="DB625" s="194"/>
      <c r="DC625" s="194"/>
      <c r="DD625" s="194"/>
      <c r="DE625" s="194"/>
      <c r="DF625" s="196"/>
      <c r="DG625" s="198"/>
      <c r="DH625" s="194"/>
      <c r="DI625" s="194"/>
    </row>
    <row r="626" spans="1:113" s="24" customFormat="1" hidden="1" x14ac:dyDescent="0.3">
      <c r="A626" s="172"/>
      <c r="B626" s="172"/>
      <c r="C626" s="172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  <c r="AE626" s="173"/>
      <c r="AF626" s="173"/>
      <c r="AG626" s="173"/>
      <c r="AH626" s="173"/>
      <c r="AI626" s="173"/>
      <c r="AJ626" s="173"/>
      <c r="AK626" s="173"/>
      <c r="AL626" s="173"/>
      <c r="AM626" s="173"/>
      <c r="AN626" s="173"/>
      <c r="AO626" s="173"/>
      <c r="AP626" s="173"/>
      <c r="AQ626" s="173"/>
      <c r="AR626" s="173"/>
      <c r="AS626" s="172"/>
      <c r="AT626" s="172"/>
      <c r="AU626" s="172"/>
      <c r="AV626" s="172"/>
      <c r="AW626" s="172"/>
      <c r="AX626" s="172"/>
      <c r="AY626" s="172"/>
      <c r="AZ626" s="172"/>
      <c r="BA626" s="172"/>
      <c r="BB626" s="172"/>
      <c r="BC626" s="172"/>
      <c r="BD626" s="172"/>
      <c r="BE626" s="172"/>
      <c r="BF626" s="172"/>
      <c r="BG626" s="172"/>
      <c r="BH626" s="172"/>
      <c r="BI626" s="172"/>
      <c r="BJ626" s="172"/>
      <c r="BK626" s="172"/>
      <c r="BL626" s="172"/>
      <c r="BM626" s="172"/>
      <c r="BN626" s="172"/>
      <c r="BO626" s="172"/>
      <c r="BP626" s="172"/>
      <c r="BQ626" s="172"/>
      <c r="BR626" s="172"/>
      <c r="BS626" s="172"/>
      <c r="BT626" s="172"/>
      <c r="BU626" s="172"/>
      <c r="BV626" s="172"/>
      <c r="BW626" s="172"/>
      <c r="BX626" s="172"/>
      <c r="BY626" s="174"/>
      <c r="BZ626" s="172"/>
      <c r="CA626" s="172"/>
      <c r="CD626" s="194"/>
      <c r="CE626" s="194"/>
      <c r="CF626" s="194"/>
      <c r="CG626" s="194"/>
      <c r="CH626" s="195"/>
      <c r="CI626" s="194"/>
      <c r="CJ626" s="194"/>
      <c r="CK626" s="194"/>
      <c r="CL626" s="196"/>
      <c r="CM626" s="196"/>
      <c r="CN626" s="194"/>
      <c r="CO626" s="197"/>
      <c r="CP626" s="196"/>
      <c r="CQ626" s="196"/>
      <c r="CR626" s="196"/>
      <c r="CS626" s="196"/>
      <c r="CT626" s="196"/>
      <c r="CU626" s="196"/>
      <c r="CV626" s="194"/>
      <c r="CW626" s="194"/>
      <c r="CX626" s="194"/>
      <c r="CY626" s="194"/>
      <c r="CZ626" s="194"/>
      <c r="DA626" s="194"/>
      <c r="DB626" s="194"/>
      <c r="DC626" s="194"/>
      <c r="DD626" s="194"/>
      <c r="DE626" s="194"/>
      <c r="DF626" s="196"/>
      <c r="DG626" s="198"/>
      <c r="DH626" s="194"/>
      <c r="DI626" s="194"/>
    </row>
    <row r="627" spans="1:113" s="24" customFormat="1" hidden="1" x14ac:dyDescent="0.3">
      <c r="A627" s="172"/>
      <c r="B627" s="172"/>
      <c r="C627" s="172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  <c r="AE627" s="173"/>
      <c r="AF627" s="173"/>
      <c r="AG627" s="173"/>
      <c r="AH627" s="173"/>
      <c r="AI627" s="173"/>
      <c r="AJ627" s="173"/>
      <c r="AK627" s="173"/>
      <c r="AL627" s="173"/>
      <c r="AM627" s="173"/>
      <c r="AN627" s="173"/>
      <c r="AO627" s="173"/>
      <c r="AP627" s="173"/>
      <c r="AQ627" s="173"/>
      <c r="AR627" s="173"/>
      <c r="AS627" s="172"/>
      <c r="AT627" s="172"/>
      <c r="AU627" s="172"/>
      <c r="AV627" s="172"/>
      <c r="AW627" s="172"/>
      <c r="AX627" s="172"/>
      <c r="AY627" s="172"/>
      <c r="AZ627" s="172"/>
      <c r="BA627" s="172"/>
      <c r="BB627" s="172"/>
      <c r="BC627" s="172"/>
      <c r="BD627" s="172"/>
      <c r="BE627" s="172"/>
      <c r="BF627" s="172"/>
      <c r="BG627" s="172"/>
      <c r="BH627" s="172"/>
      <c r="BI627" s="172"/>
      <c r="BJ627" s="172"/>
      <c r="BK627" s="172"/>
      <c r="BL627" s="172"/>
      <c r="BM627" s="172"/>
      <c r="BN627" s="172"/>
      <c r="BO627" s="172"/>
      <c r="BP627" s="172"/>
      <c r="BQ627" s="172"/>
      <c r="BR627" s="172"/>
      <c r="BS627" s="172"/>
      <c r="BT627" s="172"/>
      <c r="BU627" s="172"/>
      <c r="BV627" s="172"/>
      <c r="BW627" s="172"/>
      <c r="BX627" s="172"/>
      <c r="BY627" s="174"/>
      <c r="BZ627" s="172"/>
      <c r="CA627" s="172"/>
      <c r="CD627" s="194"/>
      <c r="CE627" s="194"/>
      <c r="CF627" s="194"/>
      <c r="CG627" s="194"/>
      <c r="CH627" s="195"/>
      <c r="CI627" s="194"/>
      <c r="CJ627" s="194"/>
      <c r="CK627" s="194"/>
      <c r="CL627" s="196"/>
      <c r="CM627" s="196"/>
      <c r="CN627" s="194"/>
      <c r="CO627" s="197"/>
      <c r="CP627" s="196"/>
      <c r="CQ627" s="196"/>
      <c r="CR627" s="196"/>
      <c r="CS627" s="196"/>
      <c r="CT627" s="196"/>
      <c r="CU627" s="196"/>
      <c r="CV627" s="194"/>
      <c r="CW627" s="194"/>
      <c r="CX627" s="194"/>
      <c r="CY627" s="194"/>
      <c r="CZ627" s="194"/>
      <c r="DA627" s="194"/>
      <c r="DB627" s="194"/>
      <c r="DC627" s="194"/>
      <c r="DD627" s="194"/>
      <c r="DE627" s="194"/>
      <c r="DF627" s="196"/>
      <c r="DG627" s="198"/>
      <c r="DH627" s="194"/>
      <c r="DI627" s="194"/>
    </row>
    <row r="628" spans="1:113" s="24" customFormat="1" hidden="1" x14ac:dyDescent="0.3">
      <c r="A628" s="172"/>
      <c r="B628" s="172"/>
      <c r="C628" s="172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  <c r="AE628" s="173"/>
      <c r="AF628" s="173"/>
      <c r="AG628" s="173"/>
      <c r="AH628" s="173"/>
      <c r="AI628" s="173"/>
      <c r="AJ628" s="173"/>
      <c r="AK628" s="173"/>
      <c r="AL628" s="173"/>
      <c r="AM628" s="173"/>
      <c r="AN628" s="173"/>
      <c r="AO628" s="173"/>
      <c r="AP628" s="173"/>
      <c r="AQ628" s="173"/>
      <c r="AR628" s="173"/>
      <c r="AS628" s="172"/>
      <c r="AT628" s="172"/>
      <c r="AU628" s="172"/>
      <c r="AV628" s="172"/>
      <c r="AW628" s="172"/>
      <c r="AX628" s="172"/>
      <c r="AY628" s="172"/>
      <c r="AZ628" s="172"/>
      <c r="BA628" s="172"/>
      <c r="BB628" s="172"/>
      <c r="BC628" s="172"/>
      <c r="BD628" s="172"/>
      <c r="BE628" s="172"/>
      <c r="BF628" s="172"/>
      <c r="BG628" s="172"/>
      <c r="BH628" s="172"/>
      <c r="BI628" s="172"/>
      <c r="BJ628" s="172"/>
      <c r="BK628" s="172"/>
      <c r="BL628" s="172"/>
      <c r="BM628" s="172"/>
      <c r="BN628" s="172"/>
      <c r="BO628" s="172"/>
      <c r="BP628" s="172"/>
      <c r="BQ628" s="172"/>
      <c r="BR628" s="172"/>
      <c r="BS628" s="172"/>
      <c r="BT628" s="172"/>
      <c r="BU628" s="172"/>
      <c r="BV628" s="172"/>
      <c r="BW628" s="172"/>
      <c r="BX628" s="172"/>
      <c r="BY628" s="174"/>
      <c r="BZ628" s="172"/>
      <c r="CA628" s="172"/>
      <c r="CD628" s="194"/>
      <c r="CE628" s="194"/>
      <c r="CF628" s="194"/>
      <c r="CG628" s="194"/>
      <c r="CH628" s="195"/>
      <c r="CI628" s="194"/>
      <c r="CJ628" s="194"/>
      <c r="CK628" s="194"/>
      <c r="CL628" s="196"/>
      <c r="CM628" s="196"/>
      <c r="CN628" s="194"/>
      <c r="CO628" s="197"/>
      <c r="CP628" s="196"/>
      <c r="CQ628" s="196"/>
      <c r="CR628" s="196"/>
      <c r="CS628" s="196"/>
      <c r="CT628" s="196"/>
      <c r="CU628" s="196"/>
      <c r="CV628" s="194"/>
      <c r="CW628" s="194"/>
      <c r="CX628" s="194"/>
      <c r="CY628" s="194"/>
      <c r="CZ628" s="194"/>
      <c r="DA628" s="194"/>
      <c r="DB628" s="194"/>
      <c r="DC628" s="194"/>
      <c r="DD628" s="194"/>
      <c r="DE628" s="194"/>
      <c r="DF628" s="196"/>
      <c r="DG628" s="198"/>
      <c r="DH628" s="194"/>
      <c r="DI628" s="194"/>
    </row>
    <row r="629" spans="1:113" s="24" customFormat="1" hidden="1" x14ac:dyDescent="0.3">
      <c r="A629" s="172"/>
      <c r="B629" s="172"/>
      <c r="C629" s="172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  <c r="AE629" s="173"/>
      <c r="AF629" s="173"/>
      <c r="AG629" s="173"/>
      <c r="AH629" s="173"/>
      <c r="AI629" s="173"/>
      <c r="AJ629" s="173"/>
      <c r="AK629" s="173"/>
      <c r="AL629" s="173"/>
      <c r="AM629" s="173"/>
      <c r="AN629" s="173"/>
      <c r="AO629" s="173"/>
      <c r="AP629" s="173"/>
      <c r="AQ629" s="173"/>
      <c r="AR629" s="173"/>
      <c r="AS629" s="172"/>
      <c r="AT629" s="172"/>
      <c r="AU629" s="172"/>
      <c r="AV629" s="172"/>
      <c r="AW629" s="172"/>
      <c r="AX629" s="172"/>
      <c r="AY629" s="172"/>
      <c r="AZ629" s="172"/>
      <c r="BA629" s="172"/>
      <c r="BB629" s="172"/>
      <c r="BC629" s="172"/>
      <c r="BD629" s="172"/>
      <c r="BE629" s="172"/>
      <c r="BF629" s="172"/>
      <c r="BG629" s="172"/>
      <c r="BH629" s="172"/>
      <c r="BI629" s="172"/>
      <c r="BJ629" s="172"/>
      <c r="BK629" s="172"/>
      <c r="BL629" s="172"/>
      <c r="BM629" s="172"/>
      <c r="BN629" s="172"/>
      <c r="BO629" s="172"/>
      <c r="BP629" s="172"/>
      <c r="BQ629" s="172"/>
      <c r="BR629" s="172"/>
      <c r="BS629" s="172"/>
      <c r="BT629" s="172"/>
      <c r="BU629" s="172"/>
      <c r="BV629" s="172"/>
      <c r="BW629" s="172"/>
      <c r="BX629" s="172"/>
      <c r="BY629" s="174"/>
      <c r="BZ629" s="172"/>
      <c r="CA629" s="172"/>
      <c r="CD629" s="194"/>
      <c r="CE629" s="194"/>
      <c r="CF629" s="194"/>
      <c r="CG629" s="194"/>
      <c r="CH629" s="195"/>
      <c r="CI629" s="194"/>
      <c r="CJ629" s="194"/>
      <c r="CK629" s="194"/>
      <c r="CL629" s="196"/>
      <c r="CM629" s="196"/>
      <c r="CN629" s="194"/>
      <c r="CO629" s="197"/>
      <c r="CP629" s="196"/>
      <c r="CQ629" s="196"/>
      <c r="CR629" s="196"/>
      <c r="CS629" s="196"/>
      <c r="CT629" s="196"/>
      <c r="CU629" s="196"/>
      <c r="CV629" s="194"/>
      <c r="CW629" s="194"/>
      <c r="CX629" s="194"/>
      <c r="CY629" s="194"/>
      <c r="CZ629" s="194"/>
      <c r="DA629" s="194"/>
      <c r="DB629" s="194"/>
      <c r="DC629" s="194"/>
      <c r="DD629" s="194"/>
      <c r="DE629" s="194"/>
      <c r="DF629" s="196"/>
      <c r="DG629" s="198"/>
      <c r="DH629" s="194"/>
      <c r="DI629" s="194"/>
    </row>
    <row r="630" spans="1:113" s="24" customFormat="1" hidden="1" x14ac:dyDescent="0.3">
      <c r="A630" s="172"/>
      <c r="B630" s="172"/>
      <c r="C630" s="172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  <c r="AE630" s="173"/>
      <c r="AF630" s="173"/>
      <c r="AG630" s="173"/>
      <c r="AH630" s="173"/>
      <c r="AI630" s="173"/>
      <c r="AJ630" s="173"/>
      <c r="AK630" s="173"/>
      <c r="AL630" s="173"/>
      <c r="AM630" s="173"/>
      <c r="AN630" s="173"/>
      <c r="AO630" s="173"/>
      <c r="AP630" s="173"/>
      <c r="AQ630" s="173"/>
      <c r="AR630" s="173"/>
      <c r="AS630" s="172"/>
      <c r="AT630" s="172"/>
      <c r="AU630" s="172"/>
      <c r="AV630" s="172"/>
      <c r="AW630" s="172"/>
      <c r="AX630" s="172"/>
      <c r="AY630" s="172"/>
      <c r="AZ630" s="172"/>
      <c r="BA630" s="172"/>
      <c r="BB630" s="172"/>
      <c r="BC630" s="172"/>
      <c r="BD630" s="172"/>
      <c r="BE630" s="172"/>
      <c r="BF630" s="172"/>
      <c r="BG630" s="172"/>
      <c r="BH630" s="172"/>
      <c r="BI630" s="172"/>
      <c r="BJ630" s="172"/>
      <c r="BK630" s="172"/>
      <c r="BL630" s="172"/>
      <c r="BM630" s="172"/>
      <c r="BN630" s="172"/>
      <c r="BO630" s="172"/>
      <c r="BP630" s="172"/>
      <c r="BQ630" s="172"/>
      <c r="BR630" s="172"/>
      <c r="BS630" s="172"/>
      <c r="BT630" s="172"/>
      <c r="BU630" s="172"/>
      <c r="BV630" s="172"/>
      <c r="BW630" s="172"/>
      <c r="BX630" s="172"/>
      <c r="BY630" s="174"/>
      <c r="BZ630" s="172"/>
      <c r="CA630" s="172"/>
      <c r="CD630" s="194"/>
      <c r="CE630" s="194"/>
      <c r="CF630" s="194"/>
      <c r="CG630" s="194"/>
      <c r="CH630" s="195"/>
      <c r="CI630" s="194"/>
      <c r="CJ630" s="194"/>
      <c r="CK630" s="194"/>
      <c r="CL630" s="196"/>
      <c r="CM630" s="196"/>
      <c r="CN630" s="194"/>
      <c r="CO630" s="197"/>
      <c r="CP630" s="196"/>
      <c r="CQ630" s="196"/>
      <c r="CR630" s="196"/>
      <c r="CS630" s="196"/>
      <c r="CT630" s="196"/>
      <c r="CU630" s="196"/>
      <c r="CV630" s="194"/>
      <c r="CW630" s="194"/>
      <c r="CX630" s="194"/>
      <c r="CY630" s="194"/>
      <c r="CZ630" s="194"/>
      <c r="DA630" s="194"/>
      <c r="DB630" s="194"/>
      <c r="DC630" s="194"/>
      <c r="DD630" s="194"/>
      <c r="DE630" s="194"/>
      <c r="DF630" s="196"/>
      <c r="DG630" s="198"/>
      <c r="DH630" s="194"/>
      <c r="DI630" s="194"/>
    </row>
    <row r="631" spans="1:113" s="24" customFormat="1" hidden="1" x14ac:dyDescent="0.3">
      <c r="A631" s="172"/>
      <c r="B631" s="172"/>
      <c r="C631" s="172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  <c r="AE631" s="173"/>
      <c r="AF631" s="173"/>
      <c r="AG631" s="173"/>
      <c r="AH631" s="173"/>
      <c r="AI631" s="173"/>
      <c r="AJ631" s="173"/>
      <c r="AK631" s="173"/>
      <c r="AL631" s="173"/>
      <c r="AM631" s="173"/>
      <c r="AN631" s="173"/>
      <c r="AO631" s="173"/>
      <c r="AP631" s="173"/>
      <c r="AQ631" s="173"/>
      <c r="AR631" s="173"/>
      <c r="AS631" s="172"/>
      <c r="AT631" s="172"/>
      <c r="AU631" s="172"/>
      <c r="AV631" s="172"/>
      <c r="AW631" s="172"/>
      <c r="AX631" s="172"/>
      <c r="AY631" s="172"/>
      <c r="AZ631" s="172"/>
      <c r="BA631" s="172"/>
      <c r="BB631" s="172"/>
      <c r="BC631" s="172"/>
      <c r="BD631" s="172"/>
      <c r="BE631" s="172"/>
      <c r="BF631" s="172"/>
      <c r="BG631" s="172"/>
      <c r="BH631" s="172"/>
      <c r="BI631" s="172"/>
      <c r="BJ631" s="172"/>
      <c r="BK631" s="172"/>
      <c r="BL631" s="172"/>
      <c r="BM631" s="172"/>
      <c r="BN631" s="172"/>
      <c r="BO631" s="172"/>
      <c r="BP631" s="172"/>
      <c r="BQ631" s="172"/>
      <c r="BR631" s="172"/>
      <c r="BS631" s="172"/>
      <c r="BT631" s="172"/>
      <c r="BU631" s="172"/>
      <c r="BV631" s="172"/>
      <c r="BW631" s="172"/>
      <c r="BX631" s="172"/>
      <c r="BY631" s="174"/>
      <c r="BZ631" s="172"/>
      <c r="CA631" s="172"/>
      <c r="CD631" s="194"/>
      <c r="CE631" s="194"/>
      <c r="CF631" s="194"/>
      <c r="CG631" s="194"/>
      <c r="CH631" s="195"/>
      <c r="CI631" s="194"/>
      <c r="CJ631" s="194"/>
      <c r="CK631" s="194"/>
      <c r="CL631" s="196"/>
      <c r="CM631" s="196"/>
      <c r="CN631" s="194"/>
      <c r="CO631" s="197"/>
      <c r="CP631" s="196"/>
      <c r="CQ631" s="196"/>
      <c r="CR631" s="196"/>
      <c r="CS631" s="196"/>
      <c r="CT631" s="196"/>
      <c r="CU631" s="196"/>
      <c r="CV631" s="194"/>
      <c r="CW631" s="194"/>
      <c r="CX631" s="194"/>
      <c r="CY631" s="194"/>
      <c r="CZ631" s="194"/>
      <c r="DA631" s="194"/>
      <c r="DB631" s="194"/>
      <c r="DC631" s="194"/>
      <c r="DD631" s="194"/>
      <c r="DE631" s="194"/>
      <c r="DF631" s="196"/>
      <c r="DG631" s="198"/>
      <c r="DH631" s="194"/>
      <c r="DI631" s="194"/>
    </row>
    <row r="632" spans="1:113" s="24" customFormat="1" hidden="1" x14ac:dyDescent="0.3">
      <c r="A632" s="172"/>
      <c r="B632" s="172"/>
      <c r="C632" s="172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  <c r="AE632" s="173"/>
      <c r="AF632" s="173"/>
      <c r="AG632" s="173"/>
      <c r="AH632" s="173"/>
      <c r="AI632" s="173"/>
      <c r="AJ632" s="173"/>
      <c r="AK632" s="173"/>
      <c r="AL632" s="173"/>
      <c r="AM632" s="173"/>
      <c r="AN632" s="173"/>
      <c r="AO632" s="173"/>
      <c r="AP632" s="173"/>
      <c r="AQ632" s="173"/>
      <c r="AR632" s="173"/>
      <c r="AS632" s="172"/>
      <c r="AT632" s="172"/>
      <c r="AU632" s="172"/>
      <c r="AV632" s="172"/>
      <c r="AW632" s="172"/>
      <c r="AX632" s="172"/>
      <c r="AY632" s="172"/>
      <c r="AZ632" s="172"/>
      <c r="BA632" s="172"/>
      <c r="BB632" s="172"/>
      <c r="BC632" s="172"/>
      <c r="BD632" s="172"/>
      <c r="BE632" s="172"/>
      <c r="BF632" s="172"/>
      <c r="BG632" s="172"/>
      <c r="BH632" s="172"/>
      <c r="BI632" s="172"/>
      <c r="BJ632" s="172"/>
      <c r="BK632" s="172"/>
      <c r="BL632" s="172"/>
      <c r="BM632" s="172"/>
      <c r="BN632" s="172"/>
      <c r="BO632" s="172"/>
      <c r="BP632" s="172"/>
      <c r="BQ632" s="172"/>
      <c r="BR632" s="172"/>
      <c r="BS632" s="172"/>
      <c r="BT632" s="172"/>
      <c r="BU632" s="172"/>
      <c r="BV632" s="172"/>
      <c r="BW632" s="172"/>
      <c r="BX632" s="172"/>
      <c r="BY632" s="174"/>
      <c r="BZ632" s="172"/>
      <c r="CA632" s="172"/>
      <c r="CD632" s="194"/>
      <c r="CE632" s="194"/>
      <c r="CF632" s="194"/>
      <c r="CG632" s="194"/>
      <c r="CH632" s="195"/>
      <c r="CI632" s="194"/>
      <c r="CJ632" s="194"/>
      <c r="CK632" s="194"/>
      <c r="CL632" s="196"/>
      <c r="CM632" s="196"/>
      <c r="CN632" s="194"/>
      <c r="CO632" s="197"/>
      <c r="CP632" s="196"/>
      <c r="CQ632" s="196"/>
      <c r="CR632" s="196"/>
      <c r="CS632" s="196"/>
      <c r="CT632" s="196"/>
      <c r="CU632" s="196"/>
      <c r="CV632" s="194"/>
      <c r="CW632" s="194"/>
      <c r="CX632" s="194"/>
      <c r="CY632" s="194"/>
      <c r="CZ632" s="194"/>
      <c r="DA632" s="194"/>
      <c r="DB632" s="194"/>
      <c r="DC632" s="194"/>
      <c r="DD632" s="194"/>
      <c r="DE632" s="194"/>
      <c r="DF632" s="196"/>
      <c r="DG632" s="198"/>
      <c r="DH632" s="194"/>
      <c r="DI632" s="194"/>
    </row>
    <row r="633" spans="1:113" s="24" customFormat="1" hidden="1" x14ac:dyDescent="0.3">
      <c r="A633" s="172"/>
      <c r="B633" s="172"/>
      <c r="C633" s="172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  <c r="AE633" s="173"/>
      <c r="AF633" s="173"/>
      <c r="AG633" s="173"/>
      <c r="AH633" s="173"/>
      <c r="AI633" s="173"/>
      <c r="AJ633" s="173"/>
      <c r="AK633" s="173"/>
      <c r="AL633" s="173"/>
      <c r="AM633" s="173"/>
      <c r="AN633" s="173"/>
      <c r="AO633" s="173"/>
      <c r="AP633" s="173"/>
      <c r="AQ633" s="173"/>
      <c r="AR633" s="173"/>
      <c r="AS633" s="172"/>
      <c r="AT633" s="172"/>
      <c r="AU633" s="172"/>
      <c r="AV633" s="172"/>
      <c r="AW633" s="172"/>
      <c r="AX633" s="172"/>
      <c r="AY633" s="172"/>
      <c r="AZ633" s="172"/>
      <c r="BA633" s="172"/>
      <c r="BB633" s="172"/>
      <c r="BC633" s="172"/>
      <c r="BD633" s="172"/>
      <c r="BE633" s="172"/>
      <c r="BF633" s="172"/>
      <c r="BG633" s="172"/>
      <c r="BH633" s="172"/>
      <c r="BI633" s="172"/>
      <c r="BJ633" s="172"/>
      <c r="BK633" s="172"/>
      <c r="BL633" s="172"/>
      <c r="BM633" s="172"/>
      <c r="BN633" s="172"/>
      <c r="BO633" s="172"/>
      <c r="BP633" s="172"/>
      <c r="BQ633" s="172"/>
      <c r="BR633" s="172"/>
      <c r="BS633" s="172"/>
      <c r="BT633" s="172"/>
      <c r="BU633" s="172"/>
      <c r="BV633" s="172"/>
      <c r="BW633" s="172"/>
      <c r="BX633" s="172"/>
      <c r="BY633" s="174"/>
      <c r="BZ633" s="172"/>
      <c r="CA633" s="172"/>
      <c r="CD633" s="194"/>
      <c r="CE633" s="194"/>
      <c r="CF633" s="194"/>
      <c r="CG633" s="194"/>
      <c r="CH633" s="195"/>
      <c r="CI633" s="194"/>
      <c r="CJ633" s="194"/>
      <c r="CK633" s="194"/>
      <c r="CL633" s="196"/>
      <c r="CM633" s="196"/>
      <c r="CN633" s="194"/>
      <c r="CO633" s="197"/>
      <c r="CP633" s="196"/>
      <c r="CQ633" s="196"/>
      <c r="CR633" s="196"/>
      <c r="CS633" s="196"/>
      <c r="CT633" s="196"/>
      <c r="CU633" s="196"/>
      <c r="CV633" s="194"/>
      <c r="CW633" s="194"/>
      <c r="CX633" s="194"/>
      <c r="CY633" s="194"/>
      <c r="CZ633" s="194"/>
      <c r="DA633" s="194"/>
      <c r="DB633" s="194"/>
      <c r="DC633" s="194"/>
      <c r="DD633" s="194"/>
      <c r="DE633" s="194"/>
      <c r="DF633" s="196"/>
      <c r="DG633" s="198"/>
      <c r="DH633" s="194"/>
      <c r="DI633" s="194"/>
    </row>
    <row r="634" spans="1:113" s="24" customFormat="1" hidden="1" x14ac:dyDescent="0.3">
      <c r="A634" s="172"/>
      <c r="B634" s="172"/>
      <c r="C634" s="172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  <c r="AE634" s="173"/>
      <c r="AF634" s="173"/>
      <c r="AG634" s="173"/>
      <c r="AH634" s="173"/>
      <c r="AI634" s="173"/>
      <c r="AJ634" s="173"/>
      <c r="AK634" s="173"/>
      <c r="AL634" s="173"/>
      <c r="AM634" s="173"/>
      <c r="AN634" s="173"/>
      <c r="AO634" s="173"/>
      <c r="AP634" s="173"/>
      <c r="AQ634" s="173"/>
      <c r="AR634" s="173"/>
      <c r="AS634" s="172"/>
      <c r="AT634" s="172"/>
      <c r="AU634" s="172"/>
      <c r="AV634" s="172"/>
      <c r="AW634" s="172"/>
      <c r="AX634" s="172"/>
      <c r="AY634" s="172"/>
      <c r="AZ634" s="172"/>
      <c r="BA634" s="172"/>
      <c r="BB634" s="172"/>
      <c r="BC634" s="172"/>
      <c r="BD634" s="172"/>
      <c r="BE634" s="172"/>
      <c r="BF634" s="172"/>
      <c r="BG634" s="172"/>
      <c r="BH634" s="172"/>
      <c r="BI634" s="172"/>
      <c r="BJ634" s="172"/>
      <c r="BK634" s="172"/>
      <c r="BL634" s="172"/>
      <c r="BM634" s="172"/>
      <c r="BN634" s="172"/>
      <c r="BO634" s="172"/>
      <c r="BP634" s="172"/>
      <c r="BQ634" s="172"/>
      <c r="BR634" s="172"/>
      <c r="BS634" s="172"/>
      <c r="BT634" s="172"/>
      <c r="BU634" s="172"/>
      <c r="BV634" s="172"/>
      <c r="BW634" s="172"/>
      <c r="BX634" s="172"/>
      <c r="BY634" s="174"/>
      <c r="BZ634" s="172"/>
      <c r="CA634" s="172"/>
      <c r="CD634" s="194"/>
      <c r="CE634" s="194"/>
      <c r="CF634" s="194"/>
      <c r="CG634" s="194"/>
      <c r="CH634" s="195"/>
      <c r="CI634" s="194"/>
      <c r="CJ634" s="194"/>
      <c r="CK634" s="194"/>
      <c r="CL634" s="196"/>
      <c r="CM634" s="196"/>
      <c r="CN634" s="194"/>
      <c r="CO634" s="197"/>
      <c r="CP634" s="196"/>
      <c r="CQ634" s="196"/>
      <c r="CR634" s="196"/>
      <c r="CS634" s="196"/>
      <c r="CT634" s="196"/>
      <c r="CU634" s="196"/>
      <c r="CV634" s="194"/>
      <c r="CW634" s="194"/>
      <c r="CX634" s="194"/>
      <c r="CY634" s="194"/>
      <c r="CZ634" s="194"/>
      <c r="DA634" s="194"/>
      <c r="DB634" s="194"/>
      <c r="DC634" s="194"/>
      <c r="DD634" s="194"/>
      <c r="DE634" s="194"/>
      <c r="DF634" s="196"/>
      <c r="DG634" s="198"/>
      <c r="DH634" s="194"/>
      <c r="DI634" s="194"/>
    </row>
    <row r="635" spans="1:113" s="24" customFormat="1" hidden="1" x14ac:dyDescent="0.3">
      <c r="A635" s="172"/>
      <c r="B635" s="172"/>
      <c r="C635" s="172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  <c r="AE635" s="173"/>
      <c r="AF635" s="173"/>
      <c r="AG635" s="173"/>
      <c r="AH635" s="173"/>
      <c r="AI635" s="173"/>
      <c r="AJ635" s="173"/>
      <c r="AK635" s="173"/>
      <c r="AL635" s="173"/>
      <c r="AM635" s="173"/>
      <c r="AN635" s="173"/>
      <c r="AO635" s="173"/>
      <c r="AP635" s="173"/>
      <c r="AQ635" s="173"/>
      <c r="AR635" s="173"/>
      <c r="AS635" s="172"/>
      <c r="AT635" s="172"/>
      <c r="AU635" s="172"/>
      <c r="AV635" s="172"/>
      <c r="AW635" s="172"/>
      <c r="AX635" s="172"/>
      <c r="AY635" s="172"/>
      <c r="AZ635" s="172"/>
      <c r="BA635" s="172"/>
      <c r="BB635" s="172"/>
      <c r="BC635" s="172"/>
      <c r="BD635" s="172"/>
      <c r="BE635" s="172"/>
      <c r="BF635" s="172"/>
      <c r="BG635" s="172"/>
      <c r="BH635" s="172"/>
      <c r="BI635" s="172"/>
      <c r="BJ635" s="172"/>
      <c r="BK635" s="172"/>
      <c r="BL635" s="172"/>
      <c r="BM635" s="172"/>
      <c r="BN635" s="172"/>
      <c r="BO635" s="172"/>
      <c r="BP635" s="172"/>
      <c r="BQ635" s="172"/>
      <c r="BR635" s="172"/>
      <c r="BS635" s="172"/>
      <c r="BT635" s="172"/>
      <c r="BU635" s="172"/>
      <c r="BV635" s="172"/>
      <c r="BW635" s="172"/>
      <c r="BX635" s="172"/>
      <c r="BY635" s="174"/>
      <c r="BZ635" s="172"/>
      <c r="CA635" s="172"/>
      <c r="CD635" s="194"/>
      <c r="CE635" s="194"/>
      <c r="CF635" s="194"/>
      <c r="CG635" s="194"/>
      <c r="CH635" s="195"/>
      <c r="CI635" s="194"/>
      <c r="CJ635" s="194"/>
      <c r="CK635" s="194"/>
      <c r="CL635" s="196"/>
      <c r="CM635" s="196"/>
      <c r="CN635" s="194"/>
      <c r="CO635" s="197"/>
      <c r="CP635" s="196"/>
      <c r="CQ635" s="196"/>
      <c r="CR635" s="196"/>
      <c r="CS635" s="196"/>
      <c r="CT635" s="196"/>
      <c r="CU635" s="196"/>
      <c r="CV635" s="194"/>
      <c r="CW635" s="194"/>
      <c r="CX635" s="194"/>
      <c r="CY635" s="194"/>
      <c r="CZ635" s="194"/>
      <c r="DA635" s="194"/>
      <c r="DB635" s="194"/>
      <c r="DC635" s="194"/>
      <c r="DD635" s="194"/>
      <c r="DE635" s="194"/>
      <c r="DF635" s="196"/>
      <c r="DG635" s="198"/>
      <c r="DH635" s="194"/>
      <c r="DI635" s="194"/>
    </row>
    <row r="636" spans="1:113" s="24" customFormat="1" hidden="1" x14ac:dyDescent="0.3">
      <c r="A636" s="172"/>
      <c r="B636" s="172"/>
      <c r="C636" s="172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  <c r="AE636" s="173"/>
      <c r="AF636" s="173"/>
      <c r="AG636" s="173"/>
      <c r="AH636" s="173"/>
      <c r="AI636" s="173"/>
      <c r="AJ636" s="173"/>
      <c r="AK636" s="173"/>
      <c r="AL636" s="173"/>
      <c r="AM636" s="173"/>
      <c r="AN636" s="173"/>
      <c r="AO636" s="173"/>
      <c r="AP636" s="173"/>
      <c r="AQ636" s="173"/>
      <c r="AR636" s="173"/>
      <c r="AS636" s="172"/>
      <c r="AT636" s="172"/>
      <c r="AU636" s="172"/>
      <c r="AV636" s="172"/>
      <c r="AW636" s="172"/>
      <c r="AX636" s="172"/>
      <c r="AY636" s="172"/>
      <c r="AZ636" s="172"/>
      <c r="BA636" s="172"/>
      <c r="BB636" s="172"/>
      <c r="BC636" s="172"/>
      <c r="BD636" s="172"/>
      <c r="BE636" s="172"/>
      <c r="BF636" s="172"/>
      <c r="BG636" s="172"/>
      <c r="BH636" s="172"/>
      <c r="BI636" s="172"/>
      <c r="BJ636" s="172"/>
      <c r="BK636" s="172"/>
      <c r="BL636" s="172"/>
      <c r="BM636" s="172"/>
      <c r="BN636" s="172"/>
      <c r="BO636" s="172"/>
      <c r="BP636" s="172"/>
      <c r="BQ636" s="172"/>
      <c r="BR636" s="172"/>
      <c r="BS636" s="172"/>
      <c r="BT636" s="172"/>
      <c r="BU636" s="172"/>
      <c r="BV636" s="172"/>
      <c r="BW636" s="172"/>
      <c r="BX636" s="172"/>
      <c r="BY636" s="174"/>
      <c r="BZ636" s="172"/>
      <c r="CA636" s="172"/>
      <c r="CD636" s="194"/>
      <c r="CE636" s="194"/>
      <c r="CF636" s="194"/>
      <c r="CG636" s="194"/>
      <c r="CH636" s="195"/>
      <c r="CI636" s="194"/>
      <c r="CJ636" s="194"/>
      <c r="CK636" s="194"/>
      <c r="CL636" s="196"/>
      <c r="CM636" s="196"/>
      <c r="CN636" s="194"/>
      <c r="CO636" s="197"/>
      <c r="CP636" s="196"/>
      <c r="CQ636" s="196"/>
      <c r="CR636" s="196"/>
      <c r="CS636" s="196"/>
      <c r="CT636" s="196"/>
      <c r="CU636" s="196"/>
      <c r="CV636" s="194"/>
      <c r="CW636" s="194"/>
      <c r="CX636" s="194"/>
      <c r="CY636" s="194"/>
      <c r="CZ636" s="194"/>
      <c r="DA636" s="194"/>
      <c r="DB636" s="194"/>
      <c r="DC636" s="194"/>
      <c r="DD636" s="194"/>
      <c r="DE636" s="194"/>
      <c r="DF636" s="196"/>
      <c r="DG636" s="198"/>
      <c r="DH636" s="194"/>
      <c r="DI636" s="194"/>
    </row>
    <row r="637" spans="1:113" s="24" customFormat="1" hidden="1" x14ac:dyDescent="0.3">
      <c r="A637" s="172"/>
      <c r="B637" s="172"/>
      <c r="C637" s="172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  <c r="AE637" s="173"/>
      <c r="AF637" s="173"/>
      <c r="AG637" s="173"/>
      <c r="AH637" s="173"/>
      <c r="AI637" s="173"/>
      <c r="AJ637" s="173"/>
      <c r="AK637" s="173"/>
      <c r="AL637" s="173"/>
      <c r="AM637" s="173"/>
      <c r="AN637" s="173"/>
      <c r="AO637" s="173"/>
      <c r="AP637" s="173"/>
      <c r="AQ637" s="173"/>
      <c r="AR637" s="173"/>
      <c r="AS637" s="172"/>
      <c r="AT637" s="172"/>
      <c r="AU637" s="172"/>
      <c r="AV637" s="172"/>
      <c r="AW637" s="172"/>
      <c r="AX637" s="172"/>
      <c r="AY637" s="172"/>
      <c r="AZ637" s="172"/>
      <c r="BA637" s="172"/>
      <c r="BB637" s="172"/>
      <c r="BC637" s="172"/>
      <c r="BD637" s="172"/>
      <c r="BE637" s="172"/>
      <c r="BF637" s="172"/>
      <c r="BG637" s="172"/>
      <c r="BH637" s="172"/>
      <c r="BI637" s="172"/>
      <c r="BJ637" s="172"/>
      <c r="BK637" s="172"/>
      <c r="BL637" s="172"/>
      <c r="BM637" s="172"/>
      <c r="BN637" s="172"/>
      <c r="BO637" s="172"/>
      <c r="BP637" s="172"/>
      <c r="BQ637" s="172"/>
      <c r="BR637" s="172"/>
      <c r="BS637" s="172"/>
      <c r="BT637" s="172"/>
      <c r="BU637" s="172"/>
      <c r="BV637" s="172"/>
      <c r="BW637" s="172"/>
      <c r="BX637" s="172"/>
      <c r="BY637" s="174"/>
      <c r="BZ637" s="172"/>
      <c r="CA637" s="172"/>
      <c r="CD637" s="194"/>
      <c r="CE637" s="194"/>
      <c r="CF637" s="194"/>
      <c r="CG637" s="194"/>
      <c r="CH637" s="195"/>
      <c r="CI637" s="194"/>
      <c r="CJ637" s="194"/>
      <c r="CK637" s="194"/>
      <c r="CL637" s="196"/>
      <c r="CM637" s="196"/>
      <c r="CN637" s="194"/>
      <c r="CO637" s="197"/>
      <c r="CP637" s="196"/>
      <c r="CQ637" s="196"/>
      <c r="CR637" s="196"/>
      <c r="CS637" s="196"/>
      <c r="CT637" s="196"/>
      <c r="CU637" s="196"/>
      <c r="CV637" s="194"/>
      <c r="CW637" s="194"/>
      <c r="CX637" s="194"/>
      <c r="CY637" s="194"/>
      <c r="CZ637" s="194"/>
      <c r="DA637" s="194"/>
      <c r="DB637" s="194"/>
      <c r="DC637" s="194"/>
      <c r="DD637" s="194"/>
      <c r="DE637" s="194"/>
      <c r="DF637" s="196"/>
      <c r="DG637" s="198"/>
      <c r="DH637" s="194"/>
      <c r="DI637" s="194"/>
    </row>
    <row r="638" spans="1:113" s="24" customFormat="1" hidden="1" x14ac:dyDescent="0.3">
      <c r="A638" s="172"/>
      <c r="B638" s="172"/>
      <c r="C638" s="172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  <c r="AE638" s="173"/>
      <c r="AF638" s="173"/>
      <c r="AG638" s="173"/>
      <c r="AH638" s="173"/>
      <c r="AI638" s="173"/>
      <c r="AJ638" s="173"/>
      <c r="AK638" s="173"/>
      <c r="AL638" s="173"/>
      <c r="AM638" s="173"/>
      <c r="AN638" s="173"/>
      <c r="AO638" s="173"/>
      <c r="AP638" s="173"/>
      <c r="AQ638" s="173"/>
      <c r="AR638" s="173"/>
      <c r="AS638" s="172"/>
      <c r="AT638" s="172"/>
      <c r="AU638" s="172"/>
      <c r="AV638" s="172"/>
      <c r="AW638" s="172"/>
      <c r="AX638" s="172"/>
      <c r="AY638" s="172"/>
      <c r="AZ638" s="172"/>
      <c r="BA638" s="172"/>
      <c r="BB638" s="172"/>
      <c r="BC638" s="172"/>
      <c r="BD638" s="172"/>
      <c r="BE638" s="172"/>
      <c r="BF638" s="172"/>
      <c r="BG638" s="172"/>
      <c r="BH638" s="172"/>
      <c r="BI638" s="172"/>
      <c r="BJ638" s="172"/>
      <c r="BK638" s="172"/>
      <c r="BL638" s="172"/>
      <c r="BM638" s="172"/>
      <c r="BN638" s="172"/>
      <c r="BO638" s="172"/>
      <c r="BP638" s="172"/>
      <c r="BQ638" s="172"/>
      <c r="BR638" s="172"/>
      <c r="BS638" s="172"/>
      <c r="BT638" s="172"/>
      <c r="BU638" s="172"/>
      <c r="BV638" s="172"/>
      <c r="BW638" s="172"/>
      <c r="BX638" s="172"/>
      <c r="BY638" s="174"/>
      <c r="BZ638" s="172"/>
      <c r="CA638" s="172"/>
      <c r="CD638" s="194"/>
      <c r="CE638" s="194"/>
      <c r="CF638" s="194"/>
      <c r="CG638" s="194"/>
      <c r="CH638" s="195"/>
      <c r="CI638" s="194"/>
      <c r="CJ638" s="194"/>
      <c r="CK638" s="194"/>
      <c r="CL638" s="196"/>
      <c r="CM638" s="196"/>
      <c r="CN638" s="194"/>
      <c r="CO638" s="197"/>
      <c r="CP638" s="196"/>
      <c r="CQ638" s="196"/>
      <c r="CR638" s="196"/>
      <c r="CS638" s="196"/>
      <c r="CT638" s="196"/>
      <c r="CU638" s="196"/>
      <c r="CV638" s="194"/>
      <c r="CW638" s="194"/>
      <c r="CX638" s="194"/>
      <c r="CY638" s="194"/>
      <c r="CZ638" s="194"/>
      <c r="DA638" s="194"/>
      <c r="DB638" s="194"/>
      <c r="DC638" s="194"/>
      <c r="DD638" s="194"/>
      <c r="DE638" s="194"/>
      <c r="DF638" s="196"/>
      <c r="DG638" s="198"/>
      <c r="DH638" s="194"/>
      <c r="DI638" s="194"/>
    </row>
    <row r="639" spans="1:113" s="24" customFormat="1" hidden="1" x14ac:dyDescent="0.3">
      <c r="A639" s="172"/>
      <c r="B639" s="172"/>
      <c r="C639" s="172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  <c r="AE639" s="173"/>
      <c r="AF639" s="173"/>
      <c r="AG639" s="173"/>
      <c r="AH639" s="173"/>
      <c r="AI639" s="173"/>
      <c r="AJ639" s="173"/>
      <c r="AK639" s="173"/>
      <c r="AL639" s="173"/>
      <c r="AM639" s="173"/>
      <c r="AN639" s="173"/>
      <c r="AO639" s="173"/>
      <c r="AP639" s="173"/>
      <c r="AQ639" s="173"/>
      <c r="AR639" s="173"/>
      <c r="AS639" s="172"/>
      <c r="AT639" s="172"/>
      <c r="AU639" s="172"/>
      <c r="AV639" s="172"/>
      <c r="AW639" s="172"/>
      <c r="AX639" s="172"/>
      <c r="AY639" s="172"/>
      <c r="AZ639" s="172"/>
      <c r="BA639" s="172"/>
      <c r="BB639" s="172"/>
      <c r="BC639" s="172"/>
      <c r="BD639" s="172"/>
      <c r="BE639" s="172"/>
      <c r="BF639" s="172"/>
      <c r="BG639" s="172"/>
      <c r="BH639" s="172"/>
      <c r="BI639" s="172"/>
      <c r="BJ639" s="172"/>
      <c r="BK639" s="172"/>
      <c r="BL639" s="172"/>
      <c r="BM639" s="172"/>
      <c r="BN639" s="172"/>
      <c r="BO639" s="172"/>
      <c r="BP639" s="172"/>
      <c r="BQ639" s="172"/>
      <c r="BR639" s="172"/>
      <c r="BS639" s="172"/>
      <c r="BT639" s="172"/>
      <c r="BU639" s="172"/>
      <c r="BV639" s="172"/>
      <c r="BW639" s="172"/>
      <c r="BX639" s="172"/>
      <c r="BY639" s="174"/>
      <c r="BZ639" s="172"/>
      <c r="CA639" s="172"/>
      <c r="CD639" s="194"/>
      <c r="CE639" s="194"/>
      <c r="CF639" s="194"/>
      <c r="CG639" s="194"/>
      <c r="CH639" s="195"/>
      <c r="CI639" s="194"/>
      <c r="CJ639" s="194"/>
      <c r="CK639" s="194"/>
      <c r="CL639" s="196"/>
      <c r="CM639" s="196"/>
      <c r="CN639" s="194"/>
      <c r="CO639" s="197"/>
      <c r="CP639" s="196"/>
      <c r="CQ639" s="196"/>
      <c r="CR639" s="196"/>
      <c r="CS639" s="196"/>
      <c r="CT639" s="196"/>
      <c r="CU639" s="196"/>
      <c r="CV639" s="194"/>
      <c r="CW639" s="194"/>
      <c r="CX639" s="194"/>
      <c r="CY639" s="194"/>
      <c r="CZ639" s="194"/>
      <c r="DA639" s="194"/>
      <c r="DB639" s="194"/>
      <c r="DC639" s="194"/>
      <c r="DD639" s="194"/>
      <c r="DE639" s="194"/>
      <c r="DF639" s="196"/>
      <c r="DG639" s="198"/>
      <c r="DH639" s="194"/>
      <c r="DI639" s="194"/>
    </row>
    <row r="640" spans="1:113" s="24" customFormat="1" hidden="1" x14ac:dyDescent="0.3">
      <c r="A640" s="172"/>
      <c r="B640" s="172"/>
      <c r="C640" s="172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  <c r="AE640" s="173"/>
      <c r="AF640" s="173"/>
      <c r="AG640" s="173"/>
      <c r="AH640" s="173"/>
      <c r="AI640" s="173"/>
      <c r="AJ640" s="173"/>
      <c r="AK640" s="173"/>
      <c r="AL640" s="173"/>
      <c r="AM640" s="173"/>
      <c r="AN640" s="173"/>
      <c r="AO640" s="173"/>
      <c r="AP640" s="173"/>
      <c r="AQ640" s="173"/>
      <c r="AR640" s="173"/>
      <c r="AS640" s="172"/>
      <c r="AT640" s="172"/>
      <c r="AU640" s="172"/>
      <c r="AV640" s="172"/>
      <c r="AW640" s="172"/>
      <c r="AX640" s="172"/>
      <c r="AY640" s="172"/>
      <c r="AZ640" s="172"/>
      <c r="BA640" s="172"/>
      <c r="BB640" s="172"/>
      <c r="BC640" s="172"/>
      <c r="BD640" s="172"/>
      <c r="BE640" s="172"/>
      <c r="BF640" s="172"/>
      <c r="BG640" s="172"/>
      <c r="BH640" s="172"/>
      <c r="BI640" s="172"/>
      <c r="BJ640" s="172"/>
      <c r="BK640" s="172"/>
      <c r="BL640" s="172"/>
      <c r="BM640" s="172"/>
      <c r="BN640" s="172"/>
      <c r="BO640" s="172"/>
      <c r="BP640" s="172"/>
      <c r="BQ640" s="172"/>
      <c r="BR640" s="172"/>
      <c r="BS640" s="172"/>
      <c r="BT640" s="172"/>
      <c r="BU640" s="172"/>
      <c r="BV640" s="172"/>
      <c r="BW640" s="172"/>
      <c r="BX640" s="172"/>
      <c r="BY640" s="174"/>
      <c r="BZ640" s="172"/>
      <c r="CA640" s="172"/>
      <c r="CD640" s="194"/>
      <c r="CE640" s="194"/>
      <c r="CF640" s="194"/>
      <c r="CG640" s="194"/>
      <c r="CH640" s="195"/>
      <c r="CI640" s="194"/>
      <c r="CJ640" s="194"/>
      <c r="CK640" s="194"/>
      <c r="CL640" s="196"/>
      <c r="CM640" s="196"/>
      <c r="CN640" s="194"/>
      <c r="CO640" s="197"/>
      <c r="CP640" s="196"/>
      <c r="CQ640" s="196"/>
      <c r="CR640" s="196"/>
      <c r="CS640" s="196"/>
      <c r="CT640" s="196"/>
      <c r="CU640" s="196"/>
      <c r="CV640" s="194"/>
      <c r="CW640" s="194"/>
      <c r="CX640" s="194"/>
      <c r="CY640" s="194"/>
      <c r="CZ640" s="194"/>
      <c r="DA640" s="194"/>
      <c r="DB640" s="194"/>
      <c r="DC640" s="194"/>
      <c r="DD640" s="194"/>
      <c r="DE640" s="194"/>
      <c r="DF640" s="196"/>
      <c r="DG640" s="198"/>
      <c r="DH640" s="194"/>
      <c r="DI640" s="194"/>
    </row>
    <row r="641" spans="1:113" s="24" customFormat="1" hidden="1" x14ac:dyDescent="0.3">
      <c r="A641" s="172"/>
      <c r="B641" s="172"/>
      <c r="C641" s="172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  <c r="AE641" s="173"/>
      <c r="AF641" s="173"/>
      <c r="AG641" s="173"/>
      <c r="AH641" s="173"/>
      <c r="AI641" s="173"/>
      <c r="AJ641" s="173"/>
      <c r="AK641" s="173"/>
      <c r="AL641" s="173"/>
      <c r="AM641" s="173"/>
      <c r="AN641" s="173"/>
      <c r="AO641" s="173"/>
      <c r="AP641" s="173"/>
      <c r="AQ641" s="173"/>
      <c r="AR641" s="173"/>
      <c r="AS641" s="172"/>
      <c r="AT641" s="172"/>
      <c r="AU641" s="172"/>
      <c r="AV641" s="172"/>
      <c r="AW641" s="172"/>
      <c r="AX641" s="172"/>
      <c r="AY641" s="172"/>
      <c r="AZ641" s="172"/>
      <c r="BA641" s="172"/>
      <c r="BB641" s="172"/>
      <c r="BC641" s="172"/>
      <c r="BD641" s="172"/>
      <c r="BE641" s="172"/>
      <c r="BF641" s="172"/>
      <c r="BG641" s="172"/>
      <c r="BH641" s="172"/>
      <c r="BI641" s="172"/>
      <c r="BJ641" s="172"/>
      <c r="BK641" s="172"/>
      <c r="BL641" s="172"/>
      <c r="BM641" s="172"/>
      <c r="BN641" s="172"/>
      <c r="BO641" s="172"/>
      <c r="BP641" s="172"/>
      <c r="BQ641" s="172"/>
      <c r="BR641" s="172"/>
      <c r="BS641" s="172"/>
      <c r="BT641" s="172"/>
      <c r="BU641" s="172"/>
      <c r="BV641" s="172"/>
      <c r="BW641" s="172"/>
      <c r="BX641" s="172"/>
      <c r="BY641" s="174"/>
      <c r="BZ641" s="172"/>
      <c r="CA641" s="172"/>
      <c r="CD641" s="194"/>
      <c r="CE641" s="194"/>
      <c r="CF641" s="194"/>
      <c r="CG641" s="194"/>
      <c r="CH641" s="195"/>
      <c r="CI641" s="194"/>
      <c r="CJ641" s="194"/>
      <c r="CK641" s="194"/>
      <c r="CL641" s="196"/>
      <c r="CM641" s="196"/>
      <c r="CN641" s="194"/>
      <c r="CO641" s="197"/>
      <c r="CP641" s="196"/>
      <c r="CQ641" s="196"/>
      <c r="CR641" s="196"/>
      <c r="CS641" s="196"/>
      <c r="CT641" s="196"/>
      <c r="CU641" s="196"/>
      <c r="CV641" s="194"/>
      <c r="CW641" s="194"/>
      <c r="CX641" s="194"/>
      <c r="CY641" s="194"/>
      <c r="CZ641" s="194"/>
      <c r="DA641" s="194"/>
      <c r="DB641" s="194"/>
      <c r="DC641" s="194"/>
      <c r="DD641" s="194"/>
      <c r="DE641" s="194"/>
      <c r="DF641" s="196"/>
      <c r="DG641" s="198"/>
      <c r="DH641" s="194"/>
      <c r="DI641" s="194"/>
    </row>
    <row r="642" spans="1:113" s="24" customFormat="1" hidden="1" x14ac:dyDescent="0.3">
      <c r="A642" s="172"/>
      <c r="B642" s="172"/>
      <c r="C642" s="172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  <c r="AE642" s="173"/>
      <c r="AF642" s="173"/>
      <c r="AG642" s="173"/>
      <c r="AH642" s="173"/>
      <c r="AI642" s="173"/>
      <c r="AJ642" s="173"/>
      <c r="AK642" s="173"/>
      <c r="AL642" s="173"/>
      <c r="AM642" s="173"/>
      <c r="AN642" s="173"/>
      <c r="AO642" s="173"/>
      <c r="AP642" s="173"/>
      <c r="AQ642" s="173"/>
      <c r="AR642" s="173"/>
      <c r="AS642" s="172"/>
      <c r="AT642" s="172"/>
      <c r="AU642" s="172"/>
      <c r="AV642" s="172"/>
      <c r="AW642" s="172"/>
      <c r="AX642" s="172"/>
      <c r="AY642" s="172"/>
      <c r="AZ642" s="172"/>
      <c r="BA642" s="172"/>
      <c r="BB642" s="172"/>
      <c r="BC642" s="172"/>
      <c r="BD642" s="172"/>
      <c r="BE642" s="172"/>
      <c r="BF642" s="172"/>
      <c r="BG642" s="172"/>
      <c r="BH642" s="172"/>
      <c r="BI642" s="172"/>
      <c r="BJ642" s="172"/>
      <c r="BK642" s="172"/>
      <c r="BL642" s="172"/>
      <c r="BM642" s="172"/>
      <c r="BN642" s="172"/>
      <c r="BO642" s="172"/>
      <c r="BP642" s="172"/>
      <c r="BQ642" s="172"/>
      <c r="BR642" s="172"/>
      <c r="BS642" s="172"/>
      <c r="BT642" s="172"/>
      <c r="BU642" s="172"/>
      <c r="BV642" s="172"/>
      <c r="BW642" s="172"/>
      <c r="BX642" s="172"/>
      <c r="BY642" s="174"/>
      <c r="BZ642" s="172"/>
      <c r="CA642" s="172"/>
      <c r="CD642" s="194"/>
      <c r="CE642" s="194"/>
      <c r="CF642" s="194"/>
      <c r="CG642" s="194"/>
      <c r="CH642" s="195"/>
      <c r="CI642" s="194"/>
      <c r="CJ642" s="194"/>
      <c r="CK642" s="194"/>
      <c r="CL642" s="196"/>
      <c r="CM642" s="196"/>
      <c r="CN642" s="194"/>
      <c r="CO642" s="197"/>
      <c r="CP642" s="196"/>
      <c r="CQ642" s="196"/>
      <c r="CR642" s="196"/>
      <c r="CS642" s="196"/>
      <c r="CT642" s="196"/>
      <c r="CU642" s="196"/>
      <c r="CV642" s="194"/>
      <c r="CW642" s="194"/>
      <c r="CX642" s="194"/>
      <c r="CY642" s="194"/>
      <c r="CZ642" s="194"/>
      <c r="DA642" s="194"/>
      <c r="DB642" s="194"/>
      <c r="DC642" s="194"/>
      <c r="DD642" s="194"/>
      <c r="DE642" s="194"/>
      <c r="DF642" s="196"/>
      <c r="DG642" s="198"/>
      <c r="DH642" s="194"/>
      <c r="DI642" s="194"/>
    </row>
    <row r="643" spans="1:113" s="24" customFormat="1" hidden="1" x14ac:dyDescent="0.3">
      <c r="A643" s="172"/>
      <c r="B643" s="172"/>
      <c r="C643" s="172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  <c r="AE643" s="173"/>
      <c r="AF643" s="173"/>
      <c r="AG643" s="173"/>
      <c r="AH643" s="173"/>
      <c r="AI643" s="173"/>
      <c r="AJ643" s="173"/>
      <c r="AK643" s="173"/>
      <c r="AL643" s="173"/>
      <c r="AM643" s="173"/>
      <c r="AN643" s="173"/>
      <c r="AO643" s="173"/>
      <c r="AP643" s="173"/>
      <c r="AQ643" s="173"/>
      <c r="AR643" s="173"/>
      <c r="AS643" s="172"/>
      <c r="AT643" s="172"/>
      <c r="AU643" s="172"/>
      <c r="AV643" s="172"/>
      <c r="AW643" s="172"/>
      <c r="AX643" s="172"/>
      <c r="AY643" s="172"/>
      <c r="AZ643" s="172"/>
      <c r="BA643" s="172"/>
      <c r="BB643" s="172"/>
      <c r="BC643" s="172"/>
      <c r="BD643" s="172"/>
      <c r="BE643" s="172"/>
      <c r="BF643" s="172"/>
      <c r="BG643" s="172"/>
      <c r="BH643" s="172"/>
      <c r="BI643" s="172"/>
      <c r="BJ643" s="172"/>
      <c r="BK643" s="172"/>
      <c r="BL643" s="172"/>
      <c r="BM643" s="172"/>
      <c r="BN643" s="172"/>
      <c r="BO643" s="172"/>
      <c r="BP643" s="172"/>
      <c r="BQ643" s="172"/>
      <c r="BR643" s="172"/>
      <c r="BS643" s="172"/>
      <c r="BT643" s="172"/>
      <c r="BU643" s="172"/>
      <c r="BV643" s="172"/>
      <c r="BW643" s="172"/>
      <c r="BX643" s="172"/>
      <c r="BY643" s="174"/>
      <c r="BZ643" s="172"/>
      <c r="CA643" s="172"/>
      <c r="CD643" s="194"/>
      <c r="CE643" s="194"/>
      <c r="CF643" s="194"/>
      <c r="CG643" s="194"/>
      <c r="CH643" s="195"/>
      <c r="CI643" s="194"/>
      <c r="CJ643" s="194"/>
      <c r="CK643" s="194"/>
      <c r="CL643" s="196"/>
      <c r="CM643" s="196"/>
      <c r="CN643" s="194"/>
      <c r="CO643" s="197"/>
      <c r="CP643" s="196"/>
      <c r="CQ643" s="196"/>
      <c r="CR643" s="196"/>
      <c r="CS643" s="196"/>
      <c r="CT643" s="196"/>
      <c r="CU643" s="196"/>
      <c r="CV643" s="194"/>
      <c r="CW643" s="194"/>
      <c r="CX643" s="194"/>
      <c r="CY643" s="194"/>
      <c r="CZ643" s="194"/>
      <c r="DA643" s="194"/>
      <c r="DB643" s="194"/>
      <c r="DC643" s="194"/>
      <c r="DD643" s="194"/>
      <c r="DE643" s="194"/>
      <c r="DF643" s="196"/>
      <c r="DG643" s="198"/>
      <c r="DH643" s="194"/>
      <c r="DI643" s="194"/>
    </row>
    <row r="644" spans="1:113" s="24" customFormat="1" hidden="1" x14ac:dyDescent="0.3">
      <c r="A644" s="172"/>
      <c r="B644" s="172"/>
      <c r="C644" s="172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  <c r="AE644" s="173"/>
      <c r="AF644" s="173"/>
      <c r="AG644" s="173"/>
      <c r="AH644" s="173"/>
      <c r="AI644" s="173"/>
      <c r="AJ644" s="173"/>
      <c r="AK644" s="173"/>
      <c r="AL644" s="173"/>
      <c r="AM644" s="173"/>
      <c r="AN644" s="173"/>
      <c r="AO644" s="173"/>
      <c r="AP644" s="173"/>
      <c r="AQ644" s="173"/>
      <c r="AR644" s="173"/>
      <c r="AS644" s="172"/>
      <c r="AT644" s="172"/>
      <c r="AU644" s="172"/>
      <c r="AV644" s="172"/>
      <c r="AW644" s="172"/>
      <c r="AX644" s="172"/>
      <c r="AY644" s="172"/>
      <c r="AZ644" s="172"/>
      <c r="BA644" s="172"/>
      <c r="BB644" s="172"/>
      <c r="BC644" s="172"/>
      <c r="BD644" s="172"/>
      <c r="BE644" s="172"/>
      <c r="BF644" s="172"/>
      <c r="BG644" s="172"/>
      <c r="BH644" s="172"/>
      <c r="BI644" s="172"/>
      <c r="BJ644" s="172"/>
      <c r="BK644" s="172"/>
      <c r="BL644" s="172"/>
      <c r="BM644" s="172"/>
      <c r="BN644" s="172"/>
      <c r="BO644" s="172"/>
      <c r="BP644" s="172"/>
      <c r="BQ644" s="172"/>
      <c r="BR644" s="172"/>
      <c r="BS644" s="172"/>
      <c r="BT644" s="172"/>
      <c r="BU644" s="172"/>
      <c r="BV644" s="172"/>
      <c r="BW644" s="172"/>
      <c r="BX644" s="172"/>
      <c r="BY644" s="174"/>
      <c r="BZ644" s="172"/>
      <c r="CA644" s="172"/>
      <c r="CD644" s="194"/>
      <c r="CE644" s="194"/>
      <c r="CF644" s="194"/>
      <c r="CG644" s="194"/>
      <c r="CH644" s="195"/>
      <c r="CI644" s="194"/>
      <c r="CJ644" s="194"/>
      <c r="CK644" s="194"/>
      <c r="CL644" s="196"/>
      <c r="CM644" s="196"/>
      <c r="CN644" s="194"/>
      <c r="CO644" s="197"/>
      <c r="CP644" s="196"/>
      <c r="CQ644" s="196"/>
      <c r="CR644" s="196"/>
      <c r="CS644" s="196"/>
      <c r="CT644" s="196"/>
      <c r="CU644" s="196"/>
      <c r="CV644" s="194"/>
      <c r="CW644" s="194"/>
      <c r="CX644" s="194"/>
      <c r="CY644" s="194"/>
      <c r="CZ644" s="194"/>
      <c r="DA644" s="194"/>
      <c r="DB644" s="194"/>
      <c r="DC644" s="194"/>
      <c r="DD644" s="194"/>
      <c r="DE644" s="194"/>
      <c r="DF644" s="196"/>
      <c r="DG644" s="198"/>
      <c r="DH644" s="194"/>
      <c r="DI644" s="194"/>
    </row>
    <row r="645" spans="1:113" s="24" customFormat="1" hidden="1" x14ac:dyDescent="0.3">
      <c r="A645" s="172"/>
      <c r="B645" s="172"/>
      <c r="C645" s="172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  <c r="AE645" s="173"/>
      <c r="AF645" s="173"/>
      <c r="AG645" s="173"/>
      <c r="AH645" s="173"/>
      <c r="AI645" s="173"/>
      <c r="AJ645" s="173"/>
      <c r="AK645" s="173"/>
      <c r="AL645" s="173"/>
      <c r="AM645" s="173"/>
      <c r="AN645" s="173"/>
      <c r="AO645" s="173"/>
      <c r="AP645" s="173"/>
      <c r="AQ645" s="173"/>
      <c r="AR645" s="173"/>
      <c r="AS645" s="172"/>
      <c r="AT645" s="172"/>
      <c r="AU645" s="172"/>
      <c r="AV645" s="172"/>
      <c r="AW645" s="172"/>
      <c r="AX645" s="172"/>
      <c r="AY645" s="172"/>
      <c r="AZ645" s="172"/>
      <c r="BA645" s="172"/>
      <c r="BB645" s="172"/>
      <c r="BC645" s="172"/>
      <c r="BD645" s="172"/>
      <c r="BE645" s="172"/>
      <c r="BF645" s="172"/>
      <c r="BG645" s="172"/>
      <c r="BH645" s="172"/>
      <c r="BI645" s="172"/>
      <c r="BJ645" s="172"/>
      <c r="BK645" s="172"/>
      <c r="BL645" s="172"/>
      <c r="BM645" s="172"/>
      <c r="BN645" s="172"/>
      <c r="BO645" s="172"/>
      <c r="BP645" s="172"/>
      <c r="BQ645" s="172"/>
      <c r="BR645" s="172"/>
      <c r="BS645" s="172"/>
      <c r="BT645" s="172"/>
      <c r="BU645" s="172"/>
      <c r="BV645" s="172"/>
      <c r="BW645" s="172"/>
      <c r="BX645" s="172"/>
      <c r="BY645" s="174"/>
      <c r="BZ645" s="172"/>
      <c r="CA645" s="172"/>
      <c r="CD645" s="194"/>
      <c r="CE645" s="194"/>
      <c r="CF645" s="194"/>
      <c r="CG645" s="194"/>
      <c r="CH645" s="195"/>
      <c r="CI645" s="194"/>
      <c r="CJ645" s="194"/>
      <c r="CK645" s="194"/>
      <c r="CL645" s="196"/>
      <c r="CM645" s="196"/>
      <c r="CN645" s="194"/>
      <c r="CO645" s="197"/>
      <c r="CP645" s="196"/>
      <c r="CQ645" s="196"/>
      <c r="CR645" s="196"/>
      <c r="CS645" s="196"/>
      <c r="CT645" s="196"/>
      <c r="CU645" s="196"/>
      <c r="CV645" s="194"/>
      <c r="CW645" s="194"/>
      <c r="CX645" s="194"/>
      <c r="CY645" s="194"/>
      <c r="CZ645" s="194"/>
      <c r="DA645" s="194"/>
      <c r="DB645" s="194"/>
      <c r="DC645" s="194"/>
      <c r="DD645" s="194"/>
      <c r="DE645" s="194"/>
      <c r="DF645" s="196"/>
      <c r="DG645" s="198"/>
      <c r="DH645" s="194"/>
      <c r="DI645" s="194"/>
    </row>
    <row r="646" spans="1:113" s="24" customFormat="1" hidden="1" x14ac:dyDescent="0.3">
      <c r="A646" s="172"/>
      <c r="B646" s="172"/>
      <c r="C646" s="172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  <c r="AE646" s="173"/>
      <c r="AF646" s="173"/>
      <c r="AG646" s="173"/>
      <c r="AH646" s="173"/>
      <c r="AI646" s="173"/>
      <c r="AJ646" s="173"/>
      <c r="AK646" s="173"/>
      <c r="AL646" s="173"/>
      <c r="AM646" s="173"/>
      <c r="AN646" s="173"/>
      <c r="AO646" s="173"/>
      <c r="AP646" s="173"/>
      <c r="AQ646" s="173"/>
      <c r="AR646" s="173"/>
      <c r="AS646" s="172"/>
      <c r="AT646" s="172"/>
      <c r="AU646" s="172"/>
      <c r="AV646" s="172"/>
      <c r="AW646" s="172"/>
      <c r="AX646" s="172"/>
      <c r="AY646" s="172"/>
      <c r="AZ646" s="172"/>
      <c r="BA646" s="172"/>
      <c r="BB646" s="172"/>
      <c r="BC646" s="172"/>
      <c r="BD646" s="172"/>
      <c r="BE646" s="172"/>
      <c r="BF646" s="172"/>
      <c r="BG646" s="172"/>
      <c r="BH646" s="172"/>
      <c r="BI646" s="172"/>
      <c r="BJ646" s="172"/>
      <c r="BK646" s="172"/>
      <c r="BL646" s="172"/>
      <c r="BM646" s="172"/>
      <c r="BN646" s="172"/>
      <c r="BO646" s="172"/>
      <c r="BP646" s="172"/>
      <c r="BQ646" s="172"/>
      <c r="BR646" s="172"/>
      <c r="BS646" s="172"/>
      <c r="BT646" s="172"/>
      <c r="BU646" s="172"/>
      <c r="BV646" s="172"/>
      <c r="BW646" s="172"/>
      <c r="BX646" s="172"/>
      <c r="BY646" s="174"/>
      <c r="BZ646" s="172"/>
      <c r="CA646" s="172"/>
      <c r="CD646" s="194"/>
      <c r="CE646" s="194"/>
      <c r="CF646" s="194"/>
      <c r="CG646" s="194"/>
      <c r="CH646" s="195"/>
      <c r="CI646" s="194"/>
      <c r="CJ646" s="194"/>
      <c r="CK646" s="194"/>
      <c r="CL646" s="196"/>
      <c r="CM646" s="196"/>
      <c r="CN646" s="194"/>
      <c r="CO646" s="197"/>
      <c r="CP646" s="196"/>
      <c r="CQ646" s="196"/>
      <c r="CR646" s="196"/>
      <c r="CS646" s="196"/>
      <c r="CT646" s="196"/>
      <c r="CU646" s="196"/>
      <c r="CV646" s="194"/>
      <c r="CW646" s="194"/>
      <c r="CX646" s="194"/>
      <c r="CY646" s="194"/>
      <c r="CZ646" s="194"/>
      <c r="DA646" s="194"/>
      <c r="DB646" s="194"/>
      <c r="DC646" s="194"/>
      <c r="DD646" s="194"/>
      <c r="DE646" s="194"/>
      <c r="DF646" s="196"/>
      <c r="DG646" s="198"/>
      <c r="DH646" s="194"/>
      <c r="DI646" s="194"/>
    </row>
    <row r="647" spans="1:113" s="24" customFormat="1" hidden="1" x14ac:dyDescent="0.3">
      <c r="A647" s="172"/>
      <c r="B647" s="172"/>
      <c r="C647" s="172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  <c r="AE647" s="173"/>
      <c r="AF647" s="173"/>
      <c r="AG647" s="173"/>
      <c r="AH647" s="173"/>
      <c r="AI647" s="173"/>
      <c r="AJ647" s="173"/>
      <c r="AK647" s="173"/>
      <c r="AL647" s="173"/>
      <c r="AM647" s="173"/>
      <c r="AN647" s="173"/>
      <c r="AO647" s="173"/>
      <c r="AP647" s="173"/>
      <c r="AQ647" s="173"/>
      <c r="AR647" s="173"/>
      <c r="AS647" s="172"/>
      <c r="AT647" s="172"/>
      <c r="AU647" s="172"/>
      <c r="AV647" s="172"/>
      <c r="AW647" s="172"/>
      <c r="AX647" s="172"/>
      <c r="AY647" s="172"/>
      <c r="AZ647" s="172"/>
      <c r="BA647" s="172"/>
      <c r="BB647" s="172"/>
      <c r="BC647" s="172"/>
      <c r="BD647" s="172"/>
      <c r="BE647" s="172"/>
      <c r="BF647" s="172"/>
      <c r="BG647" s="172"/>
      <c r="BH647" s="172"/>
      <c r="BI647" s="172"/>
      <c r="BJ647" s="172"/>
      <c r="BK647" s="172"/>
      <c r="BL647" s="172"/>
      <c r="BM647" s="172"/>
      <c r="BN647" s="172"/>
      <c r="BO647" s="172"/>
      <c r="BP647" s="172"/>
      <c r="BQ647" s="172"/>
      <c r="BR647" s="172"/>
      <c r="BS647" s="172"/>
      <c r="BT647" s="172"/>
      <c r="BU647" s="172"/>
      <c r="BV647" s="172"/>
      <c r="BW647" s="172"/>
      <c r="BX647" s="172"/>
      <c r="BY647" s="174"/>
      <c r="BZ647" s="172"/>
      <c r="CA647" s="172"/>
      <c r="CD647" s="194"/>
      <c r="CE647" s="194"/>
      <c r="CF647" s="194"/>
      <c r="CG647" s="194"/>
      <c r="CH647" s="195"/>
      <c r="CI647" s="194"/>
      <c r="CJ647" s="194"/>
      <c r="CK647" s="194"/>
      <c r="CL647" s="196"/>
      <c r="CM647" s="196"/>
      <c r="CN647" s="194"/>
      <c r="CO647" s="197"/>
      <c r="CP647" s="196"/>
      <c r="CQ647" s="196"/>
      <c r="CR647" s="196"/>
      <c r="CS647" s="196"/>
      <c r="CT647" s="196"/>
      <c r="CU647" s="196"/>
      <c r="CV647" s="194"/>
      <c r="CW647" s="194"/>
      <c r="CX647" s="194"/>
      <c r="CY647" s="194"/>
      <c r="CZ647" s="194"/>
      <c r="DA647" s="194"/>
      <c r="DB647" s="194"/>
      <c r="DC647" s="194"/>
      <c r="DD647" s="194"/>
      <c r="DE647" s="194"/>
      <c r="DF647" s="196"/>
      <c r="DG647" s="198"/>
      <c r="DH647" s="194"/>
      <c r="DI647" s="194"/>
    </row>
    <row r="648" spans="1:113" s="24" customFormat="1" hidden="1" x14ac:dyDescent="0.3">
      <c r="A648" s="172"/>
      <c r="B648" s="172"/>
      <c r="C648" s="172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  <c r="AE648" s="173"/>
      <c r="AF648" s="173"/>
      <c r="AG648" s="173"/>
      <c r="AH648" s="173"/>
      <c r="AI648" s="173"/>
      <c r="AJ648" s="173"/>
      <c r="AK648" s="173"/>
      <c r="AL648" s="173"/>
      <c r="AM648" s="173"/>
      <c r="AN648" s="173"/>
      <c r="AO648" s="173"/>
      <c r="AP648" s="173"/>
      <c r="AQ648" s="173"/>
      <c r="AR648" s="173"/>
      <c r="AS648" s="172"/>
      <c r="AT648" s="172"/>
      <c r="AU648" s="172"/>
      <c r="AV648" s="172"/>
      <c r="AW648" s="172"/>
      <c r="AX648" s="172"/>
      <c r="AY648" s="172"/>
      <c r="AZ648" s="172"/>
      <c r="BA648" s="172"/>
      <c r="BB648" s="172"/>
      <c r="BC648" s="172"/>
      <c r="BD648" s="172"/>
      <c r="BE648" s="172"/>
      <c r="BF648" s="172"/>
      <c r="BG648" s="172"/>
      <c r="BH648" s="172"/>
      <c r="BI648" s="172"/>
      <c r="BJ648" s="172"/>
      <c r="BK648" s="172"/>
      <c r="BL648" s="172"/>
      <c r="BM648" s="172"/>
      <c r="BN648" s="172"/>
      <c r="BO648" s="172"/>
      <c r="BP648" s="172"/>
      <c r="BQ648" s="172"/>
      <c r="BR648" s="172"/>
      <c r="BS648" s="172"/>
      <c r="BT648" s="172"/>
      <c r="BU648" s="172"/>
      <c r="BV648" s="172"/>
      <c r="BW648" s="172"/>
      <c r="BX648" s="172"/>
      <c r="BY648" s="174"/>
      <c r="BZ648" s="172"/>
      <c r="CA648" s="172"/>
      <c r="CD648" s="194"/>
      <c r="CE648" s="194"/>
      <c r="CF648" s="194"/>
      <c r="CG648" s="194"/>
      <c r="CH648" s="195"/>
      <c r="CI648" s="194"/>
      <c r="CJ648" s="194"/>
      <c r="CK648" s="194"/>
      <c r="CL648" s="196"/>
      <c r="CM648" s="196"/>
      <c r="CN648" s="194"/>
      <c r="CO648" s="197"/>
      <c r="CP648" s="196"/>
      <c r="CQ648" s="196"/>
      <c r="CR648" s="196"/>
      <c r="CS648" s="196"/>
      <c r="CT648" s="196"/>
      <c r="CU648" s="196"/>
      <c r="CV648" s="194"/>
      <c r="CW648" s="194"/>
      <c r="CX648" s="194"/>
      <c r="CY648" s="194"/>
      <c r="CZ648" s="194"/>
      <c r="DA648" s="194"/>
      <c r="DB648" s="194"/>
      <c r="DC648" s="194"/>
      <c r="DD648" s="194"/>
      <c r="DE648" s="194"/>
      <c r="DF648" s="196"/>
      <c r="DG648" s="198"/>
      <c r="DH648" s="194"/>
      <c r="DI648" s="194"/>
    </row>
    <row r="649" spans="1:113" s="24" customFormat="1" hidden="1" x14ac:dyDescent="0.3">
      <c r="A649" s="172"/>
      <c r="B649" s="172"/>
      <c r="C649" s="172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  <c r="AE649" s="173"/>
      <c r="AF649" s="173"/>
      <c r="AG649" s="173"/>
      <c r="AH649" s="173"/>
      <c r="AI649" s="173"/>
      <c r="AJ649" s="173"/>
      <c r="AK649" s="173"/>
      <c r="AL649" s="173"/>
      <c r="AM649" s="173"/>
      <c r="AN649" s="173"/>
      <c r="AO649" s="173"/>
      <c r="AP649" s="173"/>
      <c r="AQ649" s="173"/>
      <c r="AR649" s="173"/>
      <c r="AS649" s="172"/>
      <c r="AT649" s="172"/>
      <c r="AU649" s="172"/>
      <c r="AV649" s="172"/>
      <c r="AW649" s="172"/>
      <c r="AX649" s="172"/>
      <c r="AY649" s="172"/>
      <c r="AZ649" s="172"/>
      <c r="BA649" s="172"/>
      <c r="BB649" s="172"/>
      <c r="BC649" s="172"/>
      <c r="BD649" s="172"/>
      <c r="BE649" s="172"/>
      <c r="BF649" s="172"/>
      <c r="BG649" s="172"/>
      <c r="BH649" s="172"/>
      <c r="BI649" s="172"/>
      <c r="BJ649" s="172"/>
      <c r="BK649" s="172"/>
      <c r="BL649" s="172"/>
      <c r="BM649" s="172"/>
      <c r="BN649" s="172"/>
      <c r="BO649" s="172"/>
      <c r="BP649" s="172"/>
      <c r="BQ649" s="172"/>
      <c r="BR649" s="172"/>
      <c r="BS649" s="172"/>
      <c r="BT649" s="172"/>
      <c r="BU649" s="172"/>
      <c r="BV649" s="172"/>
      <c r="BW649" s="172"/>
      <c r="BX649" s="172"/>
      <c r="BY649" s="174"/>
      <c r="BZ649" s="172"/>
      <c r="CA649" s="172"/>
      <c r="CD649" s="194"/>
      <c r="CE649" s="194"/>
      <c r="CF649" s="194"/>
      <c r="CG649" s="194"/>
      <c r="CH649" s="195"/>
      <c r="CI649" s="194"/>
      <c r="CJ649" s="194"/>
      <c r="CK649" s="194"/>
      <c r="CL649" s="196"/>
      <c r="CM649" s="196"/>
      <c r="CN649" s="194"/>
      <c r="CO649" s="197"/>
      <c r="CP649" s="196"/>
      <c r="CQ649" s="196"/>
      <c r="CR649" s="196"/>
      <c r="CS649" s="196"/>
      <c r="CT649" s="196"/>
      <c r="CU649" s="196"/>
      <c r="CV649" s="194"/>
      <c r="CW649" s="194"/>
      <c r="CX649" s="194"/>
      <c r="CY649" s="194"/>
      <c r="CZ649" s="194"/>
      <c r="DA649" s="194"/>
      <c r="DB649" s="194"/>
      <c r="DC649" s="194"/>
      <c r="DD649" s="194"/>
      <c r="DE649" s="194"/>
      <c r="DF649" s="196"/>
      <c r="DG649" s="198"/>
      <c r="DH649" s="194"/>
      <c r="DI649" s="194"/>
    </row>
    <row r="650" spans="1:113" s="24" customFormat="1" hidden="1" x14ac:dyDescent="0.3">
      <c r="A650" s="172"/>
      <c r="B650" s="172"/>
      <c r="C650" s="172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  <c r="AE650" s="173"/>
      <c r="AF650" s="173"/>
      <c r="AG650" s="173"/>
      <c r="AH650" s="173"/>
      <c r="AI650" s="173"/>
      <c r="AJ650" s="173"/>
      <c r="AK650" s="173"/>
      <c r="AL650" s="173"/>
      <c r="AM650" s="173"/>
      <c r="AN650" s="173"/>
      <c r="AO650" s="173"/>
      <c r="AP650" s="173"/>
      <c r="AQ650" s="173"/>
      <c r="AR650" s="173"/>
      <c r="AS650" s="172"/>
      <c r="AT650" s="172"/>
      <c r="AU650" s="172"/>
      <c r="AV650" s="172"/>
      <c r="AW650" s="172"/>
      <c r="AX650" s="172"/>
      <c r="AY650" s="172"/>
      <c r="AZ650" s="172"/>
      <c r="BA650" s="172"/>
      <c r="BB650" s="172"/>
      <c r="BC650" s="172"/>
      <c r="BD650" s="172"/>
      <c r="BE650" s="172"/>
      <c r="BF650" s="172"/>
      <c r="BG650" s="172"/>
      <c r="BH650" s="172"/>
      <c r="BI650" s="172"/>
      <c r="BJ650" s="172"/>
      <c r="BK650" s="172"/>
      <c r="BL650" s="172"/>
      <c r="BM650" s="172"/>
      <c r="BN650" s="172"/>
      <c r="BO650" s="172"/>
      <c r="BP650" s="172"/>
      <c r="BQ650" s="172"/>
      <c r="BR650" s="172"/>
      <c r="BS650" s="172"/>
      <c r="BT650" s="172"/>
      <c r="BU650" s="172"/>
      <c r="BV650" s="172"/>
      <c r="BW650" s="172"/>
      <c r="BX650" s="172"/>
      <c r="BY650" s="174"/>
      <c r="BZ650" s="172"/>
      <c r="CA650" s="172"/>
      <c r="CD650" s="194"/>
      <c r="CE650" s="194"/>
      <c r="CF650" s="194"/>
      <c r="CG650" s="194"/>
      <c r="CH650" s="195"/>
      <c r="CI650" s="194"/>
      <c r="CJ650" s="194"/>
      <c r="CK650" s="194"/>
      <c r="CL650" s="196"/>
      <c r="CM650" s="196"/>
      <c r="CN650" s="194"/>
      <c r="CO650" s="197"/>
      <c r="CP650" s="196"/>
      <c r="CQ650" s="196"/>
      <c r="CR650" s="196"/>
      <c r="CS650" s="196"/>
      <c r="CT650" s="196"/>
      <c r="CU650" s="196"/>
      <c r="CV650" s="194"/>
      <c r="CW650" s="194"/>
      <c r="CX650" s="194"/>
      <c r="CY650" s="194"/>
      <c r="CZ650" s="194"/>
      <c r="DA650" s="194"/>
      <c r="DB650" s="194"/>
      <c r="DC650" s="194"/>
      <c r="DD650" s="194"/>
      <c r="DE650" s="194"/>
      <c r="DF650" s="196"/>
      <c r="DG650" s="198"/>
      <c r="DH650" s="194"/>
      <c r="DI650" s="194"/>
    </row>
    <row r="651" spans="1:113" s="24" customFormat="1" hidden="1" x14ac:dyDescent="0.3">
      <c r="A651" s="172"/>
      <c r="B651" s="172"/>
      <c r="C651" s="172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  <c r="AE651" s="173"/>
      <c r="AF651" s="173"/>
      <c r="AG651" s="173"/>
      <c r="AH651" s="173"/>
      <c r="AI651" s="173"/>
      <c r="AJ651" s="173"/>
      <c r="AK651" s="173"/>
      <c r="AL651" s="173"/>
      <c r="AM651" s="173"/>
      <c r="AN651" s="173"/>
      <c r="AO651" s="173"/>
      <c r="AP651" s="173"/>
      <c r="AQ651" s="173"/>
      <c r="AR651" s="173"/>
      <c r="AS651" s="172"/>
      <c r="AT651" s="172"/>
      <c r="AU651" s="172"/>
      <c r="AV651" s="172"/>
      <c r="AW651" s="172"/>
      <c r="AX651" s="172"/>
      <c r="AY651" s="172"/>
      <c r="AZ651" s="172"/>
      <c r="BA651" s="172"/>
      <c r="BB651" s="172"/>
      <c r="BC651" s="172"/>
      <c r="BD651" s="172"/>
      <c r="BE651" s="172"/>
      <c r="BF651" s="172"/>
      <c r="BG651" s="172"/>
      <c r="BH651" s="172"/>
      <c r="BI651" s="172"/>
      <c r="BJ651" s="172"/>
      <c r="BK651" s="172"/>
      <c r="BL651" s="172"/>
      <c r="BM651" s="172"/>
      <c r="BN651" s="172"/>
      <c r="BO651" s="172"/>
      <c r="BP651" s="172"/>
      <c r="BQ651" s="172"/>
      <c r="BR651" s="172"/>
      <c r="BS651" s="172"/>
      <c r="BT651" s="172"/>
      <c r="BU651" s="172"/>
      <c r="BV651" s="172"/>
      <c r="BW651" s="172"/>
      <c r="BX651" s="172"/>
      <c r="BY651" s="174"/>
      <c r="BZ651" s="172"/>
      <c r="CA651" s="172"/>
      <c r="CD651" s="194"/>
      <c r="CE651" s="194"/>
      <c r="CF651" s="194"/>
      <c r="CG651" s="194"/>
      <c r="CH651" s="195"/>
      <c r="CI651" s="194"/>
      <c r="CJ651" s="194"/>
      <c r="CK651" s="194"/>
      <c r="CL651" s="196"/>
      <c r="CM651" s="196"/>
      <c r="CN651" s="194"/>
      <c r="CO651" s="197"/>
      <c r="CP651" s="196"/>
      <c r="CQ651" s="196"/>
      <c r="CR651" s="196"/>
      <c r="CS651" s="196"/>
      <c r="CT651" s="196"/>
      <c r="CU651" s="196"/>
      <c r="CV651" s="194"/>
      <c r="CW651" s="194"/>
      <c r="CX651" s="194"/>
      <c r="CY651" s="194"/>
      <c r="CZ651" s="194"/>
      <c r="DA651" s="194"/>
      <c r="DB651" s="194"/>
      <c r="DC651" s="194"/>
      <c r="DD651" s="194"/>
      <c r="DE651" s="194"/>
      <c r="DF651" s="196"/>
      <c r="DG651" s="198"/>
      <c r="DH651" s="194"/>
      <c r="DI651" s="194"/>
    </row>
    <row r="652" spans="1:113" s="24" customFormat="1" hidden="1" x14ac:dyDescent="0.3">
      <c r="A652" s="172"/>
      <c r="B652" s="172"/>
      <c r="C652" s="172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  <c r="AE652" s="173"/>
      <c r="AF652" s="173"/>
      <c r="AG652" s="173"/>
      <c r="AH652" s="173"/>
      <c r="AI652" s="173"/>
      <c r="AJ652" s="173"/>
      <c r="AK652" s="173"/>
      <c r="AL652" s="173"/>
      <c r="AM652" s="173"/>
      <c r="AN652" s="173"/>
      <c r="AO652" s="173"/>
      <c r="AP652" s="173"/>
      <c r="AQ652" s="173"/>
      <c r="AR652" s="173"/>
      <c r="AS652" s="172"/>
      <c r="AT652" s="172"/>
      <c r="AU652" s="172"/>
      <c r="AV652" s="172"/>
      <c r="AW652" s="172"/>
      <c r="AX652" s="172"/>
      <c r="AY652" s="172"/>
      <c r="AZ652" s="172"/>
      <c r="BA652" s="172"/>
      <c r="BB652" s="172"/>
      <c r="BC652" s="172"/>
      <c r="BD652" s="172"/>
      <c r="BE652" s="172"/>
      <c r="BF652" s="172"/>
      <c r="BG652" s="172"/>
      <c r="BH652" s="172"/>
      <c r="BI652" s="172"/>
      <c r="BJ652" s="172"/>
      <c r="BK652" s="172"/>
      <c r="BL652" s="172"/>
      <c r="BM652" s="172"/>
      <c r="BN652" s="172"/>
      <c r="BO652" s="172"/>
      <c r="BP652" s="172"/>
      <c r="BQ652" s="172"/>
      <c r="BR652" s="172"/>
      <c r="BS652" s="172"/>
      <c r="BT652" s="172"/>
      <c r="BU652" s="172"/>
      <c r="BV652" s="172"/>
      <c r="BW652" s="172"/>
      <c r="BX652" s="172"/>
      <c r="BY652" s="174"/>
      <c r="BZ652" s="172"/>
      <c r="CA652" s="172"/>
      <c r="CD652" s="194"/>
      <c r="CE652" s="194"/>
      <c r="CF652" s="194"/>
      <c r="CG652" s="194"/>
      <c r="CH652" s="195"/>
      <c r="CI652" s="194"/>
      <c r="CJ652" s="194"/>
      <c r="CK652" s="194"/>
      <c r="CL652" s="196"/>
      <c r="CM652" s="196"/>
      <c r="CN652" s="194"/>
      <c r="CO652" s="197"/>
      <c r="CP652" s="196"/>
      <c r="CQ652" s="196"/>
      <c r="CR652" s="196"/>
      <c r="CS652" s="196"/>
      <c r="CT652" s="196"/>
      <c r="CU652" s="196"/>
      <c r="CV652" s="194"/>
      <c r="CW652" s="194"/>
      <c r="CX652" s="194"/>
      <c r="CY652" s="194"/>
      <c r="CZ652" s="194"/>
      <c r="DA652" s="194"/>
      <c r="DB652" s="194"/>
      <c r="DC652" s="194"/>
      <c r="DD652" s="194"/>
      <c r="DE652" s="194"/>
      <c r="DF652" s="196"/>
      <c r="DG652" s="198"/>
      <c r="DH652" s="194"/>
      <c r="DI652" s="194"/>
    </row>
    <row r="653" spans="1:113" s="24" customFormat="1" hidden="1" x14ac:dyDescent="0.3">
      <c r="A653" s="172"/>
      <c r="B653" s="172"/>
      <c r="C653" s="172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  <c r="AE653" s="173"/>
      <c r="AF653" s="173"/>
      <c r="AG653" s="173"/>
      <c r="AH653" s="173"/>
      <c r="AI653" s="173"/>
      <c r="AJ653" s="173"/>
      <c r="AK653" s="173"/>
      <c r="AL653" s="173"/>
      <c r="AM653" s="173"/>
      <c r="AN653" s="173"/>
      <c r="AO653" s="173"/>
      <c r="AP653" s="173"/>
      <c r="AQ653" s="173"/>
      <c r="AR653" s="173"/>
      <c r="AS653" s="172"/>
      <c r="AT653" s="172"/>
      <c r="AU653" s="172"/>
      <c r="AV653" s="172"/>
      <c r="AW653" s="172"/>
      <c r="AX653" s="172"/>
      <c r="AY653" s="172"/>
      <c r="AZ653" s="172"/>
      <c r="BA653" s="172"/>
      <c r="BB653" s="172"/>
      <c r="BC653" s="172"/>
      <c r="BD653" s="172"/>
      <c r="BE653" s="172"/>
      <c r="BF653" s="172"/>
      <c r="BG653" s="172"/>
      <c r="BH653" s="172"/>
      <c r="BI653" s="172"/>
      <c r="BJ653" s="172"/>
      <c r="BK653" s="172"/>
      <c r="BL653" s="172"/>
      <c r="BM653" s="172"/>
      <c r="BN653" s="172"/>
      <c r="BO653" s="172"/>
      <c r="BP653" s="172"/>
      <c r="BQ653" s="172"/>
      <c r="BR653" s="172"/>
      <c r="BS653" s="172"/>
      <c r="BT653" s="172"/>
      <c r="BU653" s="172"/>
      <c r="BV653" s="172"/>
      <c r="BW653" s="172"/>
      <c r="BX653" s="172"/>
      <c r="BY653" s="174"/>
      <c r="BZ653" s="172"/>
      <c r="CA653" s="172"/>
      <c r="CD653" s="194"/>
      <c r="CE653" s="194"/>
      <c r="CF653" s="194"/>
      <c r="CG653" s="194"/>
      <c r="CH653" s="195"/>
      <c r="CI653" s="194"/>
      <c r="CJ653" s="194"/>
      <c r="CK653" s="194"/>
      <c r="CL653" s="196"/>
      <c r="CM653" s="196"/>
      <c r="CN653" s="194"/>
      <c r="CO653" s="197"/>
      <c r="CP653" s="196"/>
      <c r="CQ653" s="196"/>
      <c r="CR653" s="196"/>
      <c r="CS653" s="196"/>
      <c r="CT653" s="196"/>
      <c r="CU653" s="196"/>
      <c r="CV653" s="194"/>
      <c r="CW653" s="194"/>
      <c r="CX653" s="194"/>
      <c r="CY653" s="194"/>
      <c r="CZ653" s="194"/>
      <c r="DA653" s="194"/>
      <c r="DB653" s="194"/>
      <c r="DC653" s="194"/>
      <c r="DD653" s="194"/>
      <c r="DE653" s="194"/>
      <c r="DF653" s="196"/>
      <c r="DG653" s="198"/>
      <c r="DH653" s="194"/>
      <c r="DI653" s="194"/>
    </row>
    <row r="654" spans="1:113" s="24" customFormat="1" hidden="1" x14ac:dyDescent="0.3">
      <c r="A654" s="172"/>
      <c r="B654" s="172"/>
      <c r="C654" s="172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  <c r="AE654" s="173"/>
      <c r="AF654" s="173"/>
      <c r="AG654" s="173"/>
      <c r="AH654" s="173"/>
      <c r="AI654" s="173"/>
      <c r="AJ654" s="173"/>
      <c r="AK654" s="173"/>
      <c r="AL654" s="173"/>
      <c r="AM654" s="173"/>
      <c r="AN654" s="173"/>
      <c r="AO654" s="173"/>
      <c r="AP654" s="173"/>
      <c r="AQ654" s="173"/>
      <c r="AR654" s="173"/>
      <c r="AS654" s="172"/>
      <c r="AT654" s="172"/>
      <c r="AU654" s="172"/>
      <c r="AV654" s="172"/>
      <c r="AW654" s="172"/>
      <c r="AX654" s="172"/>
      <c r="AY654" s="172"/>
      <c r="AZ654" s="172"/>
      <c r="BA654" s="172"/>
      <c r="BB654" s="172"/>
      <c r="BC654" s="172"/>
      <c r="BD654" s="172"/>
      <c r="BE654" s="172"/>
      <c r="BF654" s="172"/>
      <c r="BG654" s="172"/>
      <c r="BH654" s="172"/>
      <c r="BI654" s="172"/>
      <c r="BJ654" s="172"/>
      <c r="BK654" s="172"/>
      <c r="BL654" s="172"/>
      <c r="BM654" s="172"/>
      <c r="BN654" s="172"/>
      <c r="BO654" s="172"/>
      <c r="BP654" s="172"/>
      <c r="BQ654" s="172"/>
      <c r="BR654" s="172"/>
      <c r="BS654" s="172"/>
      <c r="BT654" s="172"/>
      <c r="BU654" s="172"/>
      <c r="BV654" s="172"/>
      <c r="BW654" s="172"/>
      <c r="BX654" s="172"/>
      <c r="BY654" s="174"/>
      <c r="BZ654" s="172"/>
      <c r="CA654" s="172"/>
      <c r="CD654" s="194"/>
      <c r="CE654" s="194"/>
      <c r="CF654" s="194"/>
      <c r="CG654" s="194"/>
      <c r="CH654" s="195"/>
      <c r="CI654" s="194"/>
      <c r="CJ654" s="194"/>
      <c r="CK654" s="194"/>
      <c r="CL654" s="196"/>
      <c r="CM654" s="196"/>
      <c r="CN654" s="194"/>
      <c r="CO654" s="197"/>
      <c r="CP654" s="196"/>
      <c r="CQ654" s="196"/>
      <c r="CR654" s="196"/>
      <c r="CS654" s="196"/>
      <c r="CT654" s="196"/>
      <c r="CU654" s="196"/>
      <c r="CV654" s="194"/>
      <c r="CW654" s="194"/>
      <c r="CX654" s="194"/>
      <c r="CY654" s="194"/>
      <c r="CZ654" s="194"/>
      <c r="DA654" s="194"/>
      <c r="DB654" s="194"/>
      <c r="DC654" s="194"/>
      <c r="DD654" s="194"/>
      <c r="DE654" s="194"/>
      <c r="DF654" s="196"/>
      <c r="DG654" s="198"/>
      <c r="DH654" s="194"/>
      <c r="DI654" s="194"/>
    </row>
    <row r="655" spans="1:113" s="24" customFormat="1" hidden="1" x14ac:dyDescent="0.3">
      <c r="A655" s="172"/>
      <c r="B655" s="172"/>
      <c r="C655" s="172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  <c r="AE655" s="173"/>
      <c r="AF655" s="173"/>
      <c r="AG655" s="173"/>
      <c r="AH655" s="173"/>
      <c r="AI655" s="173"/>
      <c r="AJ655" s="173"/>
      <c r="AK655" s="173"/>
      <c r="AL655" s="173"/>
      <c r="AM655" s="173"/>
      <c r="AN655" s="173"/>
      <c r="AO655" s="173"/>
      <c r="AP655" s="173"/>
      <c r="AQ655" s="173"/>
      <c r="AR655" s="173"/>
      <c r="AS655" s="172"/>
      <c r="AT655" s="172"/>
      <c r="AU655" s="172"/>
      <c r="AV655" s="172"/>
      <c r="AW655" s="172"/>
      <c r="AX655" s="172"/>
      <c r="AY655" s="172"/>
      <c r="AZ655" s="172"/>
      <c r="BA655" s="172"/>
      <c r="BB655" s="172"/>
      <c r="BC655" s="172"/>
      <c r="BD655" s="172"/>
      <c r="BE655" s="172"/>
      <c r="BF655" s="172"/>
      <c r="BG655" s="172"/>
      <c r="BH655" s="172"/>
      <c r="BI655" s="172"/>
      <c r="BJ655" s="172"/>
      <c r="BK655" s="172"/>
      <c r="BL655" s="172"/>
      <c r="BM655" s="172"/>
      <c r="BN655" s="172"/>
      <c r="BO655" s="172"/>
      <c r="BP655" s="172"/>
      <c r="BQ655" s="172"/>
      <c r="BR655" s="172"/>
      <c r="BS655" s="172"/>
      <c r="BT655" s="172"/>
      <c r="BU655" s="172"/>
      <c r="BV655" s="172"/>
      <c r="BW655" s="172"/>
      <c r="BX655" s="172"/>
      <c r="BY655" s="174"/>
      <c r="BZ655" s="172"/>
      <c r="CA655" s="172"/>
      <c r="CD655" s="194"/>
      <c r="CE655" s="194"/>
      <c r="CF655" s="194"/>
      <c r="CG655" s="194"/>
      <c r="CH655" s="195"/>
      <c r="CI655" s="194"/>
      <c r="CJ655" s="194"/>
      <c r="CK655" s="194"/>
      <c r="CL655" s="196"/>
      <c r="CM655" s="196"/>
      <c r="CN655" s="194"/>
      <c r="CO655" s="197"/>
      <c r="CP655" s="196"/>
      <c r="CQ655" s="196"/>
      <c r="CR655" s="196"/>
      <c r="CS655" s="196"/>
      <c r="CT655" s="196"/>
      <c r="CU655" s="196"/>
      <c r="CV655" s="194"/>
      <c r="CW655" s="194"/>
      <c r="CX655" s="194"/>
      <c r="CY655" s="194"/>
      <c r="CZ655" s="194"/>
      <c r="DA655" s="194"/>
      <c r="DB655" s="194"/>
      <c r="DC655" s="194"/>
      <c r="DD655" s="194"/>
      <c r="DE655" s="194"/>
      <c r="DF655" s="196"/>
      <c r="DG655" s="198"/>
      <c r="DH655" s="194"/>
      <c r="DI655" s="194"/>
    </row>
    <row r="656" spans="1:113" s="24" customFormat="1" hidden="1" x14ac:dyDescent="0.3">
      <c r="A656" s="172"/>
      <c r="B656" s="172"/>
      <c r="C656" s="172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  <c r="AE656" s="173"/>
      <c r="AF656" s="173"/>
      <c r="AG656" s="173"/>
      <c r="AH656" s="173"/>
      <c r="AI656" s="173"/>
      <c r="AJ656" s="173"/>
      <c r="AK656" s="173"/>
      <c r="AL656" s="173"/>
      <c r="AM656" s="173"/>
      <c r="AN656" s="173"/>
      <c r="AO656" s="173"/>
      <c r="AP656" s="173"/>
      <c r="AQ656" s="173"/>
      <c r="AR656" s="173"/>
      <c r="AS656" s="172"/>
      <c r="AT656" s="172"/>
      <c r="AU656" s="172"/>
      <c r="AV656" s="172"/>
      <c r="AW656" s="172"/>
      <c r="AX656" s="172"/>
      <c r="AY656" s="172"/>
      <c r="AZ656" s="172"/>
      <c r="BA656" s="172"/>
      <c r="BB656" s="172"/>
      <c r="BC656" s="172"/>
      <c r="BD656" s="172"/>
      <c r="BE656" s="172"/>
      <c r="BF656" s="172"/>
      <c r="BG656" s="172"/>
      <c r="BH656" s="172"/>
      <c r="BI656" s="172"/>
      <c r="BJ656" s="172"/>
      <c r="BK656" s="172"/>
      <c r="BL656" s="172"/>
      <c r="BM656" s="172"/>
      <c r="BN656" s="172"/>
      <c r="BO656" s="172"/>
      <c r="BP656" s="172"/>
      <c r="BQ656" s="172"/>
      <c r="BR656" s="172"/>
      <c r="BS656" s="172"/>
      <c r="BT656" s="172"/>
      <c r="BU656" s="172"/>
      <c r="BV656" s="172"/>
      <c r="BW656" s="172"/>
      <c r="BX656" s="172"/>
      <c r="BY656" s="174"/>
      <c r="BZ656" s="172"/>
      <c r="CA656" s="172"/>
      <c r="CD656" s="194"/>
      <c r="CE656" s="194"/>
      <c r="CF656" s="194"/>
      <c r="CG656" s="194"/>
      <c r="CH656" s="195"/>
      <c r="CI656" s="194"/>
      <c r="CJ656" s="194"/>
      <c r="CK656" s="194"/>
      <c r="CL656" s="196"/>
      <c r="CM656" s="196"/>
      <c r="CN656" s="194"/>
      <c r="CO656" s="197"/>
      <c r="CP656" s="196"/>
      <c r="CQ656" s="196"/>
      <c r="CR656" s="196"/>
      <c r="CS656" s="196"/>
      <c r="CT656" s="196"/>
      <c r="CU656" s="196"/>
      <c r="CV656" s="194"/>
      <c r="CW656" s="194"/>
      <c r="CX656" s="194"/>
      <c r="CY656" s="194"/>
      <c r="CZ656" s="194"/>
      <c r="DA656" s="194"/>
      <c r="DB656" s="194"/>
      <c r="DC656" s="194"/>
      <c r="DD656" s="194"/>
      <c r="DE656" s="194"/>
      <c r="DF656" s="196"/>
      <c r="DG656" s="198"/>
      <c r="DH656" s="194"/>
      <c r="DI656" s="194"/>
    </row>
    <row r="657" spans="1:113" s="24" customFormat="1" hidden="1" x14ac:dyDescent="0.3">
      <c r="A657" s="172"/>
      <c r="B657" s="172"/>
      <c r="C657" s="172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  <c r="AE657" s="173"/>
      <c r="AF657" s="173"/>
      <c r="AG657" s="173"/>
      <c r="AH657" s="173"/>
      <c r="AI657" s="173"/>
      <c r="AJ657" s="173"/>
      <c r="AK657" s="173"/>
      <c r="AL657" s="173"/>
      <c r="AM657" s="173"/>
      <c r="AN657" s="173"/>
      <c r="AO657" s="173"/>
      <c r="AP657" s="173"/>
      <c r="AQ657" s="173"/>
      <c r="AR657" s="173"/>
      <c r="AS657" s="172"/>
      <c r="AT657" s="172"/>
      <c r="AU657" s="172"/>
      <c r="AV657" s="172"/>
      <c r="AW657" s="172"/>
      <c r="AX657" s="172"/>
      <c r="AY657" s="172"/>
      <c r="AZ657" s="172"/>
      <c r="BA657" s="172"/>
      <c r="BB657" s="172"/>
      <c r="BC657" s="172"/>
      <c r="BD657" s="172"/>
      <c r="BE657" s="172"/>
      <c r="BF657" s="172"/>
      <c r="BG657" s="172"/>
      <c r="BH657" s="172"/>
      <c r="BI657" s="172"/>
      <c r="BJ657" s="172"/>
      <c r="BK657" s="172"/>
      <c r="BL657" s="172"/>
      <c r="BM657" s="172"/>
      <c r="BN657" s="172"/>
      <c r="BO657" s="172"/>
      <c r="BP657" s="172"/>
      <c r="BQ657" s="172"/>
      <c r="BR657" s="172"/>
      <c r="BS657" s="172"/>
      <c r="BT657" s="172"/>
      <c r="BU657" s="172"/>
      <c r="BV657" s="172"/>
      <c r="BW657" s="172"/>
      <c r="BX657" s="172"/>
      <c r="BY657" s="174"/>
      <c r="BZ657" s="172"/>
      <c r="CA657" s="172"/>
      <c r="CD657" s="194"/>
      <c r="CE657" s="194"/>
      <c r="CF657" s="194"/>
      <c r="CG657" s="194"/>
      <c r="CH657" s="195"/>
      <c r="CI657" s="194"/>
      <c r="CJ657" s="194"/>
      <c r="CK657" s="194"/>
      <c r="CL657" s="196"/>
      <c r="CM657" s="196"/>
      <c r="CN657" s="194"/>
      <c r="CO657" s="197"/>
      <c r="CP657" s="196"/>
      <c r="CQ657" s="196"/>
      <c r="CR657" s="196"/>
      <c r="CS657" s="196"/>
      <c r="CT657" s="196"/>
      <c r="CU657" s="196"/>
      <c r="CV657" s="194"/>
      <c r="CW657" s="194"/>
      <c r="CX657" s="194"/>
      <c r="CY657" s="194"/>
      <c r="CZ657" s="194"/>
      <c r="DA657" s="194"/>
      <c r="DB657" s="194"/>
      <c r="DC657" s="194"/>
      <c r="DD657" s="194"/>
      <c r="DE657" s="194"/>
      <c r="DF657" s="196"/>
      <c r="DG657" s="198"/>
      <c r="DH657" s="194"/>
      <c r="DI657" s="194"/>
    </row>
    <row r="658" spans="1:113" s="24" customFormat="1" hidden="1" x14ac:dyDescent="0.3">
      <c r="A658" s="172"/>
      <c r="B658" s="172"/>
      <c r="C658" s="172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  <c r="AE658" s="173"/>
      <c r="AF658" s="173"/>
      <c r="AG658" s="173"/>
      <c r="AH658" s="173"/>
      <c r="AI658" s="173"/>
      <c r="AJ658" s="173"/>
      <c r="AK658" s="173"/>
      <c r="AL658" s="173"/>
      <c r="AM658" s="173"/>
      <c r="AN658" s="173"/>
      <c r="AO658" s="173"/>
      <c r="AP658" s="173"/>
      <c r="AQ658" s="173"/>
      <c r="AR658" s="173"/>
      <c r="AS658" s="172"/>
      <c r="AT658" s="172"/>
      <c r="AU658" s="172"/>
      <c r="AV658" s="172"/>
      <c r="AW658" s="172"/>
      <c r="AX658" s="172"/>
      <c r="AY658" s="172"/>
      <c r="AZ658" s="172"/>
      <c r="BA658" s="172"/>
      <c r="BB658" s="172"/>
      <c r="BC658" s="172"/>
      <c r="BD658" s="172"/>
      <c r="BE658" s="172"/>
      <c r="BF658" s="172"/>
      <c r="BG658" s="172"/>
      <c r="BH658" s="172"/>
      <c r="BI658" s="172"/>
      <c r="BJ658" s="172"/>
      <c r="BK658" s="172"/>
      <c r="BL658" s="172"/>
      <c r="BM658" s="172"/>
      <c r="BN658" s="172"/>
      <c r="BO658" s="172"/>
      <c r="BP658" s="172"/>
      <c r="BQ658" s="172"/>
      <c r="BR658" s="172"/>
      <c r="BS658" s="172"/>
      <c r="BT658" s="172"/>
      <c r="BU658" s="172"/>
      <c r="BV658" s="172"/>
      <c r="BW658" s="172"/>
      <c r="BX658" s="172"/>
      <c r="BY658" s="174"/>
      <c r="BZ658" s="172"/>
      <c r="CA658" s="172"/>
      <c r="CD658" s="194"/>
      <c r="CE658" s="194"/>
      <c r="CF658" s="194"/>
      <c r="CG658" s="194"/>
      <c r="CH658" s="195"/>
      <c r="CI658" s="194"/>
      <c r="CJ658" s="194"/>
      <c r="CK658" s="194"/>
      <c r="CL658" s="196"/>
      <c r="CM658" s="196"/>
      <c r="CN658" s="194"/>
      <c r="CO658" s="197"/>
      <c r="CP658" s="196"/>
      <c r="CQ658" s="196"/>
      <c r="CR658" s="196"/>
      <c r="CS658" s="196"/>
      <c r="CT658" s="196"/>
      <c r="CU658" s="196"/>
      <c r="CV658" s="194"/>
      <c r="CW658" s="194"/>
      <c r="CX658" s="194"/>
      <c r="CY658" s="194"/>
      <c r="CZ658" s="194"/>
      <c r="DA658" s="194"/>
      <c r="DB658" s="194"/>
      <c r="DC658" s="194"/>
      <c r="DD658" s="194"/>
      <c r="DE658" s="194"/>
      <c r="DF658" s="196"/>
      <c r="DG658" s="198"/>
      <c r="DH658" s="194"/>
      <c r="DI658" s="194"/>
    </row>
    <row r="659" spans="1:113" s="24" customFormat="1" hidden="1" x14ac:dyDescent="0.3">
      <c r="A659" s="172"/>
      <c r="B659" s="172"/>
      <c r="C659" s="172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  <c r="AE659" s="173"/>
      <c r="AF659" s="173"/>
      <c r="AG659" s="173"/>
      <c r="AH659" s="173"/>
      <c r="AI659" s="173"/>
      <c r="AJ659" s="173"/>
      <c r="AK659" s="173"/>
      <c r="AL659" s="173"/>
      <c r="AM659" s="173"/>
      <c r="AN659" s="173"/>
      <c r="AO659" s="173"/>
      <c r="AP659" s="173"/>
      <c r="AQ659" s="173"/>
      <c r="AR659" s="173"/>
      <c r="AS659" s="172"/>
      <c r="AT659" s="172"/>
      <c r="AU659" s="172"/>
      <c r="AV659" s="172"/>
      <c r="AW659" s="172"/>
      <c r="AX659" s="172"/>
      <c r="AY659" s="172"/>
      <c r="AZ659" s="172"/>
      <c r="BA659" s="172"/>
      <c r="BB659" s="172"/>
      <c r="BC659" s="172"/>
      <c r="BD659" s="172"/>
      <c r="BE659" s="172"/>
      <c r="BF659" s="172"/>
      <c r="BG659" s="172"/>
      <c r="BH659" s="172"/>
      <c r="BI659" s="172"/>
      <c r="BJ659" s="172"/>
      <c r="BK659" s="172"/>
      <c r="BL659" s="172"/>
      <c r="BM659" s="172"/>
      <c r="BN659" s="172"/>
      <c r="BO659" s="172"/>
      <c r="BP659" s="172"/>
      <c r="BQ659" s="172"/>
      <c r="BR659" s="172"/>
      <c r="BS659" s="172"/>
      <c r="BT659" s="172"/>
      <c r="BU659" s="172"/>
      <c r="BV659" s="172"/>
      <c r="BW659" s="172"/>
      <c r="BX659" s="172"/>
      <c r="BY659" s="174"/>
      <c r="BZ659" s="172"/>
      <c r="CA659" s="172"/>
      <c r="CD659" s="194"/>
      <c r="CE659" s="194"/>
      <c r="CF659" s="194"/>
      <c r="CG659" s="194"/>
      <c r="CH659" s="195"/>
      <c r="CI659" s="194"/>
      <c r="CJ659" s="194"/>
      <c r="CK659" s="194"/>
      <c r="CL659" s="196"/>
      <c r="CM659" s="196"/>
      <c r="CN659" s="194"/>
      <c r="CO659" s="197"/>
      <c r="CP659" s="196"/>
      <c r="CQ659" s="196"/>
      <c r="CR659" s="196"/>
      <c r="CS659" s="196"/>
      <c r="CT659" s="196"/>
      <c r="CU659" s="196"/>
      <c r="CV659" s="194"/>
      <c r="CW659" s="194"/>
      <c r="CX659" s="194"/>
      <c r="CY659" s="194"/>
      <c r="CZ659" s="194"/>
      <c r="DA659" s="194"/>
      <c r="DB659" s="194"/>
      <c r="DC659" s="194"/>
      <c r="DD659" s="194"/>
      <c r="DE659" s="194"/>
      <c r="DF659" s="196"/>
      <c r="DG659" s="198"/>
      <c r="DH659" s="194"/>
      <c r="DI659" s="194"/>
    </row>
    <row r="660" spans="1:113" s="24" customFormat="1" hidden="1" x14ac:dyDescent="0.3">
      <c r="A660" s="172"/>
      <c r="B660" s="172"/>
      <c r="C660" s="172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  <c r="AE660" s="173"/>
      <c r="AF660" s="173"/>
      <c r="AG660" s="173"/>
      <c r="AH660" s="173"/>
      <c r="AI660" s="173"/>
      <c r="AJ660" s="173"/>
      <c r="AK660" s="173"/>
      <c r="AL660" s="173"/>
      <c r="AM660" s="173"/>
      <c r="AN660" s="173"/>
      <c r="AO660" s="173"/>
      <c r="AP660" s="173"/>
      <c r="AQ660" s="173"/>
      <c r="AR660" s="173"/>
      <c r="AS660" s="172"/>
      <c r="AT660" s="172"/>
      <c r="AU660" s="172"/>
      <c r="AV660" s="172"/>
      <c r="AW660" s="172"/>
      <c r="AX660" s="172"/>
      <c r="AY660" s="172"/>
      <c r="AZ660" s="172"/>
      <c r="BA660" s="172"/>
      <c r="BB660" s="172"/>
      <c r="BC660" s="172"/>
      <c r="BD660" s="172"/>
      <c r="BE660" s="172"/>
      <c r="BF660" s="172"/>
      <c r="BG660" s="172"/>
      <c r="BH660" s="172"/>
      <c r="BI660" s="172"/>
      <c r="BJ660" s="172"/>
      <c r="BK660" s="172"/>
      <c r="BL660" s="172"/>
      <c r="BM660" s="172"/>
      <c r="BN660" s="172"/>
      <c r="BO660" s="172"/>
      <c r="BP660" s="172"/>
      <c r="BQ660" s="172"/>
      <c r="BR660" s="172"/>
      <c r="BS660" s="172"/>
      <c r="BT660" s="172"/>
      <c r="BU660" s="172"/>
      <c r="BV660" s="172"/>
      <c r="BW660" s="172"/>
      <c r="BX660" s="172"/>
      <c r="BY660" s="174"/>
      <c r="BZ660" s="172"/>
      <c r="CA660" s="172"/>
      <c r="CD660" s="194"/>
      <c r="CE660" s="194"/>
      <c r="CF660" s="194"/>
      <c r="CG660" s="194"/>
      <c r="CH660" s="195"/>
      <c r="CI660" s="194"/>
      <c r="CJ660" s="194"/>
      <c r="CK660" s="194"/>
      <c r="CL660" s="196"/>
      <c r="CM660" s="196"/>
      <c r="CN660" s="194"/>
      <c r="CO660" s="197"/>
      <c r="CP660" s="196"/>
      <c r="CQ660" s="196"/>
      <c r="CR660" s="196"/>
      <c r="CS660" s="196"/>
      <c r="CT660" s="196"/>
      <c r="CU660" s="196"/>
      <c r="CV660" s="194"/>
      <c r="CW660" s="194"/>
      <c r="CX660" s="194"/>
      <c r="CY660" s="194"/>
      <c r="CZ660" s="194"/>
      <c r="DA660" s="194"/>
      <c r="DB660" s="194"/>
      <c r="DC660" s="194"/>
      <c r="DD660" s="194"/>
      <c r="DE660" s="194"/>
      <c r="DF660" s="196"/>
      <c r="DG660" s="198"/>
      <c r="DH660" s="194"/>
      <c r="DI660" s="194"/>
    </row>
    <row r="661" spans="1:113" s="24" customFormat="1" hidden="1" x14ac:dyDescent="0.3">
      <c r="A661" s="172"/>
      <c r="B661" s="172"/>
      <c r="C661" s="172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  <c r="AE661" s="173"/>
      <c r="AF661" s="173"/>
      <c r="AG661" s="173"/>
      <c r="AH661" s="173"/>
      <c r="AI661" s="173"/>
      <c r="AJ661" s="173"/>
      <c r="AK661" s="173"/>
      <c r="AL661" s="173"/>
      <c r="AM661" s="173"/>
      <c r="AN661" s="173"/>
      <c r="AO661" s="173"/>
      <c r="AP661" s="173"/>
      <c r="AQ661" s="173"/>
      <c r="AR661" s="173"/>
      <c r="AS661" s="172"/>
      <c r="AT661" s="172"/>
      <c r="AU661" s="172"/>
      <c r="AV661" s="172"/>
      <c r="AW661" s="172"/>
      <c r="AX661" s="172"/>
      <c r="AY661" s="172"/>
      <c r="AZ661" s="172"/>
      <c r="BA661" s="172"/>
      <c r="BB661" s="172"/>
      <c r="BC661" s="172"/>
      <c r="BD661" s="172"/>
      <c r="BE661" s="172"/>
      <c r="BF661" s="172"/>
      <c r="BG661" s="172"/>
      <c r="BH661" s="172"/>
      <c r="BI661" s="172"/>
      <c r="BJ661" s="172"/>
      <c r="BK661" s="172"/>
      <c r="BL661" s="172"/>
      <c r="BM661" s="172"/>
      <c r="BN661" s="172"/>
      <c r="BO661" s="172"/>
      <c r="BP661" s="172"/>
      <c r="BQ661" s="172"/>
      <c r="BR661" s="172"/>
      <c r="BS661" s="172"/>
      <c r="BT661" s="172"/>
      <c r="BU661" s="172"/>
      <c r="BV661" s="172"/>
      <c r="BW661" s="172"/>
      <c r="BX661" s="172"/>
      <c r="BY661" s="174"/>
      <c r="BZ661" s="172"/>
      <c r="CA661" s="172"/>
      <c r="CD661" s="194"/>
      <c r="CE661" s="194"/>
      <c r="CF661" s="194"/>
      <c r="CG661" s="194"/>
      <c r="CH661" s="195"/>
      <c r="CI661" s="194"/>
      <c r="CJ661" s="194"/>
      <c r="CK661" s="194"/>
      <c r="CL661" s="196"/>
      <c r="CM661" s="196"/>
      <c r="CN661" s="194"/>
      <c r="CO661" s="197"/>
      <c r="CP661" s="196"/>
      <c r="CQ661" s="196"/>
      <c r="CR661" s="196"/>
      <c r="CS661" s="196"/>
      <c r="CT661" s="196"/>
      <c r="CU661" s="196"/>
      <c r="CV661" s="194"/>
      <c r="CW661" s="194"/>
      <c r="CX661" s="194"/>
      <c r="CY661" s="194"/>
      <c r="CZ661" s="194"/>
      <c r="DA661" s="194"/>
      <c r="DB661" s="194"/>
      <c r="DC661" s="194"/>
      <c r="DD661" s="194"/>
      <c r="DE661" s="194"/>
      <c r="DF661" s="196"/>
      <c r="DG661" s="198"/>
      <c r="DH661" s="194"/>
      <c r="DI661" s="194"/>
    </row>
    <row r="662" spans="1:113" s="24" customFormat="1" hidden="1" x14ac:dyDescent="0.3">
      <c r="A662" s="172"/>
      <c r="B662" s="172"/>
      <c r="C662" s="172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  <c r="AE662" s="173"/>
      <c r="AF662" s="173"/>
      <c r="AG662" s="173"/>
      <c r="AH662" s="173"/>
      <c r="AI662" s="173"/>
      <c r="AJ662" s="173"/>
      <c r="AK662" s="173"/>
      <c r="AL662" s="173"/>
      <c r="AM662" s="173"/>
      <c r="AN662" s="173"/>
      <c r="AO662" s="173"/>
      <c r="AP662" s="173"/>
      <c r="AQ662" s="173"/>
      <c r="AR662" s="173"/>
      <c r="AS662" s="172"/>
      <c r="AT662" s="172"/>
      <c r="AU662" s="172"/>
      <c r="AV662" s="172"/>
      <c r="AW662" s="172"/>
      <c r="AX662" s="172"/>
      <c r="AY662" s="172"/>
      <c r="AZ662" s="172"/>
      <c r="BA662" s="172"/>
      <c r="BB662" s="172"/>
      <c r="BC662" s="172"/>
      <c r="BD662" s="172"/>
      <c r="BE662" s="172"/>
      <c r="BF662" s="172"/>
      <c r="BG662" s="172"/>
      <c r="BH662" s="172"/>
      <c r="BI662" s="172"/>
      <c r="BJ662" s="172"/>
      <c r="BK662" s="172"/>
      <c r="BL662" s="172"/>
      <c r="BM662" s="172"/>
      <c r="BN662" s="172"/>
      <c r="BO662" s="172"/>
      <c r="BP662" s="172"/>
      <c r="BQ662" s="172"/>
      <c r="BR662" s="172"/>
      <c r="BS662" s="172"/>
      <c r="BT662" s="172"/>
      <c r="BU662" s="172"/>
      <c r="BV662" s="172"/>
      <c r="BW662" s="172"/>
      <c r="BX662" s="172"/>
      <c r="BY662" s="174"/>
      <c r="BZ662" s="172"/>
      <c r="CA662" s="172"/>
      <c r="CD662" s="194"/>
      <c r="CE662" s="194"/>
      <c r="CF662" s="194"/>
      <c r="CG662" s="194"/>
      <c r="CH662" s="195"/>
      <c r="CI662" s="194"/>
      <c r="CJ662" s="194"/>
      <c r="CK662" s="194"/>
      <c r="CL662" s="196"/>
      <c r="CM662" s="196"/>
      <c r="CN662" s="194"/>
      <c r="CO662" s="197"/>
      <c r="CP662" s="196"/>
      <c r="CQ662" s="196"/>
      <c r="CR662" s="196"/>
      <c r="CS662" s="196"/>
      <c r="CT662" s="196"/>
      <c r="CU662" s="196"/>
      <c r="CV662" s="194"/>
      <c r="CW662" s="194"/>
      <c r="CX662" s="194"/>
      <c r="CY662" s="194"/>
      <c r="CZ662" s="194"/>
      <c r="DA662" s="194"/>
      <c r="DB662" s="194"/>
      <c r="DC662" s="194"/>
      <c r="DD662" s="194"/>
      <c r="DE662" s="194"/>
      <c r="DF662" s="196"/>
      <c r="DG662" s="198"/>
      <c r="DH662" s="194"/>
      <c r="DI662" s="194"/>
    </row>
    <row r="663" spans="1:113" s="24" customFormat="1" hidden="1" x14ac:dyDescent="0.3">
      <c r="A663" s="172"/>
      <c r="B663" s="172"/>
      <c r="C663" s="172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  <c r="AE663" s="173"/>
      <c r="AF663" s="173"/>
      <c r="AG663" s="173"/>
      <c r="AH663" s="173"/>
      <c r="AI663" s="173"/>
      <c r="AJ663" s="173"/>
      <c r="AK663" s="173"/>
      <c r="AL663" s="173"/>
      <c r="AM663" s="173"/>
      <c r="AN663" s="173"/>
      <c r="AO663" s="173"/>
      <c r="AP663" s="173"/>
      <c r="AQ663" s="173"/>
      <c r="AR663" s="173"/>
      <c r="AS663" s="172"/>
      <c r="AT663" s="172"/>
      <c r="AU663" s="172"/>
      <c r="AV663" s="172"/>
      <c r="AW663" s="172"/>
      <c r="AX663" s="172"/>
      <c r="AY663" s="172"/>
      <c r="AZ663" s="172"/>
      <c r="BA663" s="172"/>
      <c r="BB663" s="172"/>
      <c r="BC663" s="172"/>
      <c r="BD663" s="172"/>
      <c r="BE663" s="172"/>
      <c r="BF663" s="172"/>
      <c r="BG663" s="172"/>
      <c r="BH663" s="172"/>
      <c r="BI663" s="172"/>
      <c r="BJ663" s="172"/>
      <c r="BK663" s="172"/>
      <c r="BL663" s="172"/>
      <c r="BM663" s="172"/>
      <c r="BN663" s="172"/>
      <c r="BO663" s="172"/>
      <c r="BP663" s="172"/>
      <c r="BQ663" s="172"/>
      <c r="BR663" s="172"/>
      <c r="BS663" s="172"/>
      <c r="BT663" s="172"/>
      <c r="BU663" s="172"/>
      <c r="BV663" s="172"/>
      <c r="BW663" s="172"/>
      <c r="BX663" s="172"/>
      <c r="BY663" s="174"/>
      <c r="BZ663" s="172"/>
      <c r="CA663" s="172"/>
      <c r="CD663" s="194"/>
      <c r="CE663" s="194"/>
      <c r="CF663" s="194"/>
      <c r="CG663" s="194"/>
      <c r="CH663" s="195"/>
      <c r="CI663" s="194"/>
      <c r="CJ663" s="194"/>
      <c r="CK663" s="194"/>
      <c r="CL663" s="196"/>
      <c r="CM663" s="196"/>
      <c r="CN663" s="194"/>
      <c r="CO663" s="197"/>
      <c r="CP663" s="196"/>
      <c r="CQ663" s="196"/>
      <c r="CR663" s="196"/>
      <c r="CS663" s="196"/>
      <c r="CT663" s="196"/>
      <c r="CU663" s="196"/>
      <c r="CV663" s="194"/>
      <c r="CW663" s="194"/>
      <c r="CX663" s="194"/>
      <c r="CY663" s="194"/>
      <c r="CZ663" s="194"/>
      <c r="DA663" s="194"/>
      <c r="DB663" s="194"/>
      <c r="DC663" s="194"/>
      <c r="DD663" s="194"/>
      <c r="DE663" s="194"/>
      <c r="DF663" s="196"/>
      <c r="DG663" s="198"/>
      <c r="DH663" s="194"/>
      <c r="DI663" s="194"/>
    </row>
    <row r="664" spans="1:113" s="24" customFormat="1" hidden="1" x14ac:dyDescent="0.3">
      <c r="A664" s="172"/>
      <c r="B664" s="172"/>
      <c r="C664" s="172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  <c r="AE664" s="173"/>
      <c r="AF664" s="173"/>
      <c r="AG664" s="173"/>
      <c r="AH664" s="173"/>
      <c r="AI664" s="173"/>
      <c r="AJ664" s="173"/>
      <c r="AK664" s="173"/>
      <c r="AL664" s="173"/>
      <c r="AM664" s="173"/>
      <c r="AN664" s="173"/>
      <c r="AO664" s="173"/>
      <c r="AP664" s="173"/>
      <c r="AQ664" s="173"/>
      <c r="AR664" s="173"/>
      <c r="AS664" s="172"/>
      <c r="AT664" s="172"/>
      <c r="AU664" s="172"/>
      <c r="AV664" s="172"/>
      <c r="AW664" s="172"/>
      <c r="AX664" s="172"/>
      <c r="AY664" s="172"/>
      <c r="AZ664" s="172"/>
      <c r="BA664" s="172"/>
      <c r="BB664" s="172"/>
      <c r="BC664" s="172"/>
      <c r="BD664" s="172"/>
      <c r="BE664" s="172"/>
      <c r="BF664" s="172"/>
      <c r="BG664" s="172"/>
      <c r="BH664" s="172"/>
      <c r="BI664" s="172"/>
      <c r="BJ664" s="172"/>
      <c r="BK664" s="172"/>
      <c r="BL664" s="172"/>
      <c r="BM664" s="172"/>
      <c r="BN664" s="172"/>
      <c r="BO664" s="172"/>
      <c r="BP664" s="172"/>
      <c r="BQ664" s="172"/>
      <c r="BR664" s="172"/>
      <c r="BS664" s="172"/>
      <c r="BT664" s="172"/>
      <c r="BU664" s="172"/>
      <c r="BV664" s="172"/>
      <c r="BW664" s="172"/>
      <c r="BX664" s="172"/>
      <c r="BY664" s="174"/>
      <c r="BZ664" s="172"/>
      <c r="CA664" s="172"/>
      <c r="CD664" s="194"/>
      <c r="CE664" s="194"/>
      <c r="CF664" s="194"/>
      <c r="CG664" s="194"/>
      <c r="CH664" s="195"/>
      <c r="CI664" s="194"/>
      <c r="CJ664" s="194"/>
      <c r="CK664" s="194"/>
      <c r="CL664" s="196"/>
      <c r="CM664" s="196"/>
      <c r="CN664" s="194"/>
      <c r="CO664" s="197"/>
      <c r="CP664" s="196"/>
      <c r="CQ664" s="196"/>
      <c r="CR664" s="196"/>
      <c r="CS664" s="196"/>
      <c r="CT664" s="196"/>
      <c r="CU664" s="196"/>
      <c r="CV664" s="194"/>
      <c r="CW664" s="194"/>
      <c r="CX664" s="194"/>
      <c r="CY664" s="194"/>
      <c r="CZ664" s="194"/>
      <c r="DA664" s="194"/>
      <c r="DB664" s="194"/>
      <c r="DC664" s="194"/>
      <c r="DD664" s="194"/>
      <c r="DE664" s="194"/>
      <c r="DF664" s="196"/>
      <c r="DG664" s="198"/>
      <c r="DH664" s="194"/>
      <c r="DI664" s="194"/>
    </row>
    <row r="665" spans="1:113" s="24" customFormat="1" hidden="1" x14ac:dyDescent="0.3">
      <c r="A665" s="172"/>
      <c r="B665" s="172"/>
      <c r="C665" s="172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  <c r="AE665" s="173"/>
      <c r="AF665" s="173"/>
      <c r="AG665" s="173"/>
      <c r="AH665" s="173"/>
      <c r="AI665" s="173"/>
      <c r="AJ665" s="173"/>
      <c r="AK665" s="173"/>
      <c r="AL665" s="173"/>
      <c r="AM665" s="173"/>
      <c r="AN665" s="173"/>
      <c r="AO665" s="173"/>
      <c r="AP665" s="173"/>
      <c r="AQ665" s="173"/>
      <c r="AR665" s="173"/>
      <c r="AS665" s="172"/>
      <c r="AT665" s="172"/>
      <c r="AU665" s="172"/>
      <c r="AV665" s="172"/>
      <c r="AW665" s="172"/>
      <c r="AX665" s="172"/>
      <c r="AY665" s="172"/>
      <c r="AZ665" s="172"/>
      <c r="BA665" s="172"/>
      <c r="BB665" s="172"/>
      <c r="BC665" s="172"/>
      <c r="BD665" s="172"/>
      <c r="BE665" s="172"/>
      <c r="BF665" s="172"/>
      <c r="BG665" s="172"/>
      <c r="BH665" s="172"/>
      <c r="BI665" s="172"/>
      <c r="BJ665" s="172"/>
      <c r="BK665" s="172"/>
      <c r="BL665" s="172"/>
      <c r="BM665" s="172"/>
      <c r="BN665" s="172"/>
      <c r="BO665" s="172"/>
      <c r="BP665" s="172"/>
      <c r="BQ665" s="172"/>
      <c r="BR665" s="172"/>
      <c r="BS665" s="172"/>
      <c r="BT665" s="172"/>
      <c r="BU665" s="172"/>
      <c r="BV665" s="172"/>
      <c r="BW665" s="172"/>
      <c r="BX665" s="172"/>
      <c r="BY665" s="174"/>
      <c r="BZ665" s="172"/>
      <c r="CA665" s="172"/>
      <c r="CD665" s="194"/>
      <c r="CE665" s="194"/>
      <c r="CF665" s="194"/>
      <c r="CG665" s="194"/>
      <c r="CH665" s="195"/>
      <c r="CI665" s="194"/>
      <c r="CJ665" s="194"/>
      <c r="CK665" s="194"/>
      <c r="CL665" s="196"/>
      <c r="CM665" s="196"/>
      <c r="CN665" s="194"/>
      <c r="CO665" s="197"/>
      <c r="CP665" s="196"/>
      <c r="CQ665" s="196"/>
      <c r="CR665" s="196"/>
      <c r="CS665" s="196"/>
      <c r="CT665" s="196"/>
      <c r="CU665" s="196"/>
      <c r="CV665" s="194"/>
      <c r="CW665" s="194"/>
      <c r="CX665" s="194"/>
      <c r="CY665" s="194"/>
      <c r="CZ665" s="194"/>
      <c r="DA665" s="194"/>
      <c r="DB665" s="194"/>
      <c r="DC665" s="194"/>
      <c r="DD665" s="194"/>
      <c r="DE665" s="194"/>
      <c r="DF665" s="196"/>
      <c r="DG665" s="198"/>
      <c r="DH665" s="194"/>
      <c r="DI665" s="194"/>
    </row>
    <row r="666" spans="1:113" s="24" customFormat="1" hidden="1" x14ac:dyDescent="0.3">
      <c r="A666" s="172"/>
      <c r="B666" s="172"/>
      <c r="C666" s="172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  <c r="AE666" s="173"/>
      <c r="AF666" s="173"/>
      <c r="AG666" s="173"/>
      <c r="AH666" s="173"/>
      <c r="AI666" s="173"/>
      <c r="AJ666" s="173"/>
      <c r="AK666" s="173"/>
      <c r="AL666" s="173"/>
      <c r="AM666" s="173"/>
      <c r="AN666" s="173"/>
      <c r="AO666" s="173"/>
      <c r="AP666" s="173"/>
      <c r="AQ666" s="173"/>
      <c r="AR666" s="173"/>
      <c r="AS666" s="172"/>
      <c r="AT666" s="172"/>
      <c r="AU666" s="172"/>
      <c r="AV666" s="172"/>
      <c r="AW666" s="172"/>
      <c r="AX666" s="172"/>
      <c r="AY666" s="172"/>
      <c r="AZ666" s="172"/>
      <c r="BA666" s="172"/>
      <c r="BB666" s="172"/>
      <c r="BC666" s="172"/>
      <c r="BD666" s="172"/>
      <c r="BE666" s="172"/>
      <c r="BF666" s="172"/>
      <c r="BG666" s="172"/>
      <c r="BH666" s="172"/>
      <c r="BI666" s="172"/>
      <c r="BJ666" s="172"/>
      <c r="BK666" s="172"/>
      <c r="BL666" s="172"/>
      <c r="BM666" s="172"/>
      <c r="BN666" s="172"/>
      <c r="BO666" s="172"/>
      <c r="BP666" s="172"/>
      <c r="BQ666" s="172"/>
      <c r="BR666" s="172"/>
      <c r="BS666" s="172"/>
      <c r="BT666" s="172"/>
      <c r="BU666" s="172"/>
      <c r="BV666" s="172"/>
      <c r="BW666" s="172"/>
      <c r="BX666" s="172"/>
      <c r="BY666" s="174"/>
      <c r="BZ666" s="172"/>
      <c r="CA666" s="172"/>
      <c r="CD666" s="194"/>
      <c r="CE666" s="194"/>
      <c r="CF666" s="194"/>
      <c r="CG666" s="194"/>
      <c r="CH666" s="195"/>
      <c r="CI666" s="194"/>
      <c r="CJ666" s="194"/>
      <c r="CK666" s="194"/>
      <c r="CL666" s="196"/>
      <c r="CM666" s="196"/>
      <c r="CN666" s="194"/>
      <c r="CO666" s="197"/>
      <c r="CP666" s="196"/>
      <c r="CQ666" s="196"/>
      <c r="CR666" s="196"/>
      <c r="CS666" s="196"/>
      <c r="CT666" s="196"/>
      <c r="CU666" s="196"/>
      <c r="CV666" s="194"/>
      <c r="CW666" s="194"/>
      <c r="CX666" s="194"/>
      <c r="CY666" s="194"/>
      <c r="CZ666" s="194"/>
      <c r="DA666" s="194"/>
      <c r="DB666" s="194"/>
      <c r="DC666" s="194"/>
      <c r="DD666" s="194"/>
      <c r="DE666" s="194"/>
      <c r="DF666" s="196"/>
      <c r="DG666" s="198"/>
      <c r="DH666" s="194"/>
      <c r="DI666" s="194"/>
    </row>
    <row r="667" spans="1:113" s="24" customFormat="1" hidden="1" x14ac:dyDescent="0.3">
      <c r="A667" s="172"/>
      <c r="B667" s="172"/>
      <c r="C667" s="172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  <c r="AE667" s="173"/>
      <c r="AF667" s="173"/>
      <c r="AG667" s="173"/>
      <c r="AH667" s="173"/>
      <c r="AI667" s="173"/>
      <c r="AJ667" s="173"/>
      <c r="AK667" s="173"/>
      <c r="AL667" s="173"/>
      <c r="AM667" s="173"/>
      <c r="AN667" s="173"/>
      <c r="AO667" s="173"/>
      <c r="AP667" s="173"/>
      <c r="AQ667" s="173"/>
      <c r="AR667" s="173"/>
      <c r="AS667" s="172"/>
      <c r="AT667" s="172"/>
      <c r="AU667" s="172"/>
      <c r="AV667" s="172"/>
      <c r="AW667" s="172"/>
      <c r="AX667" s="172"/>
      <c r="AY667" s="172"/>
      <c r="AZ667" s="172"/>
      <c r="BA667" s="172"/>
      <c r="BB667" s="172"/>
      <c r="BC667" s="172"/>
      <c r="BD667" s="172"/>
      <c r="BE667" s="172"/>
      <c r="BF667" s="172"/>
      <c r="BG667" s="172"/>
      <c r="BH667" s="172"/>
      <c r="BI667" s="172"/>
      <c r="BJ667" s="172"/>
      <c r="BK667" s="172"/>
      <c r="BL667" s="172"/>
      <c r="BM667" s="172"/>
      <c r="BN667" s="172"/>
      <c r="BO667" s="172"/>
      <c r="BP667" s="172"/>
      <c r="BQ667" s="172"/>
      <c r="BR667" s="172"/>
      <c r="BS667" s="172"/>
      <c r="BT667" s="172"/>
      <c r="BU667" s="172"/>
      <c r="BV667" s="172"/>
      <c r="BW667" s="172"/>
      <c r="BX667" s="172"/>
      <c r="BY667" s="174"/>
      <c r="BZ667" s="172"/>
      <c r="CA667" s="172"/>
      <c r="CD667" s="194"/>
      <c r="CE667" s="194"/>
      <c r="CF667" s="194"/>
      <c r="CG667" s="194"/>
      <c r="CH667" s="195"/>
      <c r="CI667" s="194"/>
      <c r="CJ667" s="194"/>
      <c r="CK667" s="194"/>
      <c r="CL667" s="196"/>
      <c r="CM667" s="196"/>
      <c r="CN667" s="194"/>
      <c r="CO667" s="197"/>
      <c r="CP667" s="196"/>
      <c r="CQ667" s="196"/>
      <c r="CR667" s="196"/>
      <c r="CS667" s="196"/>
      <c r="CT667" s="196"/>
      <c r="CU667" s="196"/>
      <c r="CV667" s="194"/>
      <c r="CW667" s="194"/>
      <c r="CX667" s="194"/>
      <c r="CY667" s="194"/>
      <c r="CZ667" s="194"/>
      <c r="DA667" s="194"/>
      <c r="DB667" s="194"/>
      <c r="DC667" s="194"/>
      <c r="DD667" s="194"/>
      <c r="DE667" s="194"/>
      <c r="DF667" s="196"/>
      <c r="DG667" s="198"/>
      <c r="DH667" s="194"/>
      <c r="DI667" s="194"/>
    </row>
    <row r="668" spans="1:113" s="24" customFormat="1" hidden="1" x14ac:dyDescent="0.3">
      <c r="A668" s="172"/>
      <c r="B668" s="172"/>
      <c r="C668" s="172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  <c r="AE668" s="173"/>
      <c r="AF668" s="173"/>
      <c r="AG668" s="173"/>
      <c r="AH668" s="173"/>
      <c r="AI668" s="173"/>
      <c r="AJ668" s="173"/>
      <c r="AK668" s="173"/>
      <c r="AL668" s="173"/>
      <c r="AM668" s="173"/>
      <c r="AN668" s="173"/>
      <c r="AO668" s="173"/>
      <c r="AP668" s="173"/>
      <c r="AQ668" s="173"/>
      <c r="AR668" s="173"/>
      <c r="AS668" s="172"/>
      <c r="AT668" s="172"/>
      <c r="AU668" s="172"/>
      <c r="AV668" s="172"/>
      <c r="AW668" s="172"/>
      <c r="AX668" s="172"/>
      <c r="AY668" s="172"/>
      <c r="AZ668" s="172"/>
      <c r="BA668" s="172"/>
      <c r="BB668" s="172"/>
      <c r="BC668" s="172"/>
      <c r="BD668" s="172"/>
      <c r="BE668" s="172"/>
      <c r="BF668" s="172"/>
      <c r="BG668" s="172"/>
      <c r="BH668" s="172"/>
      <c r="BI668" s="172"/>
      <c r="BJ668" s="172"/>
      <c r="BK668" s="172"/>
      <c r="BL668" s="172"/>
      <c r="BM668" s="172"/>
      <c r="BN668" s="172"/>
      <c r="BO668" s="172"/>
      <c r="BP668" s="172"/>
      <c r="BQ668" s="172"/>
      <c r="BR668" s="172"/>
      <c r="BS668" s="172"/>
      <c r="BT668" s="172"/>
      <c r="BU668" s="172"/>
      <c r="BV668" s="172"/>
      <c r="BW668" s="172"/>
      <c r="BX668" s="172"/>
      <c r="BY668" s="174"/>
      <c r="BZ668" s="172"/>
      <c r="CA668" s="172"/>
      <c r="CD668" s="194"/>
      <c r="CE668" s="194"/>
      <c r="CF668" s="194"/>
      <c r="CG668" s="194"/>
      <c r="CH668" s="195"/>
      <c r="CI668" s="194"/>
      <c r="CJ668" s="194"/>
      <c r="CK668" s="194"/>
      <c r="CL668" s="196"/>
      <c r="CM668" s="196"/>
      <c r="CN668" s="194"/>
      <c r="CO668" s="197"/>
      <c r="CP668" s="196"/>
      <c r="CQ668" s="196"/>
      <c r="CR668" s="196"/>
      <c r="CS668" s="196"/>
      <c r="CT668" s="196"/>
      <c r="CU668" s="196"/>
      <c r="CV668" s="194"/>
      <c r="CW668" s="194"/>
      <c r="CX668" s="194"/>
      <c r="CY668" s="194"/>
      <c r="CZ668" s="194"/>
      <c r="DA668" s="194"/>
      <c r="DB668" s="194"/>
      <c r="DC668" s="194"/>
      <c r="DD668" s="194"/>
      <c r="DE668" s="194"/>
      <c r="DF668" s="196"/>
      <c r="DG668" s="198"/>
      <c r="DH668" s="194"/>
      <c r="DI668" s="194"/>
    </row>
    <row r="669" spans="1:113" s="24" customFormat="1" hidden="1" x14ac:dyDescent="0.3">
      <c r="A669" s="172"/>
      <c r="B669" s="172"/>
      <c r="C669" s="172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  <c r="AE669" s="173"/>
      <c r="AF669" s="173"/>
      <c r="AG669" s="173"/>
      <c r="AH669" s="173"/>
      <c r="AI669" s="173"/>
      <c r="AJ669" s="173"/>
      <c r="AK669" s="173"/>
      <c r="AL669" s="173"/>
      <c r="AM669" s="173"/>
      <c r="AN669" s="173"/>
      <c r="AO669" s="173"/>
      <c r="AP669" s="173"/>
      <c r="AQ669" s="173"/>
      <c r="AR669" s="173"/>
      <c r="AS669" s="172"/>
      <c r="AT669" s="172"/>
      <c r="AU669" s="172"/>
      <c r="AV669" s="172"/>
      <c r="AW669" s="172"/>
      <c r="AX669" s="172"/>
      <c r="AY669" s="172"/>
      <c r="AZ669" s="172"/>
      <c r="BA669" s="172"/>
      <c r="BB669" s="172"/>
      <c r="BC669" s="172"/>
      <c r="BD669" s="172"/>
      <c r="BE669" s="172"/>
      <c r="BF669" s="172"/>
      <c r="BG669" s="172"/>
      <c r="BH669" s="172"/>
      <c r="BI669" s="172"/>
      <c r="BJ669" s="172"/>
      <c r="BK669" s="172"/>
      <c r="BL669" s="172"/>
      <c r="BM669" s="172"/>
      <c r="BN669" s="172"/>
      <c r="BO669" s="172"/>
      <c r="BP669" s="172"/>
      <c r="BQ669" s="172"/>
      <c r="BR669" s="172"/>
      <c r="BS669" s="172"/>
      <c r="BT669" s="172"/>
      <c r="BU669" s="172"/>
      <c r="BV669" s="172"/>
      <c r="BW669" s="172"/>
      <c r="BX669" s="172"/>
      <c r="BY669" s="174"/>
      <c r="BZ669" s="172"/>
      <c r="CA669" s="172"/>
      <c r="CD669" s="194"/>
      <c r="CE669" s="194"/>
      <c r="CF669" s="194"/>
      <c r="CG669" s="194"/>
      <c r="CH669" s="195"/>
      <c r="CI669" s="194"/>
      <c r="CJ669" s="194"/>
      <c r="CK669" s="194"/>
      <c r="CL669" s="196"/>
      <c r="CM669" s="196"/>
      <c r="CN669" s="194"/>
      <c r="CO669" s="197"/>
      <c r="CP669" s="196"/>
      <c r="CQ669" s="196"/>
      <c r="CR669" s="196"/>
      <c r="CS669" s="196"/>
      <c r="CT669" s="196"/>
      <c r="CU669" s="196"/>
      <c r="CV669" s="194"/>
      <c r="CW669" s="194"/>
      <c r="CX669" s="194"/>
      <c r="CY669" s="194"/>
      <c r="CZ669" s="194"/>
      <c r="DA669" s="194"/>
      <c r="DB669" s="194"/>
      <c r="DC669" s="194"/>
      <c r="DD669" s="194"/>
      <c r="DE669" s="194"/>
      <c r="DF669" s="196"/>
      <c r="DG669" s="198"/>
      <c r="DH669" s="194"/>
      <c r="DI669" s="194"/>
    </row>
    <row r="670" spans="1:113" s="24" customFormat="1" hidden="1" x14ac:dyDescent="0.3">
      <c r="A670" s="172"/>
      <c r="B670" s="172"/>
      <c r="C670" s="172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  <c r="AE670" s="173"/>
      <c r="AF670" s="173"/>
      <c r="AG670" s="173"/>
      <c r="AH670" s="173"/>
      <c r="AI670" s="173"/>
      <c r="AJ670" s="173"/>
      <c r="AK670" s="173"/>
      <c r="AL670" s="173"/>
      <c r="AM670" s="173"/>
      <c r="AN670" s="173"/>
      <c r="AO670" s="173"/>
      <c r="AP670" s="173"/>
      <c r="AQ670" s="173"/>
      <c r="AR670" s="173"/>
      <c r="AS670" s="172"/>
      <c r="AT670" s="172"/>
      <c r="AU670" s="172"/>
      <c r="AV670" s="172"/>
      <c r="AW670" s="172"/>
      <c r="AX670" s="172"/>
      <c r="AY670" s="172"/>
      <c r="AZ670" s="172"/>
      <c r="BA670" s="172"/>
      <c r="BB670" s="172"/>
      <c r="BC670" s="172"/>
      <c r="BD670" s="172"/>
      <c r="BE670" s="172"/>
      <c r="BF670" s="172"/>
      <c r="BG670" s="172"/>
      <c r="BH670" s="172"/>
      <c r="BI670" s="172"/>
      <c r="BJ670" s="172"/>
      <c r="BK670" s="172"/>
      <c r="BL670" s="172"/>
      <c r="BM670" s="172"/>
      <c r="BN670" s="172"/>
      <c r="BO670" s="172"/>
      <c r="BP670" s="172"/>
      <c r="BQ670" s="172"/>
      <c r="BR670" s="172"/>
      <c r="BS670" s="172"/>
      <c r="BT670" s="172"/>
      <c r="BU670" s="172"/>
      <c r="BV670" s="172"/>
      <c r="BW670" s="172"/>
      <c r="BX670" s="172"/>
      <c r="BY670" s="174"/>
      <c r="BZ670" s="172"/>
      <c r="CA670" s="172"/>
      <c r="CD670" s="194"/>
      <c r="CE670" s="194"/>
      <c r="CF670" s="194"/>
      <c r="CG670" s="194"/>
      <c r="CH670" s="195"/>
      <c r="CI670" s="194"/>
      <c r="CJ670" s="194"/>
      <c r="CK670" s="194"/>
      <c r="CL670" s="196"/>
      <c r="CM670" s="196"/>
      <c r="CN670" s="194"/>
      <c r="CO670" s="197"/>
      <c r="CP670" s="196"/>
      <c r="CQ670" s="196"/>
      <c r="CR670" s="196"/>
      <c r="CS670" s="196"/>
      <c r="CT670" s="196"/>
      <c r="CU670" s="196"/>
      <c r="CV670" s="194"/>
      <c r="CW670" s="194"/>
      <c r="CX670" s="194"/>
      <c r="CY670" s="194"/>
      <c r="CZ670" s="194"/>
      <c r="DA670" s="194"/>
      <c r="DB670" s="194"/>
      <c r="DC670" s="194"/>
      <c r="DD670" s="194"/>
      <c r="DE670" s="194"/>
      <c r="DF670" s="196"/>
      <c r="DG670" s="198"/>
      <c r="DH670" s="194"/>
      <c r="DI670" s="194"/>
    </row>
    <row r="671" spans="1:113" s="24" customFormat="1" hidden="1" x14ac:dyDescent="0.3">
      <c r="A671" s="172"/>
      <c r="B671" s="172"/>
      <c r="C671" s="172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  <c r="AE671" s="173"/>
      <c r="AF671" s="173"/>
      <c r="AG671" s="173"/>
      <c r="AH671" s="173"/>
      <c r="AI671" s="173"/>
      <c r="AJ671" s="173"/>
      <c r="AK671" s="173"/>
      <c r="AL671" s="173"/>
      <c r="AM671" s="173"/>
      <c r="AN671" s="173"/>
      <c r="AO671" s="173"/>
      <c r="AP671" s="173"/>
      <c r="AQ671" s="173"/>
      <c r="AR671" s="173"/>
      <c r="AS671" s="172"/>
      <c r="AT671" s="172"/>
      <c r="AU671" s="172"/>
      <c r="AV671" s="172"/>
      <c r="AW671" s="172"/>
      <c r="AX671" s="172"/>
      <c r="AY671" s="172"/>
      <c r="AZ671" s="172"/>
      <c r="BA671" s="172"/>
      <c r="BB671" s="172"/>
      <c r="BC671" s="172"/>
      <c r="BD671" s="172"/>
      <c r="BE671" s="172"/>
      <c r="BF671" s="172"/>
      <c r="BG671" s="172"/>
      <c r="BH671" s="172"/>
      <c r="BI671" s="172"/>
      <c r="BJ671" s="172"/>
      <c r="BK671" s="172"/>
      <c r="BL671" s="172"/>
      <c r="BM671" s="172"/>
      <c r="BN671" s="172"/>
      <c r="BO671" s="172"/>
      <c r="BP671" s="172"/>
      <c r="BQ671" s="172"/>
      <c r="BR671" s="172"/>
      <c r="BS671" s="172"/>
      <c r="BT671" s="172"/>
      <c r="BU671" s="172"/>
      <c r="BV671" s="172"/>
      <c r="BW671" s="172"/>
      <c r="BX671" s="172"/>
      <c r="BY671" s="174"/>
      <c r="BZ671" s="172"/>
      <c r="CA671" s="172"/>
      <c r="CD671" s="194"/>
      <c r="CE671" s="194"/>
      <c r="CF671" s="194"/>
      <c r="CG671" s="194"/>
      <c r="CH671" s="195"/>
      <c r="CI671" s="194"/>
      <c r="CJ671" s="194"/>
      <c r="CK671" s="194"/>
      <c r="CL671" s="196"/>
      <c r="CM671" s="196"/>
      <c r="CN671" s="194"/>
      <c r="CO671" s="197"/>
      <c r="CP671" s="196"/>
      <c r="CQ671" s="196"/>
      <c r="CR671" s="196"/>
      <c r="CS671" s="196"/>
      <c r="CT671" s="196"/>
      <c r="CU671" s="196"/>
      <c r="CV671" s="194"/>
      <c r="CW671" s="194"/>
      <c r="CX671" s="194"/>
      <c r="CY671" s="194"/>
      <c r="CZ671" s="194"/>
      <c r="DA671" s="194"/>
      <c r="DB671" s="194"/>
      <c r="DC671" s="194"/>
      <c r="DD671" s="194"/>
      <c r="DE671" s="194"/>
      <c r="DF671" s="196"/>
      <c r="DG671" s="198"/>
      <c r="DH671" s="194"/>
      <c r="DI671" s="194"/>
    </row>
    <row r="672" spans="1:113" s="24" customFormat="1" hidden="1" x14ac:dyDescent="0.3">
      <c r="A672" s="172"/>
      <c r="B672" s="172"/>
      <c r="C672" s="172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  <c r="AE672" s="173"/>
      <c r="AF672" s="173"/>
      <c r="AG672" s="173"/>
      <c r="AH672" s="173"/>
      <c r="AI672" s="173"/>
      <c r="AJ672" s="173"/>
      <c r="AK672" s="173"/>
      <c r="AL672" s="173"/>
      <c r="AM672" s="173"/>
      <c r="AN672" s="173"/>
      <c r="AO672" s="173"/>
      <c r="AP672" s="173"/>
      <c r="AQ672" s="173"/>
      <c r="AR672" s="173"/>
      <c r="AS672" s="172"/>
      <c r="AT672" s="172"/>
      <c r="AU672" s="172"/>
      <c r="AV672" s="172"/>
      <c r="AW672" s="172"/>
      <c r="AX672" s="172"/>
      <c r="AY672" s="172"/>
      <c r="AZ672" s="172"/>
      <c r="BA672" s="172"/>
      <c r="BB672" s="172"/>
      <c r="BC672" s="172"/>
      <c r="BD672" s="172"/>
      <c r="BE672" s="172"/>
      <c r="BF672" s="172"/>
      <c r="BG672" s="172"/>
      <c r="BH672" s="172"/>
      <c r="BI672" s="172"/>
      <c r="BJ672" s="172"/>
      <c r="BK672" s="172"/>
      <c r="BL672" s="172"/>
      <c r="BM672" s="172"/>
      <c r="BN672" s="172"/>
      <c r="BO672" s="172"/>
      <c r="BP672" s="172"/>
      <c r="BQ672" s="172"/>
      <c r="BR672" s="172"/>
      <c r="BS672" s="172"/>
      <c r="BT672" s="172"/>
      <c r="BU672" s="172"/>
      <c r="BV672" s="172"/>
      <c r="BW672" s="172"/>
      <c r="BX672" s="172"/>
      <c r="BY672" s="174"/>
      <c r="BZ672" s="172"/>
      <c r="CA672" s="172"/>
      <c r="CD672" s="194"/>
      <c r="CE672" s="194"/>
      <c r="CF672" s="194"/>
      <c r="CG672" s="194"/>
      <c r="CH672" s="195"/>
      <c r="CI672" s="194"/>
      <c r="CJ672" s="194"/>
      <c r="CK672" s="194"/>
      <c r="CL672" s="196"/>
      <c r="CM672" s="196"/>
      <c r="CN672" s="194"/>
      <c r="CO672" s="197"/>
      <c r="CP672" s="196"/>
      <c r="CQ672" s="196"/>
      <c r="CR672" s="196"/>
      <c r="CS672" s="196"/>
      <c r="CT672" s="196"/>
      <c r="CU672" s="196"/>
      <c r="CV672" s="194"/>
      <c r="CW672" s="194"/>
      <c r="CX672" s="194"/>
      <c r="CY672" s="194"/>
      <c r="CZ672" s="194"/>
      <c r="DA672" s="194"/>
      <c r="DB672" s="194"/>
      <c r="DC672" s="194"/>
      <c r="DD672" s="194"/>
      <c r="DE672" s="194"/>
      <c r="DF672" s="196"/>
      <c r="DG672" s="198"/>
      <c r="DH672" s="194"/>
      <c r="DI672" s="194"/>
    </row>
    <row r="673" spans="1:113" s="24" customFormat="1" hidden="1" x14ac:dyDescent="0.3">
      <c r="A673" s="172"/>
      <c r="B673" s="172"/>
      <c r="C673" s="172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  <c r="AE673" s="173"/>
      <c r="AF673" s="173"/>
      <c r="AG673" s="173"/>
      <c r="AH673" s="173"/>
      <c r="AI673" s="173"/>
      <c r="AJ673" s="173"/>
      <c r="AK673" s="173"/>
      <c r="AL673" s="173"/>
      <c r="AM673" s="173"/>
      <c r="AN673" s="173"/>
      <c r="AO673" s="173"/>
      <c r="AP673" s="173"/>
      <c r="AQ673" s="173"/>
      <c r="AR673" s="173"/>
      <c r="AS673" s="172"/>
      <c r="AT673" s="172"/>
      <c r="AU673" s="172"/>
      <c r="AV673" s="172"/>
      <c r="AW673" s="172"/>
      <c r="AX673" s="172"/>
      <c r="AY673" s="172"/>
      <c r="AZ673" s="172"/>
      <c r="BA673" s="172"/>
      <c r="BB673" s="172"/>
      <c r="BC673" s="172"/>
      <c r="BD673" s="172"/>
      <c r="BE673" s="172"/>
      <c r="BF673" s="172"/>
      <c r="BG673" s="172"/>
      <c r="BH673" s="172"/>
      <c r="BI673" s="172"/>
      <c r="BJ673" s="172"/>
      <c r="BK673" s="172"/>
      <c r="BL673" s="172"/>
      <c r="BM673" s="172"/>
      <c r="BN673" s="172"/>
      <c r="BO673" s="172"/>
      <c r="BP673" s="172"/>
      <c r="BQ673" s="172"/>
      <c r="BR673" s="172"/>
      <c r="BS673" s="172"/>
      <c r="BT673" s="172"/>
      <c r="BU673" s="172"/>
      <c r="BV673" s="172"/>
      <c r="BW673" s="172"/>
      <c r="BX673" s="172"/>
      <c r="BY673" s="174"/>
      <c r="BZ673" s="172"/>
      <c r="CA673" s="172"/>
      <c r="CD673" s="194"/>
      <c r="CE673" s="194"/>
      <c r="CF673" s="194"/>
      <c r="CG673" s="194"/>
      <c r="CH673" s="195"/>
      <c r="CI673" s="194"/>
      <c r="CJ673" s="194"/>
      <c r="CK673" s="194"/>
      <c r="CL673" s="196"/>
      <c r="CM673" s="196"/>
      <c r="CN673" s="194"/>
      <c r="CO673" s="197"/>
      <c r="CP673" s="196"/>
      <c r="CQ673" s="196"/>
      <c r="CR673" s="196"/>
      <c r="CS673" s="196"/>
      <c r="CT673" s="196"/>
      <c r="CU673" s="196"/>
      <c r="CV673" s="194"/>
      <c r="CW673" s="194"/>
      <c r="CX673" s="194"/>
      <c r="CY673" s="194"/>
      <c r="CZ673" s="194"/>
      <c r="DA673" s="194"/>
      <c r="DB673" s="194"/>
      <c r="DC673" s="194"/>
      <c r="DD673" s="194"/>
      <c r="DE673" s="194"/>
      <c r="DF673" s="196"/>
      <c r="DG673" s="198"/>
      <c r="DH673" s="194"/>
      <c r="DI673" s="194"/>
    </row>
    <row r="674" spans="1:113" s="24" customFormat="1" hidden="1" x14ac:dyDescent="0.3">
      <c r="A674" s="172"/>
      <c r="B674" s="172"/>
      <c r="C674" s="172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  <c r="AE674" s="173"/>
      <c r="AF674" s="173"/>
      <c r="AG674" s="173"/>
      <c r="AH674" s="173"/>
      <c r="AI674" s="173"/>
      <c r="AJ674" s="173"/>
      <c r="AK674" s="173"/>
      <c r="AL674" s="173"/>
      <c r="AM674" s="173"/>
      <c r="AN674" s="173"/>
      <c r="AO674" s="173"/>
      <c r="AP674" s="173"/>
      <c r="AQ674" s="173"/>
      <c r="AR674" s="173"/>
      <c r="AS674" s="172"/>
      <c r="AT674" s="172"/>
      <c r="AU674" s="172"/>
      <c r="AV674" s="172"/>
      <c r="AW674" s="172"/>
      <c r="AX674" s="172"/>
      <c r="AY674" s="172"/>
      <c r="AZ674" s="172"/>
      <c r="BA674" s="172"/>
      <c r="BB674" s="172"/>
      <c r="BC674" s="172"/>
      <c r="BD674" s="172"/>
      <c r="BE674" s="172"/>
      <c r="BF674" s="172"/>
      <c r="BG674" s="172"/>
      <c r="BH674" s="172"/>
      <c r="BI674" s="172"/>
      <c r="BJ674" s="172"/>
      <c r="BK674" s="172"/>
      <c r="BL674" s="172"/>
      <c r="BM674" s="172"/>
      <c r="BN674" s="172"/>
      <c r="BO674" s="172"/>
      <c r="BP674" s="172"/>
      <c r="BQ674" s="172"/>
      <c r="BR674" s="172"/>
      <c r="BS674" s="172"/>
      <c r="BT674" s="172"/>
      <c r="BU674" s="172"/>
      <c r="BV674" s="172"/>
      <c r="BW674" s="172"/>
      <c r="BX674" s="172"/>
      <c r="BY674" s="174"/>
      <c r="BZ674" s="172"/>
      <c r="CA674" s="172"/>
      <c r="CD674" s="194"/>
      <c r="CE674" s="194"/>
      <c r="CF674" s="194"/>
      <c r="CG674" s="194"/>
      <c r="CH674" s="195"/>
      <c r="CI674" s="194"/>
      <c r="CJ674" s="194"/>
      <c r="CK674" s="194"/>
      <c r="CL674" s="196"/>
      <c r="CM674" s="196"/>
      <c r="CN674" s="194"/>
      <c r="CO674" s="197"/>
      <c r="CP674" s="196"/>
      <c r="CQ674" s="196"/>
      <c r="CR674" s="196"/>
      <c r="CS674" s="196"/>
      <c r="CT674" s="196"/>
      <c r="CU674" s="196"/>
      <c r="CV674" s="194"/>
      <c r="CW674" s="194"/>
      <c r="CX674" s="194"/>
      <c r="CY674" s="194"/>
      <c r="CZ674" s="194"/>
      <c r="DA674" s="194"/>
      <c r="DB674" s="194"/>
      <c r="DC674" s="194"/>
      <c r="DD674" s="194"/>
      <c r="DE674" s="194"/>
      <c r="DF674" s="196"/>
      <c r="DG674" s="198"/>
      <c r="DH674" s="194"/>
      <c r="DI674" s="194"/>
    </row>
    <row r="675" spans="1:113" s="24" customFormat="1" hidden="1" x14ac:dyDescent="0.3">
      <c r="A675" s="172"/>
      <c r="B675" s="172"/>
      <c r="C675" s="172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  <c r="AE675" s="173"/>
      <c r="AF675" s="173"/>
      <c r="AG675" s="173"/>
      <c r="AH675" s="173"/>
      <c r="AI675" s="173"/>
      <c r="AJ675" s="173"/>
      <c r="AK675" s="173"/>
      <c r="AL675" s="173"/>
      <c r="AM675" s="173"/>
      <c r="AN675" s="173"/>
      <c r="AO675" s="173"/>
      <c r="AP675" s="173"/>
      <c r="AQ675" s="173"/>
      <c r="AR675" s="173"/>
      <c r="AS675" s="172"/>
      <c r="AT675" s="172"/>
      <c r="AU675" s="172"/>
      <c r="AV675" s="172"/>
      <c r="AW675" s="172"/>
      <c r="AX675" s="172"/>
      <c r="AY675" s="172"/>
      <c r="AZ675" s="172"/>
      <c r="BA675" s="172"/>
      <c r="BB675" s="172"/>
      <c r="BC675" s="172"/>
      <c r="BD675" s="172"/>
      <c r="BE675" s="172"/>
      <c r="BF675" s="172"/>
      <c r="BG675" s="172"/>
      <c r="BH675" s="172"/>
      <c r="BI675" s="172"/>
      <c r="BJ675" s="172"/>
      <c r="BK675" s="172"/>
      <c r="BL675" s="172"/>
      <c r="BM675" s="172"/>
      <c r="BN675" s="172"/>
      <c r="BO675" s="172"/>
      <c r="BP675" s="172"/>
      <c r="BQ675" s="172"/>
      <c r="BR675" s="172"/>
      <c r="BS675" s="172"/>
      <c r="BT675" s="172"/>
      <c r="BU675" s="172"/>
      <c r="BV675" s="172"/>
      <c r="BW675" s="172"/>
      <c r="BX675" s="172"/>
      <c r="BY675" s="174"/>
      <c r="BZ675" s="172"/>
      <c r="CA675" s="172"/>
      <c r="CD675" s="194"/>
      <c r="CE675" s="194"/>
      <c r="CF675" s="194"/>
      <c r="CG675" s="194"/>
      <c r="CH675" s="195"/>
      <c r="CI675" s="194"/>
      <c r="CJ675" s="194"/>
      <c r="CK675" s="194"/>
      <c r="CL675" s="196"/>
      <c r="CM675" s="196"/>
      <c r="CN675" s="194"/>
      <c r="CO675" s="197"/>
      <c r="CP675" s="196"/>
      <c r="CQ675" s="196"/>
      <c r="CR675" s="196"/>
      <c r="CS675" s="196"/>
      <c r="CT675" s="196"/>
      <c r="CU675" s="196"/>
      <c r="CV675" s="194"/>
      <c r="CW675" s="194"/>
      <c r="CX675" s="194"/>
      <c r="CY675" s="194"/>
      <c r="CZ675" s="194"/>
      <c r="DA675" s="194"/>
      <c r="DB675" s="194"/>
      <c r="DC675" s="194"/>
      <c r="DD675" s="194"/>
      <c r="DE675" s="194"/>
      <c r="DF675" s="196"/>
      <c r="DG675" s="198"/>
      <c r="DH675" s="194"/>
      <c r="DI675" s="194"/>
    </row>
    <row r="676" spans="1:113" s="24" customFormat="1" hidden="1" x14ac:dyDescent="0.3">
      <c r="A676" s="172"/>
      <c r="B676" s="172"/>
      <c r="C676" s="172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  <c r="AE676" s="173"/>
      <c r="AF676" s="173"/>
      <c r="AG676" s="173"/>
      <c r="AH676" s="173"/>
      <c r="AI676" s="173"/>
      <c r="AJ676" s="173"/>
      <c r="AK676" s="173"/>
      <c r="AL676" s="173"/>
      <c r="AM676" s="173"/>
      <c r="AN676" s="173"/>
      <c r="AO676" s="173"/>
      <c r="AP676" s="173"/>
      <c r="AQ676" s="173"/>
      <c r="AR676" s="173"/>
      <c r="AS676" s="172"/>
      <c r="AT676" s="172"/>
      <c r="AU676" s="172"/>
      <c r="AV676" s="172"/>
      <c r="AW676" s="172"/>
      <c r="AX676" s="172"/>
      <c r="AY676" s="172"/>
      <c r="AZ676" s="172"/>
      <c r="BA676" s="172"/>
      <c r="BB676" s="172"/>
      <c r="BC676" s="172"/>
      <c r="BD676" s="172"/>
      <c r="BE676" s="172"/>
      <c r="BF676" s="172"/>
      <c r="BG676" s="172"/>
      <c r="BH676" s="172"/>
      <c r="BI676" s="172"/>
      <c r="BJ676" s="172"/>
      <c r="BK676" s="172"/>
      <c r="BL676" s="172"/>
      <c r="BM676" s="172"/>
      <c r="BN676" s="172"/>
      <c r="BO676" s="172"/>
      <c r="BP676" s="172"/>
      <c r="BQ676" s="172"/>
      <c r="BR676" s="172"/>
      <c r="BS676" s="172"/>
      <c r="BT676" s="172"/>
      <c r="BU676" s="172"/>
      <c r="BV676" s="172"/>
      <c r="BW676" s="172"/>
      <c r="BX676" s="172"/>
      <c r="BY676" s="174"/>
      <c r="BZ676" s="172"/>
      <c r="CA676" s="172"/>
      <c r="CD676" s="194"/>
      <c r="CE676" s="194"/>
      <c r="CF676" s="194"/>
      <c r="CG676" s="194"/>
      <c r="CH676" s="195"/>
      <c r="CI676" s="194"/>
      <c r="CJ676" s="194"/>
      <c r="CK676" s="194"/>
      <c r="CL676" s="196"/>
      <c r="CM676" s="196"/>
      <c r="CN676" s="194"/>
      <c r="CO676" s="197"/>
      <c r="CP676" s="196"/>
      <c r="CQ676" s="196"/>
      <c r="CR676" s="196"/>
      <c r="CS676" s="196"/>
      <c r="CT676" s="196"/>
      <c r="CU676" s="196"/>
      <c r="CV676" s="194"/>
      <c r="CW676" s="194"/>
      <c r="CX676" s="194"/>
      <c r="CY676" s="194"/>
      <c r="CZ676" s="194"/>
      <c r="DA676" s="194"/>
      <c r="DB676" s="194"/>
      <c r="DC676" s="194"/>
      <c r="DD676" s="194"/>
      <c r="DE676" s="194"/>
      <c r="DF676" s="196"/>
      <c r="DG676" s="198"/>
      <c r="DH676" s="194"/>
      <c r="DI676" s="194"/>
    </row>
    <row r="677" spans="1:113" s="24" customFormat="1" hidden="1" x14ac:dyDescent="0.3">
      <c r="A677" s="172"/>
      <c r="B677" s="172"/>
      <c r="C677" s="172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  <c r="AE677" s="173"/>
      <c r="AF677" s="173"/>
      <c r="AG677" s="173"/>
      <c r="AH677" s="173"/>
      <c r="AI677" s="173"/>
      <c r="AJ677" s="173"/>
      <c r="AK677" s="173"/>
      <c r="AL677" s="173"/>
      <c r="AM677" s="173"/>
      <c r="AN677" s="173"/>
      <c r="AO677" s="173"/>
      <c r="AP677" s="173"/>
      <c r="AQ677" s="173"/>
      <c r="AR677" s="173"/>
      <c r="AS677" s="172"/>
      <c r="AT677" s="172"/>
      <c r="AU677" s="172"/>
      <c r="AV677" s="172"/>
      <c r="AW677" s="172"/>
      <c r="AX677" s="172"/>
      <c r="AY677" s="172"/>
      <c r="AZ677" s="172"/>
      <c r="BA677" s="172"/>
      <c r="BB677" s="172"/>
      <c r="BC677" s="172"/>
      <c r="BD677" s="172"/>
      <c r="BE677" s="172"/>
      <c r="BF677" s="172"/>
      <c r="BG677" s="172"/>
      <c r="BH677" s="172"/>
      <c r="BI677" s="172"/>
      <c r="BJ677" s="172"/>
      <c r="BK677" s="172"/>
      <c r="BL677" s="172"/>
      <c r="BM677" s="172"/>
      <c r="BN677" s="172"/>
      <c r="BO677" s="172"/>
      <c r="BP677" s="172"/>
      <c r="BQ677" s="172"/>
      <c r="BR677" s="172"/>
      <c r="BS677" s="172"/>
      <c r="BT677" s="172"/>
      <c r="BU677" s="172"/>
      <c r="BV677" s="172"/>
      <c r="BW677" s="172"/>
      <c r="BX677" s="172"/>
      <c r="BY677" s="174"/>
      <c r="BZ677" s="172"/>
      <c r="CA677" s="172"/>
      <c r="CD677" s="194"/>
      <c r="CE677" s="194"/>
      <c r="CF677" s="194"/>
      <c r="CG677" s="194"/>
      <c r="CH677" s="195"/>
      <c r="CI677" s="194"/>
      <c r="CJ677" s="194"/>
      <c r="CK677" s="194"/>
      <c r="CL677" s="196"/>
      <c r="CM677" s="196"/>
      <c r="CN677" s="194"/>
      <c r="CO677" s="197"/>
      <c r="CP677" s="196"/>
      <c r="CQ677" s="196"/>
      <c r="CR677" s="196"/>
      <c r="CS677" s="196"/>
      <c r="CT677" s="196"/>
      <c r="CU677" s="196"/>
      <c r="CV677" s="194"/>
      <c r="CW677" s="194"/>
      <c r="CX677" s="194"/>
      <c r="CY677" s="194"/>
      <c r="CZ677" s="194"/>
      <c r="DA677" s="194"/>
      <c r="DB677" s="194"/>
      <c r="DC677" s="194"/>
      <c r="DD677" s="194"/>
      <c r="DE677" s="194"/>
      <c r="DF677" s="196"/>
      <c r="DG677" s="198"/>
      <c r="DH677" s="194"/>
      <c r="DI677" s="194"/>
    </row>
    <row r="678" spans="1:113" s="24" customFormat="1" hidden="1" x14ac:dyDescent="0.3">
      <c r="A678" s="172"/>
      <c r="B678" s="172"/>
      <c r="C678" s="172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  <c r="AE678" s="173"/>
      <c r="AF678" s="173"/>
      <c r="AG678" s="173"/>
      <c r="AH678" s="173"/>
      <c r="AI678" s="173"/>
      <c r="AJ678" s="173"/>
      <c r="AK678" s="173"/>
      <c r="AL678" s="173"/>
      <c r="AM678" s="173"/>
      <c r="AN678" s="173"/>
      <c r="AO678" s="173"/>
      <c r="AP678" s="173"/>
      <c r="AQ678" s="173"/>
      <c r="AR678" s="173"/>
      <c r="AS678" s="172"/>
      <c r="AT678" s="172"/>
      <c r="AU678" s="172"/>
      <c r="AV678" s="172"/>
      <c r="AW678" s="172"/>
      <c r="AX678" s="172"/>
      <c r="AY678" s="172"/>
      <c r="AZ678" s="172"/>
      <c r="BA678" s="172"/>
      <c r="BB678" s="172"/>
      <c r="BC678" s="172"/>
      <c r="BD678" s="172"/>
      <c r="BE678" s="172"/>
      <c r="BF678" s="172"/>
      <c r="BG678" s="172"/>
      <c r="BH678" s="172"/>
      <c r="BI678" s="172"/>
      <c r="BJ678" s="172"/>
      <c r="BK678" s="172"/>
      <c r="BL678" s="172"/>
      <c r="BM678" s="172"/>
      <c r="BN678" s="172"/>
      <c r="BO678" s="172"/>
      <c r="BP678" s="172"/>
      <c r="BQ678" s="172"/>
      <c r="BR678" s="172"/>
      <c r="BS678" s="172"/>
      <c r="BT678" s="172"/>
      <c r="BU678" s="172"/>
      <c r="BV678" s="172"/>
      <c r="BW678" s="172"/>
      <c r="BX678" s="172"/>
      <c r="BY678" s="174"/>
      <c r="BZ678" s="172"/>
      <c r="CA678" s="172"/>
      <c r="CD678" s="194"/>
      <c r="CE678" s="194"/>
      <c r="CF678" s="194"/>
      <c r="CG678" s="194"/>
      <c r="CH678" s="195"/>
      <c r="CI678" s="194"/>
      <c r="CJ678" s="194"/>
      <c r="CK678" s="194"/>
      <c r="CL678" s="196"/>
      <c r="CM678" s="196"/>
      <c r="CN678" s="194"/>
      <c r="CO678" s="197"/>
      <c r="CP678" s="196"/>
      <c r="CQ678" s="196"/>
      <c r="CR678" s="196"/>
      <c r="CS678" s="196"/>
      <c r="CT678" s="196"/>
      <c r="CU678" s="196"/>
      <c r="CV678" s="194"/>
      <c r="CW678" s="194"/>
      <c r="CX678" s="194"/>
      <c r="CY678" s="194"/>
      <c r="CZ678" s="194"/>
      <c r="DA678" s="194"/>
      <c r="DB678" s="194"/>
      <c r="DC678" s="194"/>
      <c r="DD678" s="194"/>
      <c r="DE678" s="194"/>
      <c r="DF678" s="196"/>
      <c r="DG678" s="198"/>
      <c r="DH678" s="194"/>
      <c r="DI678" s="194"/>
    </row>
    <row r="679" spans="1:113" s="24" customFormat="1" hidden="1" x14ac:dyDescent="0.3">
      <c r="A679" s="172"/>
      <c r="B679" s="172"/>
      <c r="C679" s="172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  <c r="AE679" s="173"/>
      <c r="AF679" s="173"/>
      <c r="AG679" s="173"/>
      <c r="AH679" s="173"/>
      <c r="AI679" s="173"/>
      <c r="AJ679" s="173"/>
      <c r="AK679" s="173"/>
      <c r="AL679" s="173"/>
      <c r="AM679" s="173"/>
      <c r="AN679" s="173"/>
      <c r="AO679" s="173"/>
      <c r="AP679" s="173"/>
      <c r="AQ679" s="173"/>
      <c r="AR679" s="173"/>
      <c r="AS679" s="172"/>
      <c r="AT679" s="172"/>
      <c r="AU679" s="172"/>
      <c r="AV679" s="172"/>
      <c r="AW679" s="172"/>
      <c r="AX679" s="172"/>
      <c r="AY679" s="172"/>
      <c r="AZ679" s="172"/>
      <c r="BA679" s="172"/>
      <c r="BB679" s="172"/>
      <c r="BC679" s="172"/>
      <c r="BD679" s="172"/>
      <c r="BE679" s="172"/>
      <c r="BF679" s="172"/>
      <c r="BG679" s="172"/>
      <c r="BH679" s="172"/>
      <c r="BI679" s="172"/>
      <c r="BJ679" s="172"/>
      <c r="BK679" s="172"/>
      <c r="BL679" s="172"/>
      <c r="BM679" s="172"/>
      <c r="BN679" s="172"/>
      <c r="BO679" s="172"/>
      <c r="BP679" s="172"/>
      <c r="BQ679" s="172"/>
      <c r="BR679" s="172"/>
      <c r="BS679" s="172"/>
      <c r="BT679" s="172"/>
      <c r="BU679" s="172"/>
      <c r="BV679" s="172"/>
      <c r="BW679" s="172"/>
      <c r="BX679" s="172"/>
      <c r="BY679" s="174"/>
      <c r="BZ679" s="172"/>
      <c r="CA679" s="172"/>
      <c r="CD679" s="194"/>
      <c r="CE679" s="194"/>
      <c r="CF679" s="194"/>
      <c r="CG679" s="194"/>
      <c r="CH679" s="195"/>
      <c r="CI679" s="194"/>
      <c r="CJ679" s="194"/>
      <c r="CK679" s="194"/>
      <c r="CL679" s="196"/>
      <c r="CM679" s="196"/>
      <c r="CN679" s="194"/>
      <c r="CO679" s="197"/>
      <c r="CP679" s="196"/>
      <c r="CQ679" s="196"/>
      <c r="CR679" s="196"/>
      <c r="CS679" s="196"/>
      <c r="CT679" s="196"/>
      <c r="CU679" s="196"/>
      <c r="CV679" s="194"/>
      <c r="CW679" s="194"/>
      <c r="CX679" s="194"/>
      <c r="CY679" s="194"/>
      <c r="CZ679" s="194"/>
      <c r="DA679" s="194"/>
      <c r="DB679" s="194"/>
      <c r="DC679" s="194"/>
      <c r="DD679" s="194"/>
      <c r="DE679" s="194"/>
      <c r="DF679" s="196"/>
      <c r="DG679" s="198"/>
      <c r="DH679" s="194"/>
      <c r="DI679" s="194"/>
    </row>
    <row r="680" spans="1:113" s="24" customFormat="1" hidden="1" x14ac:dyDescent="0.3">
      <c r="A680" s="172"/>
      <c r="B680" s="172"/>
      <c r="C680" s="172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  <c r="AE680" s="173"/>
      <c r="AF680" s="173"/>
      <c r="AG680" s="173"/>
      <c r="AH680" s="173"/>
      <c r="AI680" s="173"/>
      <c r="AJ680" s="173"/>
      <c r="AK680" s="173"/>
      <c r="AL680" s="173"/>
      <c r="AM680" s="173"/>
      <c r="AN680" s="173"/>
      <c r="AO680" s="173"/>
      <c r="AP680" s="173"/>
      <c r="AQ680" s="173"/>
      <c r="AR680" s="173"/>
      <c r="AS680" s="172"/>
      <c r="AT680" s="172"/>
      <c r="AU680" s="172"/>
      <c r="AV680" s="172"/>
      <c r="AW680" s="172"/>
      <c r="AX680" s="172"/>
      <c r="AY680" s="172"/>
      <c r="AZ680" s="172"/>
      <c r="BA680" s="172"/>
      <c r="BB680" s="172"/>
      <c r="BC680" s="172"/>
      <c r="BD680" s="172"/>
      <c r="BE680" s="172"/>
      <c r="BF680" s="172"/>
      <c r="BG680" s="172"/>
      <c r="BH680" s="172"/>
      <c r="BI680" s="172"/>
      <c r="BJ680" s="172"/>
      <c r="BK680" s="172"/>
      <c r="BL680" s="172"/>
      <c r="BM680" s="172"/>
      <c r="BN680" s="172"/>
      <c r="BO680" s="172"/>
      <c r="BP680" s="172"/>
      <c r="BQ680" s="172"/>
      <c r="BR680" s="172"/>
      <c r="BS680" s="172"/>
      <c r="BT680" s="172"/>
      <c r="BU680" s="172"/>
      <c r="BV680" s="172"/>
      <c r="BW680" s="172"/>
      <c r="BX680" s="172"/>
      <c r="BY680" s="174"/>
      <c r="BZ680" s="172"/>
      <c r="CA680" s="172"/>
      <c r="CD680" s="194"/>
      <c r="CE680" s="194"/>
      <c r="CF680" s="194"/>
      <c r="CG680" s="194"/>
      <c r="CH680" s="195"/>
      <c r="CI680" s="194"/>
      <c r="CJ680" s="194"/>
      <c r="CK680" s="194"/>
      <c r="CL680" s="196"/>
      <c r="CM680" s="196"/>
      <c r="CN680" s="194"/>
      <c r="CO680" s="197"/>
      <c r="CP680" s="196"/>
      <c r="CQ680" s="196"/>
      <c r="CR680" s="196"/>
      <c r="CS680" s="196"/>
      <c r="CT680" s="196"/>
      <c r="CU680" s="196"/>
      <c r="CV680" s="194"/>
      <c r="CW680" s="194"/>
      <c r="CX680" s="194"/>
      <c r="CY680" s="194"/>
      <c r="CZ680" s="194"/>
      <c r="DA680" s="194"/>
      <c r="DB680" s="194"/>
      <c r="DC680" s="194"/>
      <c r="DD680" s="194"/>
      <c r="DE680" s="194"/>
      <c r="DF680" s="196"/>
      <c r="DG680" s="198"/>
      <c r="DH680" s="194"/>
      <c r="DI680" s="194"/>
    </row>
    <row r="681" spans="1:113" s="24" customFormat="1" hidden="1" x14ac:dyDescent="0.3">
      <c r="A681" s="172"/>
      <c r="B681" s="172"/>
      <c r="C681" s="172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  <c r="AE681" s="173"/>
      <c r="AF681" s="173"/>
      <c r="AG681" s="173"/>
      <c r="AH681" s="173"/>
      <c r="AI681" s="173"/>
      <c r="AJ681" s="173"/>
      <c r="AK681" s="173"/>
      <c r="AL681" s="173"/>
      <c r="AM681" s="173"/>
      <c r="AN681" s="173"/>
      <c r="AO681" s="173"/>
      <c r="AP681" s="173"/>
      <c r="AQ681" s="173"/>
      <c r="AR681" s="173"/>
      <c r="AS681" s="172"/>
      <c r="AT681" s="172"/>
      <c r="AU681" s="172"/>
      <c r="AV681" s="172"/>
      <c r="AW681" s="172"/>
      <c r="AX681" s="172"/>
      <c r="AY681" s="172"/>
      <c r="AZ681" s="172"/>
      <c r="BA681" s="172"/>
      <c r="BB681" s="172"/>
      <c r="BC681" s="172"/>
      <c r="BD681" s="172"/>
      <c r="BE681" s="172"/>
      <c r="BF681" s="172"/>
      <c r="BG681" s="172"/>
      <c r="BH681" s="172"/>
      <c r="BI681" s="172"/>
      <c r="BJ681" s="172"/>
      <c r="BK681" s="172"/>
      <c r="BL681" s="172"/>
      <c r="BM681" s="172"/>
      <c r="BN681" s="172"/>
      <c r="BO681" s="172"/>
      <c r="BP681" s="172"/>
      <c r="BQ681" s="172"/>
      <c r="BR681" s="172"/>
      <c r="BS681" s="172"/>
      <c r="BT681" s="172"/>
      <c r="BU681" s="172"/>
      <c r="BV681" s="172"/>
      <c r="BW681" s="172"/>
      <c r="BX681" s="172"/>
      <c r="BY681" s="174"/>
      <c r="BZ681" s="172"/>
      <c r="CA681" s="172"/>
      <c r="CD681" s="194"/>
      <c r="CE681" s="194"/>
      <c r="CF681" s="194"/>
      <c r="CG681" s="194"/>
      <c r="CH681" s="195"/>
      <c r="CI681" s="194"/>
      <c r="CJ681" s="194"/>
      <c r="CK681" s="194"/>
      <c r="CL681" s="196"/>
      <c r="CM681" s="196"/>
      <c r="CN681" s="194"/>
      <c r="CO681" s="197"/>
      <c r="CP681" s="196"/>
      <c r="CQ681" s="196"/>
      <c r="CR681" s="196"/>
      <c r="CS681" s="196"/>
      <c r="CT681" s="196"/>
      <c r="CU681" s="196"/>
      <c r="CV681" s="194"/>
      <c r="CW681" s="194"/>
      <c r="CX681" s="194"/>
      <c r="CY681" s="194"/>
      <c r="CZ681" s="194"/>
      <c r="DA681" s="194"/>
      <c r="DB681" s="194"/>
      <c r="DC681" s="194"/>
      <c r="DD681" s="194"/>
      <c r="DE681" s="194"/>
      <c r="DF681" s="196"/>
      <c r="DG681" s="198"/>
      <c r="DH681" s="194"/>
      <c r="DI681" s="194"/>
    </row>
    <row r="682" spans="1:113" s="24" customFormat="1" hidden="1" x14ac:dyDescent="0.3">
      <c r="A682" s="172"/>
      <c r="B682" s="172"/>
      <c r="C682" s="172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  <c r="AE682" s="173"/>
      <c r="AF682" s="173"/>
      <c r="AG682" s="173"/>
      <c r="AH682" s="173"/>
      <c r="AI682" s="173"/>
      <c r="AJ682" s="173"/>
      <c r="AK682" s="173"/>
      <c r="AL682" s="173"/>
      <c r="AM682" s="173"/>
      <c r="AN682" s="173"/>
      <c r="AO682" s="173"/>
      <c r="AP682" s="173"/>
      <c r="AQ682" s="173"/>
      <c r="AR682" s="173"/>
      <c r="AS682" s="172"/>
      <c r="AT682" s="172"/>
      <c r="AU682" s="172"/>
      <c r="AV682" s="172"/>
      <c r="AW682" s="172"/>
      <c r="AX682" s="172"/>
      <c r="AY682" s="172"/>
      <c r="AZ682" s="172"/>
      <c r="BA682" s="172"/>
      <c r="BB682" s="172"/>
      <c r="BC682" s="172"/>
      <c r="BD682" s="172"/>
      <c r="BE682" s="172"/>
      <c r="BF682" s="172"/>
      <c r="BG682" s="172"/>
      <c r="BH682" s="172"/>
      <c r="BI682" s="172"/>
      <c r="BJ682" s="172"/>
      <c r="BK682" s="172"/>
      <c r="BL682" s="172"/>
      <c r="BM682" s="172"/>
      <c r="BN682" s="172"/>
      <c r="BO682" s="172"/>
      <c r="BP682" s="172"/>
      <c r="BQ682" s="172"/>
      <c r="BR682" s="172"/>
      <c r="BS682" s="172"/>
      <c r="BT682" s="172"/>
      <c r="BU682" s="172"/>
      <c r="BV682" s="172"/>
      <c r="BW682" s="172"/>
      <c r="BX682" s="172"/>
      <c r="BY682" s="174"/>
      <c r="BZ682" s="172"/>
      <c r="CA682" s="172"/>
      <c r="CD682" s="194"/>
      <c r="CE682" s="194"/>
      <c r="CF682" s="194"/>
      <c r="CG682" s="194"/>
      <c r="CH682" s="195"/>
      <c r="CI682" s="194"/>
      <c r="CJ682" s="194"/>
      <c r="CK682" s="194"/>
      <c r="CL682" s="196"/>
      <c r="CM682" s="196"/>
      <c r="CN682" s="194"/>
      <c r="CO682" s="197"/>
      <c r="CP682" s="196"/>
      <c r="CQ682" s="196"/>
      <c r="CR682" s="196"/>
      <c r="CS682" s="196"/>
      <c r="CT682" s="196"/>
      <c r="CU682" s="196"/>
      <c r="CV682" s="194"/>
      <c r="CW682" s="194"/>
      <c r="CX682" s="194"/>
      <c r="CY682" s="194"/>
      <c r="CZ682" s="194"/>
      <c r="DA682" s="194"/>
      <c r="DB682" s="194"/>
      <c r="DC682" s="194"/>
      <c r="DD682" s="194"/>
      <c r="DE682" s="194"/>
      <c r="DF682" s="196"/>
      <c r="DG682" s="198"/>
      <c r="DH682" s="194"/>
      <c r="DI682" s="194"/>
    </row>
    <row r="683" spans="1:113" s="24" customFormat="1" hidden="1" x14ac:dyDescent="0.3">
      <c r="A683" s="172"/>
      <c r="B683" s="172"/>
      <c r="C683" s="172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  <c r="AE683" s="173"/>
      <c r="AF683" s="173"/>
      <c r="AG683" s="173"/>
      <c r="AH683" s="173"/>
      <c r="AI683" s="173"/>
      <c r="AJ683" s="173"/>
      <c r="AK683" s="173"/>
      <c r="AL683" s="173"/>
      <c r="AM683" s="173"/>
      <c r="AN683" s="173"/>
      <c r="AO683" s="173"/>
      <c r="AP683" s="173"/>
      <c r="AQ683" s="173"/>
      <c r="AR683" s="173"/>
      <c r="AS683" s="172"/>
      <c r="AT683" s="172"/>
      <c r="AU683" s="172"/>
      <c r="AV683" s="172"/>
      <c r="AW683" s="172"/>
      <c r="AX683" s="172"/>
      <c r="AY683" s="172"/>
      <c r="AZ683" s="172"/>
      <c r="BA683" s="172"/>
      <c r="BB683" s="172"/>
      <c r="BC683" s="172"/>
      <c r="BD683" s="172"/>
      <c r="BE683" s="172"/>
      <c r="BF683" s="172"/>
      <c r="BG683" s="172"/>
      <c r="BH683" s="172"/>
      <c r="BI683" s="172"/>
      <c r="BJ683" s="172"/>
      <c r="BK683" s="172"/>
      <c r="BL683" s="172"/>
      <c r="BM683" s="172"/>
      <c r="BN683" s="172"/>
      <c r="BO683" s="172"/>
      <c r="BP683" s="172"/>
      <c r="BQ683" s="172"/>
      <c r="BR683" s="172"/>
      <c r="BS683" s="172"/>
      <c r="BT683" s="172"/>
      <c r="BU683" s="172"/>
      <c r="BV683" s="172"/>
      <c r="BW683" s="172"/>
      <c r="BX683" s="172"/>
      <c r="BY683" s="174"/>
      <c r="BZ683" s="172"/>
      <c r="CA683" s="172"/>
      <c r="CD683" s="194"/>
      <c r="CE683" s="194"/>
      <c r="CF683" s="194"/>
      <c r="CG683" s="194"/>
      <c r="CH683" s="195"/>
      <c r="CI683" s="194"/>
      <c r="CJ683" s="194"/>
      <c r="CK683" s="194"/>
      <c r="CL683" s="196"/>
      <c r="CM683" s="196"/>
      <c r="CN683" s="194"/>
      <c r="CO683" s="197"/>
      <c r="CP683" s="196"/>
      <c r="CQ683" s="196"/>
      <c r="CR683" s="196"/>
      <c r="CS683" s="196"/>
      <c r="CT683" s="196"/>
      <c r="CU683" s="196"/>
      <c r="CV683" s="194"/>
      <c r="CW683" s="194"/>
      <c r="CX683" s="194"/>
      <c r="CY683" s="194"/>
      <c r="CZ683" s="194"/>
      <c r="DA683" s="194"/>
      <c r="DB683" s="194"/>
      <c r="DC683" s="194"/>
      <c r="DD683" s="194"/>
      <c r="DE683" s="194"/>
      <c r="DF683" s="196"/>
      <c r="DG683" s="198"/>
      <c r="DH683" s="194"/>
      <c r="DI683" s="194"/>
    </row>
    <row r="684" spans="1:113" s="24" customFormat="1" hidden="1" x14ac:dyDescent="0.3">
      <c r="A684" s="172"/>
      <c r="B684" s="172"/>
      <c r="C684" s="172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  <c r="AE684" s="173"/>
      <c r="AF684" s="173"/>
      <c r="AG684" s="173"/>
      <c r="AH684" s="173"/>
      <c r="AI684" s="173"/>
      <c r="AJ684" s="173"/>
      <c r="AK684" s="173"/>
      <c r="AL684" s="173"/>
      <c r="AM684" s="173"/>
      <c r="AN684" s="173"/>
      <c r="AO684" s="173"/>
      <c r="AP684" s="173"/>
      <c r="AQ684" s="173"/>
      <c r="AR684" s="173"/>
      <c r="AS684" s="172"/>
      <c r="AT684" s="172"/>
      <c r="AU684" s="172"/>
      <c r="AV684" s="172"/>
      <c r="AW684" s="172"/>
      <c r="AX684" s="172"/>
      <c r="AY684" s="172"/>
      <c r="AZ684" s="172"/>
      <c r="BA684" s="172"/>
      <c r="BB684" s="172"/>
      <c r="BC684" s="172"/>
      <c r="BD684" s="172"/>
      <c r="BE684" s="172"/>
      <c r="BF684" s="172"/>
      <c r="BG684" s="172"/>
      <c r="BH684" s="172"/>
      <c r="BI684" s="172"/>
      <c r="BJ684" s="172"/>
      <c r="BK684" s="172"/>
      <c r="BL684" s="172"/>
      <c r="BM684" s="172"/>
      <c r="BN684" s="172"/>
      <c r="BO684" s="172"/>
      <c r="BP684" s="172"/>
      <c r="BQ684" s="172"/>
      <c r="BR684" s="172"/>
      <c r="BS684" s="172"/>
      <c r="BT684" s="172"/>
      <c r="BU684" s="172"/>
      <c r="BV684" s="172"/>
      <c r="BW684" s="172"/>
      <c r="BX684" s="172"/>
      <c r="BY684" s="174"/>
      <c r="BZ684" s="172"/>
      <c r="CA684" s="172"/>
      <c r="CD684" s="194"/>
      <c r="CE684" s="194"/>
      <c r="CF684" s="194"/>
      <c r="CG684" s="194"/>
      <c r="CH684" s="195"/>
      <c r="CI684" s="194"/>
      <c r="CJ684" s="194"/>
      <c r="CK684" s="194"/>
      <c r="CL684" s="196"/>
      <c r="CM684" s="196"/>
      <c r="CN684" s="194"/>
      <c r="CO684" s="197"/>
      <c r="CP684" s="196"/>
      <c r="CQ684" s="196"/>
      <c r="CR684" s="196"/>
      <c r="CS684" s="196"/>
      <c r="CT684" s="196"/>
      <c r="CU684" s="196"/>
      <c r="CV684" s="194"/>
      <c r="CW684" s="194"/>
      <c r="CX684" s="194"/>
      <c r="CY684" s="194"/>
      <c r="CZ684" s="194"/>
      <c r="DA684" s="194"/>
      <c r="DB684" s="194"/>
      <c r="DC684" s="194"/>
      <c r="DD684" s="194"/>
      <c r="DE684" s="194"/>
      <c r="DF684" s="196"/>
      <c r="DG684" s="198"/>
      <c r="DH684" s="194"/>
      <c r="DI684" s="194"/>
    </row>
    <row r="685" spans="1:113" s="24" customFormat="1" hidden="1" x14ac:dyDescent="0.3">
      <c r="A685" s="172"/>
      <c r="B685" s="172"/>
      <c r="C685" s="172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  <c r="AE685" s="173"/>
      <c r="AF685" s="173"/>
      <c r="AG685" s="173"/>
      <c r="AH685" s="173"/>
      <c r="AI685" s="173"/>
      <c r="AJ685" s="173"/>
      <c r="AK685" s="173"/>
      <c r="AL685" s="173"/>
      <c r="AM685" s="173"/>
      <c r="AN685" s="173"/>
      <c r="AO685" s="173"/>
      <c r="AP685" s="173"/>
      <c r="AQ685" s="173"/>
      <c r="AR685" s="173"/>
      <c r="AS685" s="172"/>
      <c r="AT685" s="172"/>
      <c r="AU685" s="172"/>
      <c r="AV685" s="172"/>
      <c r="AW685" s="172"/>
      <c r="AX685" s="172"/>
      <c r="AY685" s="172"/>
      <c r="AZ685" s="172"/>
      <c r="BA685" s="172"/>
      <c r="BB685" s="172"/>
      <c r="BC685" s="172"/>
      <c r="BD685" s="172"/>
      <c r="BE685" s="172"/>
      <c r="BF685" s="172"/>
      <c r="BG685" s="172"/>
      <c r="BH685" s="172"/>
      <c r="BI685" s="172"/>
      <c r="BJ685" s="172"/>
      <c r="BK685" s="172"/>
      <c r="BL685" s="172"/>
      <c r="BM685" s="172"/>
      <c r="BN685" s="172"/>
      <c r="BO685" s="172"/>
      <c r="BP685" s="172"/>
      <c r="BQ685" s="172"/>
      <c r="BR685" s="172"/>
      <c r="BS685" s="172"/>
      <c r="BT685" s="172"/>
      <c r="BU685" s="172"/>
      <c r="BV685" s="172"/>
      <c r="BW685" s="172"/>
      <c r="BX685" s="172"/>
      <c r="BY685" s="174"/>
      <c r="BZ685" s="172"/>
      <c r="CA685" s="172"/>
      <c r="CD685" s="194"/>
      <c r="CE685" s="194"/>
      <c r="CF685" s="194"/>
      <c r="CG685" s="194"/>
      <c r="CH685" s="195"/>
      <c r="CI685" s="194"/>
      <c r="CJ685" s="194"/>
      <c r="CK685" s="194"/>
      <c r="CL685" s="196"/>
      <c r="CM685" s="196"/>
      <c r="CN685" s="194"/>
      <c r="CO685" s="197"/>
      <c r="CP685" s="196"/>
      <c r="CQ685" s="196"/>
      <c r="CR685" s="196"/>
      <c r="CS685" s="196"/>
      <c r="CT685" s="196"/>
      <c r="CU685" s="196"/>
      <c r="CV685" s="194"/>
      <c r="CW685" s="194"/>
      <c r="CX685" s="194"/>
      <c r="CY685" s="194"/>
      <c r="CZ685" s="194"/>
      <c r="DA685" s="194"/>
      <c r="DB685" s="194"/>
      <c r="DC685" s="194"/>
      <c r="DD685" s="194"/>
      <c r="DE685" s="194"/>
      <c r="DF685" s="196"/>
      <c r="DG685" s="198"/>
      <c r="DH685" s="194"/>
      <c r="DI685" s="194"/>
    </row>
    <row r="686" spans="1:113" s="24" customFormat="1" hidden="1" x14ac:dyDescent="0.3">
      <c r="A686" s="172"/>
      <c r="B686" s="172"/>
      <c r="C686" s="172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  <c r="AE686" s="173"/>
      <c r="AF686" s="173"/>
      <c r="AG686" s="173"/>
      <c r="AH686" s="173"/>
      <c r="AI686" s="173"/>
      <c r="AJ686" s="173"/>
      <c r="AK686" s="173"/>
      <c r="AL686" s="173"/>
      <c r="AM686" s="173"/>
      <c r="AN686" s="173"/>
      <c r="AO686" s="173"/>
      <c r="AP686" s="173"/>
      <c r="AQ686" s="173"/>
      <c r="AR686" s="173"/>
      <c r="AS686" s="172"/>
      <c r="AT686" s="172"/>
      <c r="AU686" s="172"/>
      <c r="AV686" s="172"/>
      <c r="AW686" s="172"/>
      <c r="AX686" s="172"/>
      <c r="AY686" s="172"/>
      <c r="AZ686" s="172"/>
      <c r="BA686" s="172"/>
      <c r="BB686" s="172"/>
      <c r="BC686" s="172"/>
      <c r="BD686" s="172"/>
      <c r="BE686" s="172"/>
      <c r="BF686" s="172"/>
      <c r="BG686" s="172"/>
      <c r="BH686" s="172"/>
      <c r="BI686" s="172"/>
      <c r="BJ686" s="172"/>
      <c r="BK686" s="172"/>
      <c r="BL686" s="172"/>
      <c r="BM686" s="172"/>
      <c r="BN686" s="172"/>
      <c r="BO686" s="172"/>
      <c r="BP686" s="172"/>
      <c r="BQ686" s="172"/>
      <c r="BR686" s="172"/>
      <c r="BS686" s="172"/>
      <c r="BT686" s="172"/>
      <c r="BU686" s="172"/>
      <c r="BV686" s="172"/>
      <c r="BW686" s="172"/>
      <c r="BX686" s="172"/>
      <c r="BY686" s="174"/>
      <c r="BZ686" s="172"/>
      <c r="CA686" s="172"/>
      <c r="CD686" s="194"/>
      <c r="CE686" s="194"/>
      <c r="CF686" s="194"/>
      <c r="CG686" s="194"/>
      <c r="CH686" s="195"/>
      <c r="CI686" s="194"/>
      <c r="CJ686" s="194"/>
      <c r="CK686" s="194"/>
      <c r="CL686" s="196"/>
      <c r="CM686" s="196"/>
      <c r="CN686" s="194"/>
      <c r="CO686" s="197"/>
      <c r="CP686" s="196"/>
      <c r="CQ686" s="196"/>
      <c r="CR686" s="196"/>
      <c r="CS686" s="196"/>
      <c r="CT686" s="196"/>
      <c r="CU686" s="196"/>
      <c r="CV686" s="194"/>
      <c r="CW686" s="194"/>
      <c r="CX686" s="194"/>
      <c r="CY686" s="194"/>
      <c r="CZ686" s="194"/>
      <c r="DA686" s="194"/>
      <c r="DB686" s="194"/>
      <c r="DC686" s="194"/>
      <c r="DD686" s="194"/>
      <c r="DE686" s="194"/>
      <c r="DF686" s="196"/>
      <c r="DG686" s="198"/>
      <c r="DH686" s="194"/>
      <c r="DI686" s="194"/>
    </row>
    <row r="687" spans="1:113" s="24" customFormat="1" hidden="1" x14ac:dyDescent="0.3">
      <c r="A687" s="172"/>
      <c r="B687" s="172"/>
      <c r="C687" s="172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  <c r="AE687" s="173"/>
      <c r="AF687" s="173"/>
      <c r="AG687" s="173"/>
      <c r="AH687" s="173"/>
      <c r="AI687" s="173"/>
      <c r="AJ687" s="173"/>
      <c r="AK687" s="173"/>
      <c r="AL687" s="173"/>
      <c r="AM687" s="173"/>
      <c r="AN687" s="173"/>
      <c r="AO687" s="173"/>
      <c r="AP687" s="173"/>
      <c r="AQ687" s="173"/>
      <c r="AR687" s="173"/>
      <c r="AS687" s="172"/>
      <c r="AT687" s="172"/>
      <c r="AU687" s="172"/>
      <c r="AV687" s="172"/>
      <c r="AW687" s="172"/>
      <c r="AX687" s="172"/>
      <c r="AY687" s="172"/>
      <c r="AZ687" s="172"/>
      <c r="BA687" s="172"/>
      <c r="BB687" s="172"/>
      <c r="BC687" s="172"/>
      <c r="BD687" s="172"/>
      <c r="BE687" s="172"/>
      <c r="BF687" s="172"/>
      <c r="BG687" s="172"/>
      <c r="BH687" s="172"/>
      <c r="BI687" s="172"/>
      <c r="BJ687" s="172"/>
      <c r="BK687" s="172"/>
      <c r="BL687" s="172"/>
      <c r="BM687" s="172"/>
      <c r="BN687" s="172"/>
      <c r="BO687" s="172"/>
      <c r="BP687" s="172"/>
      <c r="BQ687" s="172"/>
      <c r="BR687" s="172"/>
      <c r="BS687" s="172"/>
      <c r="BT687" s="172"/>
      <c r="BU687" s="172"/>
      <c r="BV687" s="172"/>
      <c r="BW687" s="172"/>
      <c r="BX687" s="172"/>
      <c r="BY687" s="174"/>
      <c r="BZ687" s="172"/>
      <c r="CA687" s="172"/>
      <c r="CD687" s="194"/>
      <c r="CE687" s="194"/>
      <c r="CF687" s="194"/>
      <c r="CG687" s="194"/>
      <c r="CH687" s="195"/>
      <c r="CI687" s="194"/>
      <c r="CJ687" s="194"/>
      <c r="CK687" s="194"/>
      <c r="CL687" s="196"/>
      <c r="CM687" s="196"/>
      <c r="CN687" s="194"/>
      <c r="CO687" s="197"/>
      <c r="CP687" s="196"/>
      <c r="CQ687" s="196"/>
      <c r="CR687" s="196"/>
      <c r="CS687" s="196"/>
      <c r="CT687" s="196"/>
      <c r="CU687" s="196"/>
      <c r="CV687" s="194"/>
      <c r="CW687" s="194"/>
      <c r="CX687" s="194"/>
      <c r="CY687" s="194"/>
      <c r="CZ687" s="194"/>
      <c r="DA687" s="194"/>
      <c r="DB687" s="194"/>
      <c r="DC687" s="194"/>
      <c r="DD687" s="194"/>
      <c r="DE687" s="194"/>
      <c r="DF687" s="196"/>
      <c r="DG687" s="198"/>
      <c r="DH687" s="194"/>
      <c r="DI687" s="194"/>
    </row>
    <row r="688" spans="1:113" s="24" customFormat="1" hidden="1" x14ac:dyDescent="0.3">
      <c r="A688" s="172"/>
      <c r="B688" s="172"/>
      <c r="C688" s="172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  <c r="AE688" s="173"/>
      <c r="AF688" s="173"/>
      <c r="AG688" s="173"/>
      <c r="AH688" s="173"/>
      <c r="AI688" s="173"/>
      <c r="AJ688" s="173"/>
      <c r="AK688" s="173"/>
      <c r="AL688" s="173"/>
      <c r="AM688" s="173"/>
      <c r="AN688" s="173"/>
      <c r="AO688" s="173"/>
      <c r="AP688" s="173"/>
      <c r="AQ688" s="173"/>
      <c r="AR688" s="173"/>
      <c r="AS688" s="172"/>
      <c r="AT688" s="172"/>
      <c r="AU688" s="172"/>
      <c r="AV688" s="172"/>
      <c r="AW688" s="172"/>
      <c r="AX688" s="172"/>
      <c r="AY688" s="172"/>
      <c r="AZ688" s="172"/>
      <c r="BA688" s="172"/>
      <c r="BB688" s="172"/>
      <c r="BC688" s="172"/>
      <c r="BD688" s="172"/>
      <c r="BE688" s="172"/>
      <c r="BF688" s="172"/>
      <c r="BG688" s="172"/>
      <c r="BH688" s="172"/>
      <c r="BI688" s="172"/>
      <c r="BJ688" s="172"/>
      <c r="BK688" s="172"/>
      <c r="BL688" s="172"/>
      <c r="BM688" s="172"/>
      <c r="BN688" s="172"/>
      <c r="BO688" s="172"/>
      <c r="BP688" s="172"/>
      <c r="BQ688" s="172"/>
      <c r="BR688" s="172"/>
      <c r="BS688" s="172"/>
      <c r="BT688" s="172"/>
      <c r="BU688" s="172"/>
      <c r="BV688" s="172"/>
      <c r="BW688" s="172"/>
      <c r="BX688" s="172"/>
      <c r="BY688" s="174"/>
      <c r="BZ688" s="172"/>
      <c r="CA688" s="172"/>
      <c r="CD688" s="194"/>
      <c r="CE688" s="194"/>
      <c r="CF688" s="194"/>
      <c r="CG688" s="194"/>
      <c r="CH688" s="195"/>
      <c r="CI688" s="194"/>
      <c r="CJ688" s="194"/>
      <c r="CK688" s="194"/>
      <c r="CL688" s="196"/>
      <c r="CM688" s="196"/>
      <c r="CN688" s="194"/>
      <c r="CO688" s="197"/>
      <c r="CP688" s="196"/>
      <c r="CQ688" s="196"/>
      <c r="CR688" s="196"/>
      <c r="CS688" s="196"/>
      <c r="CT688" s="196"/>
      <c r="CU688" s="196"/>
      <c r="CV688" s="194"/>
      <c r="CW688" s="194"/>
      <c r="CX688" s="194"/>
      <c r="CY688" s="194"/>
      <c r="CZ688" s="194"/>
      <c r="DA688" s="194"/>
      <c r="DB688" s="194"/>
      <c r="DC688" s="194"/>
      <c r="DD688" s="194"/>
      <c r="DE688" s="194"/>
      <c r="DF688" s="196"/>
      <c r="DG688" s="198"/>
      <c r="DH688" s="194"/>
      <c r="DI688" s="194"/>
    </row>
    <row r="689" spans="1:113" s="24" customFormat="1" hidden="1" x14ac:dyDescent="0.3">
      <c r="A689" s="172"/>
      <c r="B689" s="172"/>
      <c r="C689" s="172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  <c r="AE689" s="173"/>
      <c r="AF689" s="173"/>
      <c r="AG689" s="173"/>
      <c r="AH689" s="173"/>
      <c r="AI689" s="173"/>
      <c r="AJ689" s="173"/>
      <c r="AK689" s="173"/>
      <c r="AL689" s="173"/>
      <c r="AM689" s="173"/>
      <c r="AN689" s="173"/>
      <c r="AO689" s="173"/>
      <c r="AP689" s="173"/>
      <c r="AQ689" s="173"/>
      <c r="AR689" s="173"/>
      <c r="AS689" s="172"/>
      <c r="AT689" s="172"/>
      <c r="AU689" s="172"/>
      <c r="AV689" s="172"/>
      <c r="AW689" s="172"/>
      <c r="AX689" s="172"/>
      <c r="AY689" s="172"/>
      <c r="AZ689" s="172"/>
      <c r="BA689" s="172"/>
      <c r="BB689" s="172"/>
      <c r="BC689" s="172"/>
      <c r="BD689" s="172"/>
      <c r="BE689" s="172"/>
      <c r="BF689" s="172"/>
      <c r="BG689" s="172"/>
      <c r="BH689" s="172"/>
      <c r="BI689" s="172"/>
      <c r="BJ689" s="172"/>
      <c r="BK689" s="172"/>
      <c r="BL689" s="172"/>
      <c r="BM689" s="172"/>
      <c r="BN689" s="172"/>
      <c r="BO689" s="172"/>
      <c r="BP689" s="172"/>
      <c r="BQ689" s="172"/>
      <c r="BR689" s="172"/>
      <c r="BS689" s="172"/>
      <c r="BT689" s="172"/>
      <c r="BU689" s="172"/>
      <c r="BV689" s="172"/>
      <c r="BW689" s="172"/>
      <c r="BX689" s="172"/>
      <c r="BY689" s="174"/>
      <c r="BZ689" s="172"/>
      <c r="CA689" s="172"/>
      <c r="CD689" s="194"/>
      <c r="CE689" s="194"/>
      <c r="CF689" s="194"/>
      <c r="CG689" s="194"/>
      <c r="CH689" s="195"/>
      <c r="CI689" s="194"/>
      <c r="CJ689" s="194"/>
      <c r="CK689" s="194"/>
      <c r="CL689" s="196"/>
      <c r="CM689" s="196"/>
      <c r="CN689" s="194"/>
      <c r="CO689" s="197"/>
      <c r="CP689" s="196"/>
      <c r="CQ689" s="196"/>
      <c r="CR689" s="196"/>
      <c r="CS689" s="196"/>
      <c r="CT689" s="196"/>
      <c r="CU689" s="196"/>
      <c r="CV689" s="194"/>
      <c r="CW689" s="194"/>
      <c r="CX689" s="194"/>
      <c r="CY689" s="194"/>
      <c r="CZ689" s="194"/>
      <c r="DA689" s="194"/>
      <c r="DB689" s="194"/>
      <c r="DC689" s="194"/>
      <c r="DD689" s="194"/>
      <c r="DE689" s="194"/>
      <c r="DF689" s="196"/>
      <c r="DG689" s="198"/>
      <c r="DH689" s="194"/>
      <c r="DI689" s="194"/>
    </row>
    <row r="690" spans="1:113" s="24" customFormat="1" hidden="1" x14ac:dyDescent="0.3">
      <c r="A690" s="172"/>
      <c r="B690" s="172"/>
      <c r="C690" s="172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  <c r="AE690" s="173"/>
      <c r="AF690" s="173"/>
      <c r="AG690" s="173"/>
      <c r="AH690" s="173"/>
      <c r="AI690" s="173"/>
      <c r="AJ690" s="173"/>
      <c r="AK690" s="173"/>
      <c r="AL690" s="173"/>
      <c r="AM690" s="173"/>
      <c r="AN690" s="173"/>
      <c r="AO690" s="173"/>
      <c r="AP690" s="173"/>
      <c r="AQ690" s="173"/>
      <c r="AR690" s="173"/>
      <c r="AS690" s="172"/>
      <c r="AT690" s="172"/>
      <c r="AU690" s="172"/>
      <c r="AV690" s="172"/>
      <c r="AW690" s="172"/>
      <c r="AX690" s="172"/>
      <c r="AY690" s="172"/>
      <c r="AZ690" s="172"/>
      <c r="BA690" s="172"/>
      <c r="BB690" s="172"/>
      <c r="BC690" s="172"/>
      <c r="BD690" s="172"/>
      <c r="BE690" s="172"/>
      <c r="BF690" s="172"/>
      <c r="BG690" s="172"/>
      <c r="BH690" s="172"/>
      <c r="BI690" s="172"/>
      <c r="BJ690" s="172"/>
      <c r="BK690" s="172"/>
      <c r="BL690" s="172"/>
      <c r="BM690" s="172"/>
      <c r="BN690" s="172"/>
      <c r="BO690" s="172"/>
      <c r="BP690" s="172"/>
      <c r="BQ690" s="172"/>
      <c r="BR690" s="172"/>
      <c r="BS690" s="172"/>
      <c r="BT690" s="172"/>
      <c r="BU690" s="172"/>
      <c r="BV690" s="172"/>
      <c r="BW690" s="172"/>
      <c r="BX690" s="172"/>
      <c r="BY690" s="174"/>
      <c r="BZ690" s="172"/>
      <c r="CA690" s="172"/>
      <c r="CD690" s="194"/>
      <c r="CE690" s="194"/>
      <c r="CF690" s="194"/>
      <c r="CG690" s="194"/>
      <c r="CH690" s="195"/>
      <c r="CI690" s="194"/>
      <c r="CJ690" s="194"/>
      <c r="CK690" s="194"/>
      <c r="CL690" s="196"/>
      <c r="CM690" s="196"/>
      <c r="CN690" s="194"/>
      <c r="CO690" s="197"/>
      <c r="CP690" s="196"/>
      <c r="CQ690" s="196"/>
      <c r="CR690" s="196"/>
      <c r="CS690" s="196"/>
      <c r="CT690" s="196"/>
      <c r="CU690" s="196"/>
      <c r="CV690" s="194"/>
      <c r="CW690" s="194"/>
      <c r="CX690" s="194"/>
      <c r="CY690" s="194"/>
      <c r="CZ690" s="194"/>
      <c r="DA690" s="194"/>
      <c r="DB690" s="194"/>
      <c r="DC690" s="194"/>
      <c r="DD690" s="194"/>
      <c r="DE690" s="194"/>
      <c r="DF690" s="196"/>
      <c r="DG690" s="198"/>
      <c r="DH690" s="194"/>
      <c r="DI690" s="194"/>
    </row>
    <row r="691" spans="1:113" s="24" customFormat="1" hidden="1" x14ac:dyDescent="0.3">
      <c r="A691" s="172"/>
      <c r="B691" s="172"/>
      <c r="C691" s="172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  <c r="AE691" s="173"/>
      <c r="AF691" s="173"/>
      <c r="AG691" s="173"/>
      <c r="AH691" s="173"/>
      <c r="AI691" s="173"/>
      <c r="AJ691" s="173"/>
      <c r="AK691" s="173"/>
      <c r="AL691" s="173"/>
      <c r="AM691" s="173"/>
      <c r="AN691" s="173"/>
      <c r="AO691" s="173"/>
      <c r="AP691" s="173"/>
      <c r="AQ691" s="173"/>
      <c r="AR691" s="173"/>
      <c r="AS691" s="172"/>
      <c r="AT691" s="172"/>
      <c r="AU691" s="172"/>
      <c r="AV691" s="172"/>
      <c r="AW691" s="172"/>
      <c r="AX691" s="172"/>
      <c r="AY691" s="172"/>
      <c r="AZ691" s="172"/>
      <c r="BA691" s="172"/>
      <c r="BB691" s="172"/>
      <c r="BC691" s="172"/>
      <c r="BD691" s="172"/>
      <c r="BE691" s="172"/>
      <c r="BF691" s="172"/>
      <c r="BG691" s="172"/>
      <c r="BH691" s="172"/>
      <c r="BI691" s="172"/>
      <c r="BJ691" s="172"/>
      <c r="BK691" s="172"/>
      <c r="BL691" s="172"/>
      <c r="BM691" s="172"/>
      <c r="BN691" s="172"/>
      <c r="BO691" s="172"/>
      <c r="BP691" s="172"/>
      <c r="BQ691" s="172"/>
      <c r="BR691" s="172"/>
      <c r="BS691" s="172"/>
      <c r="BT691" s="172"/>
      <c r="BU691" s="172"/>
      <c r="BV691" s="172"/>
      <c r="BW691" s="172"/>
      <c r="BX691" s="172"/>
      <c r="BY691" s="174"/>
      <c r="BZ691" s="172"/>
      <c r="CA691" s="172"/>
      <c r="CD691" s="194"/>
      <c r="CE691" s="194"/>
      <c r="CF691" s="194"/>
      <c r="CG691" s="194"/>
      <c r="CH691" s="195"/>
      <c r="CI691" s="194"/>
      <c r="CJ691" s="194"/>
      <c r="CK691" s="194"/>
      <c r="CL691" s="196"/>
      <c r="CM691" s="196"/>
      <c r="CN691" s="194"/>
      <c r="CO691" s="197"/>
      <c r="CP691" s="196"/>
      <c r="CQ691" s="196"/>
      <c r="CR691" s="196"/>
      <c r="CS691" s="196"/>
      <c r="CT691" s="196"/>
      <c r="CU691" s="196"/>
      <c r="CV691" s="194"/>
      <c r="CW691" s="194"/>
      <c r="CX691" s="194"/>
      <c r="CY691" s="194"/>
      <c r="CZ691" s="194"/>
      <c r="DA691" s="194"/>
      <c r="DB691" s="194"/>
      <c r="DC691" s="194"/>
      <c r="DD691" s="194"/>
      <c r="DE691" s="194"/>
      <c r="DF691" s="196"/>
      <c r="DG691" s="198"/>
      <c r="DH691" s="194"/>
      <c r="DI691" s="194"/>
    </row>
    <row r="692" spans="1:113" s="24" customFormat="1" hidden="1" x14ac:dyDescent="0.3">
      <c r="A692" s="172"/>
      <c r="B692" s="172"/>
      <c r="C692" s="172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  <c r="AE692" s="173"/>
      <c r="AF692" s="173"/>
      <c r="AG692" s="173"/>
      <c r="AH692" s="173"/>
      <c r="AI692" s="173"/>
      <c r="AJ692" s="173"/>
      <c r="AK692" s="173"/>
      <c r="AL692" s="173"/>
      <c r="AM692" s="173"/>
      <c r="AN692" s="173"/>
      <c r="AO692" s="173"/>
      <c r="AP692" s="173"/>
      <c r="AQ692" s="173"/>
      <c r="AR692" s="173"/>
      <c r="AS692" s="172"/>
      <c r="AT692" s="172"/>
      <c r="AU692" s="172"/>
      <c r="AV692" s="172"/>
      <c r="AW692" s="172"/>
      <c r="AX692" s="172"/>
      <c r="AY692" s="172"/>
      <c r="AZ692" s="172"/>
      <c r="BA692" s="172"/>
      <c r="BB692" s="172"/>
      <c r="BC692" s="172"/>
      <c r="BD692" s="172"/>
      <c r="BE692" s="172"/>
      <c r="BF692" s="172"/>
      <c r="BG692" s="172"/>
      <c r="BH692" s="172"/>
      <c r="BI692" s="172"/>
      <c r="BJ692" s="172"/>
      <c r="BK692" s="172"/>
      <c r="BL692" s="172"/>
      <c r="BM692" s="172"/>
      <c r="BN692" s="172"/>
      <c r="BO692" s="172"/>
      <c r="BP692" s="172"/>
      <c r="BQ692" s="172"/>
      <c r="BR692" s="172"/>
      <c r="BS692" s="172"/>
      <c r="BT692" s="172"/>
      <c r="BU692" s="172"/>
      <c r="BV692" s="172"/>
      <c r="BW692" s="172"/>
      <c r="BX692" s="172"/>
      <c r="BY692" s="174"/>
      <c r="BZ692" s="172"/>
      <c r="CA692" s="172"/>
      <c r="CD692" s="194"/>
      <c r="CE692" s="194"/>
      <c r="CF692" s="194"/>
      <c r="CG692" s="194"/>
      <c r="CH692" s="195"/>
      <c r="CI692" s="194"/>
      <c r="CJ692" s="194"/>
      <c r="CK692" s="194"/>
      <c r="CL692" s="196"/>
      <c r="CM692" s="196"/>
      <c r="CN692" s="194"/>
      <c r="CO692" s="197"/>
      <c r="CP692" s="196"/>
      <c r="CQ692" s="196"/>
      <c r="CR692" s="196"/>
      <c r="CS692" s="196"/>
      <c r="CT692" s="196"/>
      <c r="CU692" s="196"/>
      <c r="CV692" s="194"/>
      <c r="CW692" s="194"/>
      <c r="CX692" s="194"/>
      <c r="CY692" s="194"/>
      <c r="CZ692" s="194"/>
      <c r="DA692" s="194"/>
      <c r="DB692" s="194"/>
      <c r="DC692" s="194"/>
      <c r="DD692" s="194"/>
      <c r="DE692" s="194"/>
      <c r="DF692" s="196"/>
      <c r="DG692" s="198"/>
      <c r="DH692" s="194"/>
      <c r="DI692" s="194"/>
    </row>
    <row r="693" spans="1:113" s="24" customFormat="1" hidden="1" x14ac:dyDescent="0.3">
      <c r="A693" s="172"/>
      <c r="B693" s="172"/>
      <c r="C693" s="172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  <c r="AE693" s="173"/>
      <c r="AF693" s="173"/>
      <c r="AG693" s="173"/>
      <c r="AH693" s="173"/>
      <c r="AI693" s="173"/>
      <c r="AJ693" s="173"/>
      <c r="AK693" s="173"/>
      <c r="AL693" s="173"/>
      <c r="AM693" s="173"/>
      <c r="AN693" s="173"/>
      <c r="AO693" s="173"/>
      <c r="AP693" s="173"/>
      <c r="AQ693" s="173"/>
      <c r="AR693" s="173"/>
      <c r="AS693" s="172"/>
      <c r="AT693" s="172"/>
      <c r="AU693" s="172"/>
      <c r="AV693" s="172"/>
      <c r="AW693" s="172"/>
      <c r="AX693" s="172"/>
      <c r="AY693" s="172"/>
      <c r="AZ693" s="172"/>
      <c r="BA693" s="172"/>
      <c r="BB693" s="172"/>
      <c r="BC693" s="172"/>
      <c r="BD693" s="172"/>
      <c r="BE693" s="172"/>
      <c r="BF693" s="172"/>
      <c r="BG693" s="172"/>
      <c r="BH693" s="172"/>
      <c r="BI693" s="172"/>
      <c r="BJ693" s="172"/>
      <c r="BK693" s="172"/>
      <c r="BL693" s="172"/>
      <c r="BM693" s="172"/>
      <c r="BN693" s="172"/>
      <c r="BO693" s="172"/>
      <c r="BP693" s="172"/>
      <c r="BQ693" s="172"/>
      <c r="BR693" s="172"/>
      <c r="BS693" s="172"/>
      <c r="BT693" s="172"/>
      <c r="BU693" s="172"/>
      <c r="BV693" s="172"/>
      <c r="BW693" s="172"/>
      <c r="BX693" s="172"/>
      <c r="BY693" s="174"/>
      <c r="BZ693" s="172"/>
      <c r="CA693" s="172"/>
      <c r="CD693" s="194"/>
      <c r="CE693" s="194"/>
      <c r="CF693" s="194"/>
      <c r="CG693" s="194"/>
      <c r="CH693" s="195"/>
      <c r="CI693" s="194"/>
      <c r="CJ693" s="194"/>
      <c r="CK693" s="194"/>
      <c r="CL693" s="196"/>
      <c r="CM693" s="196"/>
      <c r="CN693" s="194"/>
      <c r="CO693" s="197"/>
      <c r="CP693" s="196"/>
      <c r="CQ693" s="196"/>
      <c r="CR693" s="196"/>
      <c r="CS693" s="196"/>
      <c r="CT693" s="196"/>
      <c r="CU693" s="196"/>
      <c r="CV693" s="194"/>
      <c r="CW693" s="194"/>
      <c r="CX693" s="194"/>
      <c r="CY693" s="194"/>
      <c r="CZ693" s="194"/>
      <c r="DA693" s="194"/>
      <c r="DB693" s="194"/>
      <c r="DC693" s="194"/>
      <c r="DD693" s="194"/>
      <c r="DE693" s="194"/>
      <c r="DF693" s="196"/>
      <c r="DG693" s="198"/>
      <c r="DH693" s="194"/>
      <c r="DI693" s="194"/>
    </row>
    <row r="694" spans="1:113" s="24" customFormat="1" hidden="1" x14ac:dyDescent="0.3">
      <c r="A694" s="172"/>
      <c r="B694" s="172"/>
      <c r="C694" s="172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  <c r="AE694" s="173"/>
      <c r="AF694" s="173"/>
      <c r="AG694" s="173"/>
      <c r="AH694" s="173"/>
      <c r="AI694" s="173"/>
      <c r="AJ694" s="173"/>
      <c r="AK694" s="173"/>
      <c r="AL694" s="173"/>
      <c r="AM694" s="173"/>
      <c r="AN694" s="173"/>
      <c r="AO694" s="173"/>
      <c r="AP694" s="173"/>
      <c r="AQ694" s="173"/>
      <c r="AR694" s="173"/>
      <c r="AS694" s="172"/>
      <c r="AT694" s="172"/>
      <c r="AU694" s="172"/>
      <c r="AV694" s="172"/>
      <c r="AW694" s="172"/>
      <c r="AX694" s="172"/>
      <c r="AY694" s="172"/>
      <c r="AZ694" s="172"/>
      <c r="BA694" s="172"/>
      <c r="BB694" s="172"/>
      <c r="BC694" s="172"/>
      <c r="BD694" s="172"/>
      <c r="BE694" s="172"/>
      <c r="BF694" s="172"/>
      <c r="BG694" s="172"/>
      <c r="BH694" s="172"/>
      <c r="BI694" s="172"/>
      <c r="BJ694" s="172"/>
      <c r="BK694" s="172"/>
      <c r="BL694" s="172"/>
      <c r="BM694" s="172"/>
      <c r="BN694" s="172"/>
      <c r="BO694" s="172"/>
      <c r="BP694" s="172"/>
      <c r="BQ694" s="172"/>
      <c r="BR694" s="172"/>
      <c r="BS694" s="172"/>
      <c r="BT694" s="172"/>
      <c r="BU694" s="172"/>
      <c r="BV694" s="172"/>
      <c r="BW694" s="172"/>
      <c r="BX694" s="172"/>
      <c r="BY694" s="174"/>
      <c r="BZ694" s="172"/>
      <c r="CA694" s="172"/>
      <c r="CD694" s="194"/>
      <c r="CE694" s="194"/>
      <c r="CF694" s="194"/>
      <c r="CG694" s="194"/>
      <c r="CH694" s="195"/>
      <c r="CI694" s="194"/>
      <c r="CJ694" s="194"/>
      <c r="CK694" s="194"/>
      <c r="CL694" s="196"/>
      <c r="CM694" s="196"/>
      <c r="CN694" s="194"/>
      <c r="CO694" s="197"/>
      <c r="CP694" s="196"/>
      <c r="CQ694" s="196"/>
      <c r="CR694" s="196"/>
      <c r="CS694" s="196"/>
      <c r="CT694" s="196"/>
      <c r="CU694" s="196"/>
      <c r="CV694" s="194"/>
      <c r="CW694" s="194"/>
      <c r="CX694" s="194"/>
      <c r="CY694" s="194"/>
      <c r="CZ694" s="194"/>
      <c r="DA694" s="194"/>
      <c r="DB694" s="194"/>
      <c r="DC694" s="194"/>
      <c r="DD694" s="194"/>
      <c r="DE694" s="194"/>
      <c r="DF694" s="196"/>
      <c r="DG694" s="198"/>
      <c r="DH694" s="194"/>
      <c r="DI694" s="194"/>
    </row>
    <row r="695" spans="1:113" s="24" customFormat="1" hidden="1" x14ac:dyDescent="0.3">
      <c r="A695" s="172"/>
      <c r="B695" s="172"/>
      <c r="C695" s="172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  <c r="AE695" s="173"/>
      <c r="AF695" s="173"/>
      <c r="AG695" s="173"/>
      <c r="AH695" s="173"/>
      <c r="AI695" s="173"/>
      <c r="AJ695" s="173"/>
      <c r="AK695" s="173"/>
      <c r="AL695" s="173"/>
      <c r="AM695" s="173"/>
      <c r="AN695" s="173"/>
      <c r="AO695" s="173"/>
      <c r="AP695" s="173"/>
      <c r="AQ695" s="173"/>
      <c r="AR695" s="173"/>
      <c r="AS695" s="172"/>
      <c r="AT695" s="172"/>
      <c r="AU695" s="172"/>
      <c r="AV695" s="172"/>
      <c r="AW695" s="172"/>
      <c r="AX695" s="172"/>
      <c r="AY695" s="172"/>
      <c r="AZ695" s="172"/>
      <c r="BA695" s="172"/>
      <c r="BB695" s="172"/>
      <c r="BC695" s="172"/>
      <c r="BD695" s="172"/>
      <c r="BE695" s="172"/>
      <c r="BF695" s="172"/>
      <c r="BG695" s="172"/>
      <c r="BH695" s="172"/>
      <c r="BI695" s="172"/>
      <c r="BJ695" s="172"/>
      <c r="BK695" s="172"/>
      <c r="BL695" s="172"/>
      <c r="BM695" s="172"/>
      <c r="BN695" s="172"/>
      <c r="BO695" s="172"/>
      <c r="BP695" s="172"/>
      <c r="BQ695" s="172"/>
      <c r="BR695" s="172"/>
      <c r="BS695" s="172"/>
      <c r="BT695" s="172"/>
      <c r="BU695" s="172"/>
      <c r="BV695" s="172"/>
      <c r="BW695" s="172"/>
      <c r="BX695" s="172"/>
      <c r="BY695" s="174"/>
      <c r="BZ695" s="172"/>
      <c r="CA695" s="172"/>
      <c r="CD695" s="194"/>
      <c r="CE695" s="194"/>
      <c r="CF695" s="194"/>
      <c r="CG695" s="194"/>
      <c r="CH695" s="195"/>
      <c r="CI695" s="194"/>
      <c r="CJ695" s="194"/>
      <c r="CK695" s="194"/>
      <c r="CL695" s="196"/>
      <c r="CM695" s="196"/>
      <c r="CN695" s="194"/>
      <c r="CO695" s="197"/>
      <c r="CP695" s="196"/>
      <c r="CQ695" s="196"/>
      <c r="CR695" s="196"/>
      <c r="CS695" s="196"/>
      <c r="CT695" s="196"/>
      <c r="CU695" s="196"/>
      <c r="CV695" s="194"/>
      <c r="CW695" s="194"/>
      <c r="CX695" s="194"/>
      <c r="CY695" s="194"/>
      <c r="CZ695" s="194"/>
      <c r="DA695" s="194"/>
      <c r="DB695" s="194"/>
      <c r="DC695" s="194"/>
      <c r="DD695" s="194"/>
      <c r="DE695" s="194"/>
      <c r="DF695" s="196"/>
      <c r="DG695" s="198"/>
      <c r="DH695" s="194"/>
      <c r="DI695" s="194"/>
    </row>
    <row r="696" spans="1:113" s="24" customFormat="1" hidden="1" x14ac:dyDescent="0.3">
      <c r="A696" s="172"/>
      <c r="B696" s="172"/>
      <c r="C696" s="172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  <c r="AE696" s="173"/>
      <c r="AF696" s="173"/>
      <c r="AG696" s="173"/>
      <c r="AH696" s="173"/>
      <c r="AI696" s="173"/>
      <c r="AJ696" s="173"/>
      <c r="AK696" s="173"/>
      <c r="AL696" s="173"/>
      <c r="AM696" s="173"/>
      <c r="AN696" s="173"/>
      <c r="AO696" s="173"/>
      <c r="AP696" s="173"/>
      <c r="AQ696" s="173"/>
      <c r="AR696" s="173"/>
      <c r="AS696" s="172"/>
      <c r="AT696" s="172"/>
      <c r="AU696" s="172"/>
      <c r="AV696" s="172"/>
      <c r="AW696" s="172"/>
      <c r="AX696" s="172"/>
      <c r="AY696" s="172"/>
      <c r="AZ696" s="172"/>
      <c r="BA696" s="172"/>
      <c r="BB696" s="172"/>
      <c r="BC696" s="172"/>
      <c r="BD696" s="172"/>
      <c r="BE696" s="172"/>
      <c r="BF696" s="172"/>
      <c r="BG696" s="172"/>
      <c r="BH696" s="172"/>
      <c r="BI696" s="172"/>
      <c r="BJ696" s="172"/>
      <c r="BK696" s="172"/>
      <c r="BL696" s="172"/>
      <c r="BM696" s="172"/>
      <c r="BN696" s="172"/>
      <c r="BO696" s="172"/>
      <c r="BP696" s="172"/>
      <c r="BQ696" s="172"/>
      <c r="BR696" s="172"/>
      <c r="BS696" s="172"/>
      <c r="BT696" s="172"/>
      <c r="BU696" s="172"/>
      <c r="BV696" s="172"/>
      <c r="BW696" s="172"/>
      <c r="BX696" s="172"/>
      <c r="BY696" s="174"/>
      <c r="BZ696" s="172"/>
      <c r="CA696" s="172"/>
      <c r="CD696" s="194"/>
      <c r="CE696" s="194"/>
      <c r="CF696" s="194"/>
      <c r="CG696" s="194"/>
      <c r="CH696" s="195"/>
      <c r="CI696" s="194"/>
      <c r="CJ696" s="194"/>
      <c r="CK696" s="194"/>
      <c r="CL696" s="196"/>
      <c r="CM696" s="196"/>
      <c r="CN696" s="194"/>
      <c r="CO696" s="197"/>
      <c r="CP696" s="196"/>
      <c r="CQ696" s="196"/>
      <c r="CR696" s="196"/>
      <c r="CS696" s="196"/>
      <c r="CT696" s="196"/>
      <c r="CU696" s="196"/>
      <c r="CV696" s="194"/>
      <c r="CW696" s="194"/>
      <c r="CX696" s="194"/>
      <c r="CY696" s="194"/>
      <c r="CZ696" s="194"/>
      <c r="DA696" s="194"/>
      <c r="DB696" s="194"/>
      <c r="DC696" s="194"/>
      <c r="DD696" s="194"/>
      <c r="DE696" s="194"/>
      <c r="DF696" s="196"/>
      <c r="DG696" s="198"/>
      <c r="DH696" s="194"/>
      <c r="DI696" s="194"/>
    </row>
    <row r="697" spans="1:113" s="24" customFormat="1" hidden="1" x14ac:dyDescent="0.3">
      <c r="A697" s="172"/>
      <c r="B697" s="172"/>
      <c r="C697" s="172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  <c r="AE697" s="173"/>
      <c r="AF697" s="173"/>
      <c r="AG697" s="173"/>
      <c r="AH697" s="173"/>
      <c r="AI697" s="173"/>
      <c r="AJ697" s="173"/>
      <c r="AK697" s="173"/>
      <c r="AL697" s="173"/>
      <c r="AM697" s="173"/>
      <c r="AN697" s="173"/>
      <c r="AO697" s="173"/>
      <c r="AP697" s="173"/>
      <c r="AQ697" s="173"/>
      <c r="AR697" s="173"/>
      <c r="AS697" s="172"/>
      <c r="AT697" s="172"/>
      <c r="AU697" s="172"/>
      <c r="AV697" s="172"/>
      <c r="AW697" s="172"/>
      <c r="AX697" s="172"/>
      <c r="AY697" s="172"/>
      <c r="AZ697" s="172"/>
      <c r="BA697" s="172"/>
      <c r="BB697" s="172"/>
      <c r="BC697" s="172"/>
      <c r="BD697" s="172"/>
      <c r="BE697" s="172"/>
      <c r="BF697" s="172"/>
      <c r="BG697" s="172"/>
      <c r="BH697" s="172"/>
      <c r="BI697" s="172"/>
      <c r="BJ697" s="172"/>
      <c r="BK697" s="172"/>
      <c r="BL697" s="172"/>
      <c r="BM697" s="172"/>
      <c r="BN697" s="172"/>
      <c r="BO697" s="172"/>
      <c r="BP697" s="172"/>
      <c r="BQ697" s="172"/>
      <c r="BR697" s="172"/>
      <c r="BS697" s="172"/>
      <c r="BT697" s="172"/>
      <c r="BU697" s="172"/>
      <c r="BV697" s="172"/>
      <c r="BW697" s="172"/>
      <c r="BX697" s="172"/>
      <c r="BY697" s="174"/>
      <c r="BZ697" s="172"/>
      <c r="CA697" s="172"/>
      <c r="CD697" s="194"/>
      <c r="CE697" s="194"/>
      <c r="CF697" s="194"/>
      <c r="CG697" s="194"/>
      <c r="CH697" s="195"/>
      <c r="CI697" s="194"/>
      <c r="CJ697" s="194"/>
      <c r="CK697" s="194"/>
      <c r="CL697" s="196"/>
      <c r="CM697" s="196"/>
      <c r="CN697" s="194"/>
      <c r="CO697" s="197"/>
      <c r="CP697" s="196"/>
      <c r="CQ697" s="196"/>
      <c r="CR697" s="196"/>
      <c r="CS697" s="196"/>
      <c r="CT697" s="196"/>
      <c r="CU697" s="196"/>
      <c r="CV697" s="194"/>
      <c r="CW697" s="194"/>
      <c r="CX697" s="194"/>
      <c r="CY697" s="194"/>
      <c r="CZ697" s="194"/>
      <c r="DA697" s="194"/>
      <c r="DB697" s="194"/>
      <c r="DC697" s="194"/>
      <c r="DD697" s="194"/>
      <c r="DE697" s="194"/>
      <c r="DF697" s="196"/>
      <c r="DG697" s="198"/>
      <c r="DH697" s="194"/>
      <c r="DI697" s="194"/>
    </row>
    <row r="698" spans="1:113" s="24" customFormat="1" hidden="1" x14ac:dyDescent="0.3">
      <c r="A698" s="172"/>
      <c r="B698" s="172"/>
      <c r="C698" s="172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  <c r="AE698" s="173"/>
      <c r="AF698" s="173"/>
      <c r="AG698" s="173"/>
      <c r="AH698" s="173"/>
      <c r="AI698" s="173"/>
      <c r="AJ698" s="173"/>
      <c r="AK698" s="173"/>
      <c r="AL698" s="173"/>
      <c r="AM698" s="173"/>
      <c r="AN698" s="173"/>
      <c r="AO698" s="173"/>
      <c r="AP698" s="173"/>
      <c r="AQ698" s="173"/>
      <c r="AR698" s="173"/>
      <c r="AS698" s="172"/>
      <c r="AT698" s="172"/>
      <c r="AU698" s="172"/>
      <c r="AV698" s="172"/>
      <c r="AW698" s="172"/>
      <c r="AX698" s="172"/>
      <c r="AY698" s="172"/>
      <c r="AZ698" s="172"/>
      <c r="BA698" s="172"/>
      <c r="BB698" s="172"/>
      <c r="BC698" s="172"/>
      <c r="BD698" s="172"/>
      <c r="BE698" s="172"/>
      <c r="BF698" s="172"/>
      <c r="BG698" s="172"/>
      <c r="BH698" s="172"/>
      <c r="BI698" s="172"/>
      <c r="BJ698" s="172"/>
      <c r="BK698" s="172"/>
      <c r="BL698" s="172"/>
      <c r="BM698" s="172"/>
      <c r="BN698" s="172"/>
      <c r="BO698" s="172"/>
      <c r="BP698" s="172"/>
      <c r="BQ698" s="172"/>
      <c r="BR698" s="172"/>
      <c r="BS698" s="172"/>
      <c r="BT698" s="172"/>
      <c r="BU698" s="172"/>
      <c r="BV698" s="172"/>
      <c r="BW698" s="172"/>
      <c r="BX698" s="172"/>
      <c r="BY698" s="174"/>
      <c r="BZ698" s="172"/>
      <c r="CA698" s="172"/>
      <c r="CD698" s="194"/>
      <c r="CE698" s="194"/>
      <c r="CF698" s="194"/>
      <c r="CG698" s="194"/>
      <c r="CH698" s="195"/>
      <c r="CI698" s="194"/>
      <c r="CJ698" s="194"/>
      <c r="CK698" s="194"/>
      <c r="CL698" s="196"/>
      <c r="CM698" s="196"/>
      <c r="CN698" s="194"/>
      <c r="CO698" s="197"/>
      <c r="CP698" s="196"/>
      <c r="CQ698" s="196"/>
      <c r="CR698" s="196"/>
      <c r="CS698" s="196"/>
      <c r="CT698" s="196"/>
      <c r="CU698" s="196"/>
      <c r="CV698" s="194"/>
      <c r="CW698" s="194"/>
      <c r="CX698" s="194"/>
      <c r="CY698" s="194"/>
      <c r="CZ698" s="194"/>
      <c r="DA698" s="194"/>
      <c r="DB698" s="194"/>
      <c r="DC698" s="194"/>
      <c r="DD698" s="194"/>
      <c r="DE698" s="194"/>
      <c r="DF698" s="196"/>
      <c r="DG698" s="198"/>
      <c r="DH698" s="194"/>
      <c r="DI698" s="194"/>
    </row>
    <row r="699" spans="1:113" s="24" customFormat="1" hidden="1" x14ac:dyDescent="0.3">
      <c r="A699" s="172"/>
      <c r="B699" s="172"/>
      <c r="C699" s="172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  <c r="AE699" s="173"/>
      <c r="AF699" s="173"/>
      <c r="AG699" s="173"/>
      <c r="AH699" s="173"/>
      <c r="AI699" s="173"/>
      <c r="AJ699" s="173"/>
      <c r="AK699" s="173"/>
      <c r="AL699" s="173"/>
      <c r="AM699" s="173"/>
      <c r="AN699" s="173"/>
      <c r="AO699" s="173"/>
      <c r="AP699" s="173"/>
      <c r="AQ699" s="173"/>
      <c r="AR699" s="173"/>
      <c r="AS699" s="172"/>
      <c r="AT699" s="172"/>
      <c r="AU699" s="172"/>
      <c r="AV699" s="172"/>
      <c r="AW699" s="172"/>
      <c r="AX699" s="172"/>
      <c r="AY699" s="172"/>
      <c r="AZ699" s="172"/>
      <c r="BA699" s="172"/>
      <c r="BB699" s="172"/>
      <c r="BC699" s="172"/>
      <c r="BD699" s="172"/>
      <c r="BE699" s="172"/>
      <c r="BF699" s="172"/>
      <c r="BG699" s="172"/>
      <c r="BH699" s="172"/>
      <c r="BI699" s="172"/>
      <c r="BJ699" s="172"/>
      <c r="BK699" s="172"/>
      <c r="BL699" s="172"/>
      <c r="BM699" s="172"/>
      <c r="BN699" s="172"/>
      <c r="BO699" s="172"/>
      <c r="BP699" s="172"/>
      <c r="BQ699" s="172"/>
      <c r="BR699" s="172"/>
      <c r="BS699" s="172"/>
      <c r="BT699" s="172"/>
      <c r="BU699" s="172"/>
      <c r="BV699" s="172"/>
      <c r="BW699" s="172"/>
      <c r="BX699" s="172"/>
      <c r="BY699" s="174"/>
      <c r="BZ699" s="172"/>
      <c r="CA699" s="172"/>
      <c r="CD699" s="194"/>
      <c r="CE699" s="194"/>
      <c r="CF699" s="194"/>
      <c r="CG699" s="194"/>
      <c r="CH699" s="195"/>
      <c r="CI699" s="194"/>
      <c r="CJ699" s="194"/>
      <c r="CK699" s="194"/>
      <c r="CL699" s="196"/>
      <c r="CM699" s="196"/>
      <c r="CN699" s="194"/>
      <c r="CO699" s="197"/>
      <c r="CP699" s="196"/>
      <c r="CQ699" s="196"/>
      <c r="CR699" s="196"/>
      <c r="CS699" s="196"/>
      <c r="CT699" s="196"/>
      <c r="CU699" s="196"/>
      <c r="CV699" s="194"/>
      <c r="CW699" s="194"/>
      <c r="CX699" s="194"/>
      <c r="CY699" s="194"/>
      <c r="CZ699" s="194"/>
      <c r="DA699" s="194"/>
      <c r="DB699" s="194"/>
      <c r="DC699" s="194"/>
      <c r="DD699" s="194"/>
      <c r="DE699" s="194"/>
      <c r="DF699" s="196"/>
      <c r="DG699" s="198"/>
      <c r="DH699" s="194"/>
      <c r="DI699" s="194"/>
    </row>
    <row r="700" spans="1:113" s="24" customFormat="1" hidden="1" x14ac:dyDescent="0.3">
      <c r="A700" s="172"/>
      <c r="B700" s="172"/>
      <c r="C700" s="172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  <c r="AE700" s="173"/>
      <c r="AF700" s="173"/>
      <c r="AG700" s="173"/>
      <c r="AH700" s="173"/>
      <c r="AI700" s="173"/>
      <c r="AJ700" s="173"/>
      <c r="AK700" s="173"/>
      <c r="AL700" s="173"/>
      <c r="AM700" s="173"/>
      <c r="AN700" s="173"/>
      <c r="AO700" s="173"/>
      <c r="AP700" s="173"/>
      <c r="AQ700" s="173"/>
      <c r="AR700" s="173"/>
      <c r="AS700" s="172"/>
      <c r="AT700" s="172"/>
      <c r="AU700" s="172"/>
      <c r="AV700" s="172"/>
      <c r="AW700" s="172"/>
      <c r="AX700" s="172"/>
      <c r="AY700" s="172"/>
      <c r="AZ700" s="172"/>
      <c r="BA700" s="172"/>
      <c r="BB700" s="172"/>
      <c r="BC700" s="172"/>
      <c r="BD700" s="172"/>
      <c r="BE700" s="172"/>
      <c r="BF700" s="172"/>
      <c r="BG700" s="172"/>
      <c r="BH700" s="172"/>
      <c r="BI700" s="172"/>
      <c r="BJ700" s="172"/>
      <c r="BK700" s="172"/>
      <c r="BL700" s="172"/>
      <c r="BM700" s="172"/>
      <c r="BN700" s="172"/>
      <c r="BO700" s="172"/>
      <c r="BP700" s="172"/>
      <c r="BQ700" s="172"/>
      <c r="BR700" s="172"/>
      <c r="BS700" s="172"/>
      <c r="BT700" s="172"/>
      <c r="BU700" s="172"/>
      <c r="BV700" s="172"/>
      <c r="BW700" s="172"/>
      <c r="BX700" s="172"/>
      <c r="BY700" s="174"/>
      <c r="BZ700" s="172"/>
      <c r="CA700" s="172"/>
      <c r="CD700" s="194"/>
      <c r="CE700" s="194"/>
      <c r="CF700" s="194"/>
      <c r="CG700" s="194"/>
      <c r="CH700" s="195"/>
      <c r="CI700" s="194"/>
      <c r="CJ700" s="194"/>
      <c r="CK700" s="194"/>
      <c r="CL700" s="196"/>
      <c r="CM700" s="196"/>
      <c r="CN700" s="194"/>
      <c r="CO700" s="197"/>
      <c r="CP700" s="196"/>
      <c r="CQ700" s="196"/>
      <c r="CR700" s="196"/>
      <c r="CS700" s="196"/>
      <c r="CT700" s="196"/>
      <c r="CU700" s="196"/>
      <c r="CV700" s="194"/>
      <c r="CW700" s="194"/>
      <c r="CX700" s="194"/>
      <c r="CY700" s="194"/>
      <c r="CZ700" s="194"/>
      <c r="DA700" s="194"/>
      <c r="DB700" s="194"/>
      <c r="DC700" s="194"/>
      <c r="DD700" s="194"/>
      <c r="DE700" s="194"/>
      <c r="DF700" s="196"/>
      <c r="DG700" s="198"/>
      <c r="DH700" s="194"/>
      <c r="DI700" s="194"/>
    </row>
    <row r="701" spans="1:113" s="24" customFormat="1" hidden="1" x14ac:dyDescent="0.3">
      <c r="A701" s="172"/>
      <c r="B701" s="172"/>
      <c r="C701" s="172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  <c r="AE701" s="173"/>
      <c r="AF701" s="173"/>
      <c r="AG701" s="173"/>
      <c r="AH701" s="173"/>
      <c r="AI701" s="173"/>
      <c r="AJ701" s="173"/>
      <c r="AK701" s="173"/>
      <c r="AL701" s="173"/>
      <c r="AM701" s="173"/>
      <c r="AN701" s="173"/>
      <c r="AO701" s="173"/>
      <c r="AP701" s="173"/>
      <c r="AQ701" s="173"/>
      <c r="AR701" s="173"/>
      <c r="AS701" s="172"/>
      <c r="AT701" s="172"/>
      <c r="AU701" s="172"/>
      <c r="AV701" s="172"/>
      <c r="AW701" s="172"/>
      <c r="AX701" s="172"/>
      <c r="AY701" s="172"/>
      <c r="AZ701" s="172"/>
      <c r="BA701" s="172"/>
      <c r="BB701" s="172"/>
      <c r="BC701" s="172"/>
      <c r="BD701" s="172"/>
      <c r="BE701" s="172"/>
      <c r="BF701" s="172"/>
      <c r="BG701" s="172"/>
      <c r="BH701" s="172"/>
      <c r="BI701" s="172"/>
      <c r="BJ701" s="172"/>
      <c r="BK701" s="172"/>
      <c r="BL701" s="172"/>
      <c r="BM701" s="172"/>
      <c r="BN701" s="172"/>
      <c r="BO701" s="172"/>
      <c r="BP701" s="172"/>
      <c r="BQ701" s="172"/>
      <c r="BR701" s="172"/>
      <c r="BS701" s="172"/>
      <c r="BT701" s="172"/>
      <c r="BU701" s="172"/>
      <c r="BV701" s="172"/>
      <c r="BW701" s="172"/>
      <c r="BX701" s="172"/>
      <c r="BY701" s="174"/>
      <c r="BZ701" s="172"/>
      <c r="CA701" s="172"/>
      <c r="CD701" s="194"/>
      <c r="CE701" s="194"/>
      <c r="CF701" s="194"/>
      <c r="CG701" s="194"/>
      <c r="CH701" s="195"/>
      <c r="CI701" s="194"/>
      <c r="CJ701" s="194"/>
      <c r="CK701" s="194"/>
      <c r="CL701" s="196"/>
      <c r="CM701" s="196"/>
      <c r="CN701" s="194"/>
      <c r="CO701" s="197"/>
      <c r="CP701" s="196"/>
      <c r="CQ701" s="196"/>
      <c r="CR701" s="196"/>
      <c r="CS701" s="196"/>
      <c r="CT701" s="196"/>
      <c r="CU701" s="196"/>
      <c r="CV701" s="194"/>
      <c r="CW701" s="194"/>
      <c r="CX701" s="194"/>
      <c r="CY701" s="194"/>
      <c r="CZ701" s="194"/>
      <c r="DA701" s="194"/>
      <c r="DB701" s="194"/>
      <c r="DC701" s="194"/>
      <c r="DD701" s="194"/>
      <c r="DE701" s="194"/>
      <c r="DF701" s="196"/>
      <c r="DG701" s="198"/>
      <c r="DH701" s="194"/>
      <c r="DI701" s="194"/>
    </row>
    <row r="702" spans="1:113" s="24" customFormat="1" hidden="1" x14ac:dyDescent="0.3">
      <c r="A702" s="172"/>
      <c r="B702" s="172"/>
      <c r="C702" s="172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  <c r="AE702" s="173"/>
      <c r="AF702" s="173"/>
      <c r="AG702" s="173"/>
      <c r="AH702" s="173"/>
      <c r="AI702" s="173"/>
      <c r="AJ702" s="173"/>
      <c r="AK702" s="173"/>
      <c r="AL702" s="173"/>
      <c r="AM702" s="173"/>
      <c r="AN702" s="173"/>
      <c r="AO702" s="173"/>
      <c r="AP702" s="173"/>
      <c r="AQ702" s="173"/>
      <c r="AR702" s="173"/>
      <c r="AS702" s="172"/>
      <c r="AT702" s="172"/>
      <c r="AU702" s="172"/>
      <c r="AV702" s="172"/>
      <c r="AW702" s="172"/>
      <c r="AX702" s="172"/>
      <c r="AY702" s="172"/>
      <c r="AZ702" s="172"/>
      <c r="BA702" s="172"/>
      <c r="BB702" s="172"/>
      <c r="BC702" s="172"/>
      <c r="BD702" s="172"/>
      <c r="BE702" s="172"/>
      <c r="BF702" s="172"/>
      <c r="BG702" s="172"/>
      <c r="BH702" s="172"/>
      <c r="BI702" s="172"/>
      <c r="BJ702" s="172"/>
      <c r="BK702" s="172"/>
      <c r="BL702" s="172"/>
      <c r="BM702" s="172"/>
      <c r="BN702" s="172"/>
      <c r="BO702" s="172"/>
      <c r="BP702" s="172"/>
      <c r="BQ702" s="172"/>
      <c r="BR702" s="172"/>
      <c r="BS702" s="172"/>
      <c r="BT702" s="172"/>
      <c r="BU702" s="172"/>
      <c r="BV702" s="172"/>
      <c r="BW702" s="172"/>
      <c r="BX702" s="172"/>
      <c r="BY702" s="174"/>
      <c r="BZ702" s="172"/>
      <c r="CA702" s="172"/>
      <c r="CD702" s="194"/>
      <c r="CE702" s="194"/>
      <c r="CF702" s="194"/>
      <c r="CG702" s="194"/>
      <c r="CH702" s="195"/>
      <c r="CI702" s="194"/>
      <c r="CJ702" s="194"/>
      <c r="CK702" s="194"/>
      <c r="CL702" s="196"/>
      <c r="CM702" s="196"/>
      <c r="CN702" s="194"/>
      <c r="CO702" s="197"/>
      <c r="CP702" s="196"/>
      <c r="CQ702" s="196"/>
      <c r="CR702" s="196"/>
      <c r="CS702" s="196"/>
      <c r="CT702" s="196"/>
      <c r="CU702" s="196"/>
      <c r="CV702" s="194"/>
      <c r="CW702" s="194"/>
      <c r="CX702" s="194"/>
      <c r="CY702" s="194"/>
      <c r="CZ702" s="194"/>
      <c r="DA702" s="194"/>
      <c r="DB702" s="194"/>
      <c r="DC702" s="194"/>
      <c r="DD702" s="194"/>
      <c r="DE702" s="194"/>
      <c r="DF702" s="196"/>
      <c r="DG702" s="198"/>
      <c r="DH702" s="194"/>
      <c r="DI702" s="194"/>
    </row>
    <row r="703" spans="1:113" s="24" customFormat="1" hidden="1" x14ac:dyDescent="0.3">
      <c r="A703" s="172"/>
      <c r="B703" s="172"/>
      <c r="C703" s="172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  <c r="AE703" s="173"/>
      <c r="AF703" s="173"/>
      <c r="AG703" s="173"/>
      <c r="AH703" s="173"/>
      <c r="AI703" s="173"/>
      <c r="AJ703" s="173"/>
      <c r="AK703" s="173"/>
      <c r="AL703" s="173"/>
      <c r="AM703" s="173"/>
      <c r="AN703" s="173"/>
      <c r="AO703" s="173"/>
      <c r="AP703" s="173"/>
      <c r="AQ703" s="173"/>
      <c r="AR703" s="173"/>
      <c r="AS703" s="172"/>
      <c r="AT703" s="172"/>
      <c r="AU703" s="172"/>
      <c r="AV703" s="172"/>
      <c r="AW703" s="172"/>
      <c r="AX703" s="172"/>
      <c r="AY703" s="172"/>
      <c r="AZ703" s="172"/>
      <c r="BA703" s="172"/>
      <c r="BB703" s="172"/>
      <c r="BC703" s="172"/>
      <c r="BD703" s="172"/>
      <c r="BE703" s="172"/>
      <c r="BF703" s="172"/>
      <c r="BG703" s="172"/>
      <c r="BH703" s="172"/>
      <c r="BI703" s="172"/>
      <c r="BJ703" s="172"/>
      <c r="BK703" s="172"/>
      <c r="BL703" s="172"/>
      <c r="BM703" s="172"/>
      <c r="BN703" s="172"/>
      <c r="BO703" s="172"/>
      <c r="BP703" s="172"/>
      <c r="BQ703" s="172"/>
      <c r="BR703" s="172"/>
      <c r="BS703" s="172"/>
      <c r="BT703" s="172"/>
      <c r="BU703" s="172"/>
      <c r="BV703" s="172"/>
      <c r="BW703" s="172"/>
      <c r="BX703" s="172"/>
      <c r="BY703" s="174"/>
      <c r="BZ703" s="172"/>
      <c r="CA703" s="172"/>
      <c r="CD703" s="194"/>
      <c r="CE703" s="194"/>
      <c r="CF703" s="194"/>
      <c r="CG703" s="194"/>
      <c r="CH703" s="195"/>
      <c r="CI703" s="194"/>
      <c r="CJ703" s="194"/>
      <c r="CK703" s="194"/>
      <c r="CL703" s="196"/>
      <c r="CM703" s="196"/>
      <c r="CN703" s="194"/>
      <c r="CO703" s="197"/>
      <c r="CP703" s="196"/>
      <c r="CQ703" s="196"/>
      <c r="CR703" s="196"/>
      <c r="CS703" s="196"/>
      <c r="CT703" s="196"/>
      <c r="CU703" s="196"/>
      <c r="CV703" s="194"/>
      <c r="CW703" s="194"/>
      <c r="CX703" s="194"/>
      <c r="CY703" s="194"/>
      <c r="CZ703" s="194"/>
      <c r="DA703" s="194"/>
      <c r="DB703" s="194"/>
      <c r="DC703" s="194"/>
      <c r="DD703" s="194"/>
      <c r="DE703" s="194"/>
      <c r="DF703" s="196"/>
      <c r="DG703" s="198"/>
      <c r="DH703" s="194"/>
      <c r="DI703" s="194"/>
    </row>
    <row r="704" spans="1:113" s="24" customFormat="1" hidden="1" x14ac:dyDescent="0.3">
      <c r="A704" s="172"/>
      <c r="B704" s="172"/>
      <c r="C704" s="172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  <c r="AE704" s="173"/>
      <c r="AF704" s="173"/>
      <c r="AG704" s="173"/>
      <c r="AH704" s="173"/>
      <c r="AI704" s="173"/>
      <c r="AJ704" s="173"/>
      <c r="AK704" s="173"/>
      <c r="AL704" s="173"/>
      <c r="AM704" s="173"/>
      <c r="AN704" s="173"/>
      <c r="AO704" s="173"/>
      <c r="AP704" s="173"/>
      <c r="AQ704" s="173"/>
      <c r="AR704" s="173"/>
      <c r="AS704" s="172"/>
      <c r="AT704" s="172"/>
      <c r="AU704" s="172"/>
      <c r="AV704" s="172"/>
      <c r="AW704" s="172"/>
      <c r="AX704" s="172"/>
      <c r="AY704" s="172"/>
      <c r="AZ704" s="172"/>
      <c r="BA704" s="172"/>
      <c r="BB704" s="172"/>
      <c r="BC704" s="172"/>
      <c r="BD704" s="172"/>
      <c r="BE704" s="172"/>
      <c r="BF704" s="172"/>
      <c r="BG704" s="172"/>
      <c r="BH704" s="172"/>
      <c r="BI704" s="172"/>
      <c r="BJ704" s="172"/>
      <c r="BK704" s="172"/>
      <c r="BL704" s="172"/>
      <c r="BM704" s="172"/>
      <c r="BN704" s="172"/>
      <c r="BO704" s="172"/>
      <c r="BP704" s="172"/>
      <c r="BQ704" s="172"/>
      <c r="BR704" s="172"/>
      <c r="BS704" s="172"/>
      <c r="BT704" s="172"/>
      <c r="BU704" s="172"/>
      <c r="BV704" s="172"/>
      <c r="BW704" s="172"/>
      <c r="BX704" s="172"/>
      <c r="BY704" s="174"/>
      <c r="BZ704" s="172"/>
      <c r="CA704" s="172"/>
      <c r="CD704" s="194"/>
      <c r="CE704" s="194"/>
      <c r="CF704" s="194"/>
      <c r="CG704" s="194"/>
      <c r="CH704" s="195"/>
      <c r="CI704" s="194"/>
      <c r="CJ704" s="194"/>
      <c r="CK704" s="194"/>
      <c r="CL704" s="196"/>
      <c r="CM704" s="196"/>
      <c r="CN704" s="194"/>
      <c r="CO704" s="197"/>
      <c r="CP704" s="196"/>
      <c r="CQ704" s="196"/>
      <c r="CR704" s="196"/>
      <c r="CS704" s="196"/>
      <c r="CT704" s="196"/>
      <c r="CU704" s="196"/>
      <c r="CV704" s="194"/>
      <c r="CW704" s="194"/>
      <c r="CX704" s="194"/>
      <c r="CY704" s="194"/>
      <c r="CZ704" s="194"/>
      <c r="DA704" s="194"/>
      <c r="DB704" s="194"/>
      <c r="DC704" s="194"/>
      <c r="DD704" s="194"/>
      <c r="DE704" s="194"/>
      <c r="DF704" s="196"/>
      <c r="DG704" s="198"/>
      <c r="DH704" s="194"/>
      <c r="DI704" s="194"/>
    </row>
    <row r="705" spans="1:113" s="24" customFormat="1" hidden="1" x14ac:dyDescent="0.3">
      <c r="A705" s="172"/>
      <c r="B705" s="172"/>
      <c r="C705" s="172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  <c r="AE705" s="173"/>
      <c r="AF705" s="173"/>
      <c r="AG705" s="173"/>
      <c r="AH705" s="173"/>
      <c r="AI705" s="173"/>
      <c r="AJ705" s="173"/>
      <c r="AK705" s="173"/>
      <c r="AL705" s="173"/>
      <c r="AM705" s="173"/>
      <c r="AN705" s="173"/>
      <c r="AO705" s="173"/>
      <c r="AP705" s="173"/>
      <c r="AQ705" s="173"/>
      <c r="AR705" s="173"/>
      <c r="AS705" s="172"/>
      <c r="AT705" s="172"/>
      <c r="AU705" s="172"/>
      <c r="AV705" s="172"/>
      <c r="AW705" s="172"/>
      <c r="AX705" s="172"/>
      <c r="AY705" s="172"/>
      <c r="AZ705" s="172"/>
      <c r="BA705" s="172"/>
      <c r="BB705" s="172"/>
      <c r="BC705" s="172"/>
      <c r="BD705" s="172"/>
      <c r="BE705" s="172"/>
      <c r="BF705" s="172"/>
      <c r="BG705" s="172"/>
      <c r="BH705" s="172"/>
      <c r="BI705" s="172"/>
      <c r="BJ705" s="172"/>
      <c r="BK705" s="172"/>
      <c r="BL705" s="172"/>
      <c r="BM705" s="172"/>
      <c r="BN705" s="172"/>
      <c r="BO705" s="172"/>
      <c r="BP705" s="172"/>
      <c r="BQ705" s="172"/>
      <c r="BR705" s="172"/>
      <c r="BS705" s="172"/>
      <c r="BT705" s="172"/>
      <c r="BU705" s="172"/>
      <c r="BV705" s="172"/>
      <c r="BW705" s="172"/>
      <c r="BX705" s="172"/>
      <c r="BY705" s="174"/>
      <c r="BZ705" s="172"/>
      <c r="CA705" s="172"/>
      <c r="CD705" s="194"/>
      <c r="CE705" s="194"/>
      <c r="CF705" s="194"/>
      <c r="CG705" s="194"/>
      <c r="CH705" s="195"/>
      <c r="CI705" s="194"/>
      <c r="CJ705" s="194"/>
      <c r="CK705" s="194"/>
      <c r="CL705" s="196"/>
      <c r="CM705" s="196"/>
      <c r="CN705" s="194"/>
      <c r="CO705" s="197"/>
      <c r="CP705" s="196"/>
      <c r="CQ705" s="196"/>
      <c r="CR705" s="196"/>
      <c r="CS705" s="196"/>
      <c r="CT705" s="196"/>
      <c r="CU705" s="196"/>
      <c r="CV705" s="194"/>
      <c r="CW705" s="194"/>
      <c r="CX705" s="194"/>
      <c r="CY705" s="194"/>
      <c r="CZ705" s="194"/>
      <c r="DA705" s="194"/>
      <c r="DB705" s="194"/>
      <c r="DC705" s="194"/>
      <c r="DD705" s="194"/>
      <c r="DE705" s="194"/>
      <c r="DF705" s="196"/>
      <c r="DG705" s="198"/>
      <c r="DH705" s="194"/>
      <c r="DI705" s="194"/>
    </row>
    <row r="706" spans="1:113" s="24" customFormat="1" hidden="1" x14ac:dyDescent="0.3">
      <c r="A706" s="172"/>
      <c r="B706" s="172"/>
      <c r="C706" s="172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  <c r="AE706" s="173"/>
      <c r="AF706" s="173"/>
      <c r="AG706" s="173"/>
      <c r="AH706" s="173"/>
      <c r="AI706" s="173"/>
      <c r="AJ706" s="173"/>
      <c r="AK706" s="173"/>
      <c r="AL706" s="173"/>
      <c r="AM706" s="173"/>
      <c r="AN706" s="173"/>
      <c r="AO706" s="173"/>
      <c r="AP706" s="173"/>
      <c r="AQ706" s="173"/>
      <c r="AR706" s="173"/>
      <c r="AS706" s="172"/>
      <c r="AT706" s="172"/>
      <c r="AU706" s="172"/>
      <c r="AV706" s="172"/>
      <c r="AW706" s="172"/>
      <c r="AX706" s="172"/>
      <c r="AY706" s="172"/>
      <c r="AZ706" s="172"/>
      <c r="BA706" s="172"/>
      <c r="BB706" s="172"/>
      <c r="BC706" s="172"/>
      <c r="BD706" s="172"/>
      <c r="BE706" s="172"/>
      <c r="BF706" s="172"/>
      <c r="BG706" s="172"/>
      <c r="BH706" s="172"/>
      <c r="BI706" s="172"/>
      <c r="BJ706" s="172"/>
      <c r="BK706" s="172"/>
      <c r="BL706" s="172"/>
      <c r="BM706" s="172"/>
      <c r="BN706" s="172"/>
      <c r="BO706" s="172"/>
      <c r="BP706" s="172"/>
      <c r="BQ706" s="172"/>
      <c r="BR706" s="172"/>
      <c r="BS706" s="172"/>
      <c r="BT706" s="172"/>
      <c r="BU706" s="172"/>
      <c r="BV706" s="172"/>
      <c r="BW706" s="172"/>
      <c r="BX706" s="172"/>
      <c r="BY706" s="174"/>
      <c r="BZ706" s="172"/>
      <c r="CA706" s="172"/>
      <c r="CD706" s="194"/>
      <c r="CE706" s="194"/>
      <c r="CF706" s="194"/>
      <c r="CG706" s="194"/>
      <c r="CH706" s="195"/>
      <c r="CI706" s="194"/>
      <c r="CJ706" s="194"/>
      <c r="CK706" s="194"/>
      <c r="CL706" s="196"/>
      <c r="CM706" s="196"/>
      <c r="CN706" s="194"/>
      <c r="CO706" s="197"/>
      <c r="CP706" s="196"/>
      <c r="CQ706" s="196"/>
      <c r="CR706" s="196"/>
      <c r="CS706" s="196"/>
      <c r="CT706" s="196"/>
      <c r="CU706" s="196"/>
      <c r="CV706" s="194"/>
      <c r="CW706" s="194"/>
      <c r="CX706" s="194"/>
      <c r="CY706" s="194"/>
      <c r="CZ706" s="194"/>
      <c r="DA706" s="194"/>
      <c r="DB706" s="194"/>
      <c r="DC706" s="194"/>
      <c r="DD706" s="194"/>
      <c r="DE706" s="194"/>
      <c r="DF706" s="196"/>
      <c r="DG706" s="198"/>
      <c r="DH706" s="194"/>
      <c r="DI706" s="194"/>
    </row>
    <row r="707" spans="1:113" s="24" customFormat="1" hidden="1" x14ac:dyDescent="0.3">
      <c r="A707" s="172"/>
      <c r="B707" s="172"/>
      <c r="C707" s="172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  <c r="AE707" s="173"/>
      <c r="AF707" s="173"/>
      <c r="AG707" s="173"/>
      <c r="AH707" s="173"/>
      <c r="AI707" s="173"/>
      <c r="AJ707" s="173"/>
      <c r="AK707" s="173"/>
      <c r="AL707" s="173"/>
      <c r="AM707" s="173"/>
      <c r="AN707" s="173"/>
      <c r="AO707" s="173"/>
      <c r="AP707" s="173"/>
      <c r="AQ707" s="173"/>
      <c r="AR707" s="173"/>
      <c r="AS707" s="172"/>
      <c r="AT707" s="172"/>
      <c r="AU707" s="172"/>
      <c r="AV707" s="172"/>
      <c r="AW707" s="172"/>
      <c r="AX707" s="172"/>
      <c r="AY707" s="172"/>
      <c r="AZ707" s="172"/>
      <c r="BA707" s="172"/>
      <c r="BB707" s="172"/>
      <c r="BC707" s="172"/>
      <c r="BD707" s="172"/>
      <c r="BE707" s="172"/>
      <c r="BF707" s="172"/>
      <c r="BG707" s="172"/>
      <c r="BH707" s="172"/>
      <c r="BI707" s="172"/>
      <c r="BJ707" s="172"/>
      <c r="BK707" s="172"/>
      <c r="BL707" s="172"/>
      <c r="BM707" s="172"/>
      <c r="BN707" s="172"/>
      <c r="BO707" s="172"/>
      <c r="BP707" s="172"/>
      <c r="BQ707" s="172"/>
      <c r="BR707" s="172"/>
      <c r="BS707" s="172"/>
      <c r="BT707" s="172"/>
      <c r="BU707" s="172"/>
      <c r="BV707" s="172"/>
      <c r="BW707" s="172"/>
      <c r="BX707" s="172"/>
      <c r="BY707" s="174"/>
      <c r="BZ707" s="172"/>
      <c r="CA707" s="172"/>
      <c r="CD707" s="194"/>
      <c r="CE707" s="194"/>
      <c r="CF707" s="194"/>
      <c r="CG707" s="194"/>
      <c r="CH707" s="195"/>
      <c r="CI707" s="194"/>
      <c r="CJ707" s="194"/>
      <c r="CK707" s="194"/>
      <c r="CL707" s="196"/>
      <c r="CM707" s="196"/>
      <c r="CN707" s="194"/>
      <c r="CO707" s="197"/>
      <c r="CP707" s="196"/>
      <c r="CQ707" s="196"/>
      <c r="CR707" s="196"/>
      <c r="CS707" s="196"/>
      <c r="CT707" s="196"/>
      <c r="CU707" s="196"/>
      <c r="CV707" s="194"/>
      <c r="CW707" s="194"/>
      <c r="CX707" s="194"/>
      <c r="CY707" s="194"/>
      <c r="CZ707" s="194"/>
      <c r="DA707" s="194"/>
      <c r="DB707" s="194"/>
      <c r="DC707" s="194"/>
      <c r="DD707" s="194"/>
      <c r="DE707" s="194"/>
      <c r="DF707" s="196"/>
      <c r="DG707" s="198"/>
      <c r="DH707" s="194"/>
      <c r="DI707" s="194"/>
    </row>
    <row r="708" spans="1:113" s="24" customFormat="1" hidden="1" x14ac:dyDescent="0.3">
      <c r="A708" s="172"/>
      <c r="B708" s="172"/>
      <c r="C708" s="172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  <c r="AE708" s="173"/>
      <c r="AF708" s="173"/>
      <c r="AG708" s="173"/>
      <c r="AH708" s="173"/>
      <c r="AI708" s="173"/>
      <c r="AJ708" s="173"/>
      <c r="AK708" s="173"/>
      <c r="AL708" s="173"/>
      <c r="AM708" s="173"/>
      <c r="AN708" s="173"/>
      <c r="AO708" s="173"/>
      <c r="AP708" s="173"/>
      <c r="AQ708" s="173"/>
      <c r="AR708" s="173"/>
      <c r="AS708" s="172"/>
      <c r="AT708" s="172"/>
      <c r="AU708" s="172"/>
      <c r="AV708" s="172"/>
      <c r="AW708" s="172"/>
      <c r="AX708" s="172"/>
      <c r="AY708" s="172"/>
      <c r="AZ708" s="172"/>
      <c r="BA708" s="172"/>
      <c r="BB708" s="172"/>
      <c r="BC708" s="172"/>
      <c r="BD708" s="172"/>
      <c r="BE708" s="172"/>
      <c r="BF708" s="172"/>
      <c r="BG708" s="172"/>
      <c r="BH708" s="172"/>
      <c r="BI708" s="172"/>
      <c r="BJ708" s="172"/>
      <c r="BK708" s="172"/>
      <c r="BL708" s="172"/>
      <c r="BM708" s="172"/>
      <c r="BN708" s="172"/>
      <c r="BO708" s="172"/>
      <c r="BP708" s="172"/>
      <c r="BQ708" s="172"/>
      <c r="BR708" s="172"/>
      <c r="BS708" s="172"/>
      <c r="BT708" s="172"/>
      <c r="BU708" s="172"/>
      <c r="BV708" s="172"/>
      <c r="BW708" s="172"/>
      <c r="BX708" s="172"/>
      <c r="BY708" s="174"/>
      <c r="BZ708" s="172"/>
      <c r="CA708" s="172"/>
      <c r="CD708" s="194"/>
      <c r="CE708" s="194"/>
      <c r="CF708" s="194"/>
      <c r="CG708" s="194"/>
      <c r="CH708" s="195"/>
      <c r="CI708" s="194"/>
      <c r="CJ708" s="194"/>
      <c r="CK708" s="194"/>
      <c r="CL708" s="196"/>
      <c r="CM708" s="196"/>
      <c r="CN708" s="194"/>
      <c r="CO708" s="197"/>
      <c r="CP708" s="196"/>
      <c r="CQ708" s="196"/>
      <c r="CR708" s="196"/>
      <c r="CS708" s="196"/>
      <c r="CT708" s="196"/>
      <c r="CU708" s="196"/>
      <c r="CV708" s="194"/>
      <c r="CW708" s="194"/>
      <c r="CX708" s="194"/>
      <c r="CY708" s="194"/>
      <c r="CZ708" s="194"/>
      <c r="DA708" s="194"/>
      <c r="DB708" s="194"/>
      <c r="DC708" s="194"/>
      <c r="DD708" s="194"/>
      <c r="DE708" s="194"/>
      <c r="DF708" s="196"/>
      <c r="DG708" s="198"/>
      <c r="DH708" s="194"/>
      <c r="DI708" s="194"/>
    </row>
    <row r="709" spans="1:113" s="24" customFormat="1" hidden="1" x14ac:dyDescent="0.3">
      <c r="A709" s="172"/>
      <c r="B709" s="172"/>
      <c r="C709" s="172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  <c r="AE709" s="173"/>
      <c r="AF709" s="173"/>
      <c r="AG709" s="173"/>
      <c r="AH709" s="173"/>
      <c r="AI709" s="173"/>
      <c r="AJ709" s="173"/>
      <c r="AK709" s="173"/>
      <c r="AL709" s="173"/>
      <c r="AM709" s="173"/>
      <c r="AN709" s="173"/>
      <c r="AO709" s="173"/>
      <c r="AP709" s="173"/>
      <c r="AQ709" s="173"/>
      <c r="AR709" s="173"/>
      <c r="AS709" s="172"/>
      <c r="AT709" s="172"/>
      <c r="AU709" s="172"/>
      <c r="AV709" s="172"/>
      <c r="AW709" s="172"/>
      <c r="AX709" s="172"/>
      <c r="AY709" s="172"/>
      <c r="AZ709" s="172"/>
      <c r="BA709" s="172"/>
      <c r="BB709" s="172"/>
      <c r="BC709" s="172"/>
      <c r="BD709" s="172"/>
      <c r="BE709" s="172"/>
      <c r="BF709" s="172"/>
      <c r="BG709" s="172"/>
      <c r="BH709" s="172"/>
      <c r="BI709" s="172"/>
      <c r="BJ709" s="172"/>
      <c r="BK709" s="172"/>
      <c r="BL709" s="172"/>
      <c r="BM709" s="172"/>
      <c r="BN709" s="172"/>
      <c r="BO709" s="172"/>
      <c r="BP709" s="172"/>
      <c r="BQ709" s="172"/>
      <c r="BR709" s="172"/>
      <c r="BS709" s="172"/>
      <c r="BT709" s="172"/>
      <c r="BU709" s="172"/>
      <c r="BV709" s="172"/>
      <c r="BW709" s="172"/>
      <c r="BX709" s="172"/>
      <c r="BY709" s="174"/>
      <c r="BZ709" s="172"/>
      <c r="CA709" s="172"/>
      <c r="CD709" s="194"/>
      <c r="CE709" s="194"/>
      <c r="CF709" s="194"/>
      <c r="CG709" s="194"/>
      <c r="CH709" s="195"/>
      <c r="CI709" s="194"/>
      <c r="CJ709" s="194"/>
      <c r="CK709" s="194"/>
      <c r="CL709" s="196"/>
      <c r="CM709" s="196"/>
      <c r="CN709" s="194"/>
      <c r="CO709" s="197"/>
      <c r="CP709" s="196"/>
      <c r="CQ709" s="196"/>
      <c r="CR709" s="196"/>
      <c r="CS709" s="196"/>
      <c r="CT709" s="196"/>
      <c r="CU709" s="196"/>
      <c r="CV709" s="194"/>
      <c r="CW709" s="194"/>
      <c r="CX709" s="194"/>
      <c r="CY709" s="194"/>
      <c r="CZ709" s="194"/>
      <c r="DA709" s="194"/>
      <c r="DB709" s="194"/>
      <c r="DC709" s="194"/>
      <c r="DD709" s="194"/>
      <c r="DE709" s="194"/>
      <c r="DF709" s="196"/>
      <c r="DG709" s="198"/>
      <c r="DH709" s="194"/>
      <c r="DI709" s="194"/>
    </row>
    <row r="710" spans="1:113" s="24" customFormat="1" hidden="1" x14ac:dyDescent="0.3">
      <c r="A710" s="172"/>
      <c r="B710" s="172"/>
      <c r="C710" s="172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  <c r="AE710" s="173"/>
      <c r="AF710" s="173"/>
      <c r="AG710" s="173"/>
      <c r="AH710" s="173"/>
      <c r="AI710" s="173"/>
      <c r="AJ710" s="173"/>
      <c r="AK710" s="173"/>
      <c r="AL710" s="173"/>
      <c r="AM710" s="173"/>
      <c r="AN710" s="173"/>
      <c r="AO710" s="173"/>
      <c r="AP710" s="173"/>
      <c r="AQ710" s="173"/>
      <c r="AR710" s="173"/>
      <c r="AS710" s="172"/>
      <c r="AT710" s="172"/>
      <c r="AU710" s="172"/>
      <c r="AV710" s="172"/>
      <c r="AW710" s="172"/>
      <c r="AX710" s="172"/>
      <c r="AY710" s="172"/>
      <c r="AZ710" s="172"/>
      <c r="BA710" s="172"/>
      <c r="BB710" s="172"/>
      <c r="BC710" s="172"/>
      <c r="BD710" s="172"/>
      <c r="BE710" s="172"/>
      <c r="BF710" s="172"/>
      <c r="BG710" s="172"/>
      <c r="BH710" s="172"/>
      <c r="BI710" s="172"/>
      <c r="BJ710" s="172"/>
      <c r="BK710" s="172"/>
      <c r="BL710" s="172"/>
      <c r="BM710" s="172"/>
      <c r="BN710" s="172"/>
      <c r="BO710" s="172"/>
      <c r="BP710" s="172"/>
      <c r="BQ710" s="172"/>
      <c r="BR710" s="172"/>
      <c r="BS710" s="172"/>
      <c r="BT710" s="172"/>
      <c r="BU710" s="172"/>
      <c r="BV710" s="172"/>
      <c r="BW710" s="172"/>
      <c r="BX710" s="172"/>
      <c r="BY710" s="174"/>
      <c r="BZ710" s="172"/>
      <c r="CA710" s="172"/>
      <c r="CD710" s="194"/>
      <c r="CE710" s="194"/>
      <c r="CF710" s="194"/>
      <c r="CG710" s="194"/>
      <c r="CH710" s="195"/>
      <c r="CI710" s="194"/>
      <c r="CJ710" s="194"/>
      <c r="CK710" s="194"/>
      <c r="CL710" s="196"/>
      <c r="CM710" s="196"/>
      <c r="CN710" s="194"/>
      <c r="CO710" s="197"/>
      <c r="CP710" s="196"/>
      <c r="CQ710" s="196"/>
      <c r="CR710" s="196"/>
      <c r="CS710" s="196"/>
      <c r="CT710" s="196"/>
      <c r="CU710" s="196"/>
      <c r="CV710" s="194"/>
      <c r="CW710" s="194"/>
      <c r="CX710" s="194"/>
      <c r="CY710" s="194"/>
      <c r="CZ710" s="194"/>
      <c r="DA710" s="194"/>
      <c r="DB710" s="194"/>
      <c r="DC710" s="194"/>
      <c r="DD710" s="194"/>
      <c r="DE710" s="194"/>
      <c r="DF710" s="196"/>
      <c r="DG710" s="198"/>
      <c r="DH710" s="194"/>
      <c r="DI710" s="194"/>
    </row>
    <row r="711" spans="1:113" s="24" customFormat="1" hidden="1" x14ac:dyDescent="0.3">
      <c r="A711" s="172"/>
      <c r="B711" s="172"/>
      <c r="C711" s="172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  <c r="AE711" s="173"/>
      <c r="AF711" s="173"/>
      <c r="AG711" s="173"/>
      <c r="AH711" s="173"/>
      <c r="AI711" s="173"/>
      <c r="AJ711" s="173"/>
      <c r="AK711" s="173"/>
      <c r="AL711" s="173"/>
      <c r="AM711" s="173"/>
      <c r="AN711" s="173"/>
      <c r="AO711" s="173"/>
      <c r="AP711" s="173"/>
      <c r="AQ711" s="173"/>
      <c r="AR711" s="173"/>
      <c r="AS711" s="172"/>
      <c r="AT711" s="172"/>
      <c r="AU711" s="172"/>
      <c r="AV711" s="172"/>
      <c r="AW711" s="172"/>
      <c r="AX711" s="172"/>
      <c r="AY711" s="172"/>
      <c r="AZ711" s="172"/>
      <c r="BA711" s="172"/>
      <c r="BB711" s="172"/>
      <c r="BC711" s="172"/>
      <c r="BD711" s="172"/>
      <c r="BE711" s="172"/>
      <c r="BF711" s="172"/>
      <c r="BG711" s="172"/>
      <c r="BH711" s="172"/>
      <c r="BI711" s="172"/>
      <c r="BJ711" s="172"/>
      <c r="BK711" s="172"/>
      <c r="BL711" s="172"/>
      <c r="BM711" s="172"/>
      <c r="BN711" s="172"/>
      <c r="BO711" s="172"/>
      <c r="BP711" s="172"/>
      <c r="BQ711" s="172"/>
      <c r="BR711" s="172"/>
      <c r="BS711" s="172"/>
      <c r="BT711" s="172"/>
      <c r="BU711" s="172"/>
      <c r="BV711" s="172"/>
      <c r="BW711" s="172"/>
      <c r="BX711" s="172"/>
      <c r="BY711" s="174"/>
      <c r="BZ711" s="172"/>
      <c r="CA711" s="172"/>
      <c r="CD711" s="194"/>
      <c r="CE711" s="194"/>
      <c r="CF711" s="194"/>
      <c r="CG711" s="194"/>
      <c r="CH711" s="195"/>
      <c r="CI711" s="194"/>
      <c r="CJ711" s="194"/>
      <c r="CK711" s="194"/>
      <c r="CL711" s="196"/>
      <c r="CM711" s="196"/>
      <c r="CN711" s="194"/>
      <c r="CO711" s="197"/>
      <c r="CP711" s="196"/>
      <c r="CQ711" s="196"/>
      <c r="CR711" s="196"/>
      <c r="CS711" s="196"/>
      <c r="CT711" s="196"/>
      <c r="CU711" s="196"/>
      <c r="CV711" s="194"/>
      <c r="CW711" s="194"/>
      <c r="CX711" s="194"/>
      <c r="CY711" s="194"/>
      <c r="CZ711" s="194"/>
      <c r="DA711" s="194"/>
      <c r="DB711" s="194"/>
      <c r="DC711" s="194"/>
      <c r="DD711" s="194"/>
      <c r="DE711" s="194"/>
      <c r="DF711" s="196"/>
      <c r="DG711" s="198"/>
      <c r="DH711" s="194"/>
      <c r="DI711" s="194"/>
    </row>
    <row r="712" spans="1:113" s="24" customFormat="1" hidden="1" x14ac:dyDescent="0.3">
      <c r="A712" s="172"/>
      <c r="B712" s="172"/>
      <c r="C712" s="172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  <c r="AE712" s="173"/>
      <c r="AF712" s="173"/>
      <c r="AG712" s="173"/>
      <c r="AH712" s="173"/>
      <c r="AI712" s="173"/>
      <c r="AJ712" s="173"/>
      <c r="AK712" s="173"/>
      <c r="AL712" s="173"/>
      <c r="AM712" s="173"/>
      <c r="AN712" s="173"/>
      <c r="AO712" s="173"/>
      <c r="AP712" s="173"/>
      <c r="AQ712" s="173"/>
      <c r="AR712" s="173"/>
      <c r="AS712" s="172"/>
      <c r="AT712" s="172"/>
      <c r="AU712" s="172"/>
      <c r="AV712" s="172"/>
      <c r="AW712" s="172"/>
      <c r="AX712" s="172"/>
      <c r="AY712" s="172"/>
      <c r="AZ712" s="172"/>
      <c r="BA712" s="172"/>
      <c r="BB712" s="172"/>
      <c r="BC712" s="172"/>
      <c r="BD712" s="172"/>
      <c r="BE712" s="172"/>
      <c r="BF712" s="172"/>
      <c r="BG712" s="172"/>
      <c r="BH712" s="172"/>
      <c r="BI712" s="172"/>
      <c r="BJ712" s="172"/>
      <c r="BK712" s="172"/>
      <c r="BL712" s="172"/>
      <c r="BM712" s="172"/>
      <c r="BN712" s="172"/>
      <c r="BO712" s="172"/>
      <c r="BP712" s="172"/>
      <c r="BQ712" s="172"/>
      <c r="BR712" s="172"/>
      <c r="BS712" s="172"/>
      <c r="BT712" s="172"/>
      <c r="BU712" s="172"/>
      <c r="BV712" s="172"/>
      <c r="BW712" s="172"/>
      <c r="BX712" s="172"/>
      <c r="BY712" s="174"/>
      <c r="BZ712" s="172"/>
      <c r="CA712" s="172"/>
      <c r="CD712" s="194"/>
      <c r="CE712" s="194"/>
      <c r="CF712" s="194"/>
      <c r="CG712" s="194"/>
      <c r="CH712" s="195"/>
      <c r="CI712" s="194"/>
      <c r="CJ712" s="194"/>
      <c r="CK712" s="194"/>
      <c r="CL712" s="196"/>
      <c r="CM712" s="196"/>
      <c r="CN712" s="194"/>
      <c r="CO712" s="197"/>
      <c r="CP712" s="196"/>
      <c r="CQ712" s="196"/>
      <c r="CR712" s="196"/>
      <c r="CS712" s="196"/>
      <c r="CT712" s="196"/>
      <c r="CU712" s="196"/>
      <c r="CV712" s="194"/>
      <c r="CW712" s="194"/>
      <c r="CX712" s="194"/>
      <c r="CY712" s="194"/>
      <c r="CZ712" s="194"/>
      <c r="DA712" s="194"/>
      <c r="DB712" s="194"/>
      <c r="DC712" s="194"/>
      <c r="DD712" s="194"/>
      <c r="DE712" s="194"/>
      <c r="DF712" s="196"/>
      <c r="DG712" s="198"/>
      <c r="DH712" s="194"/>
      <c r="DI712" s="194"/>
    </row>
    <row r="713" spans="1:113" s="24" customFormat="1" hidden="1" x14ac:dyDescent="0.3">
      <c r="A713" s="172"/>
      <c r="B713" s="172"/>
      <c r="C713" s="172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  <c r="AE713" s="173"/>
      <c r="AF713" s="173"/>
      <c r="AG713" s="173"/>
      <c r="AH713" s="173"/>
      <c r="AI713" s="173"/>
      <c r="AJ713" s="173"/>
      <c r="AK713" s="173"/>
      <c r="AL713" s="173"/>
      <c r="AM713" s="173"/>
      <c r="AN713" s="173"/>
      <c r="AO713" s="173"/>
      <c r="AP713" s="173"/>
      <c r="AQ713" s="173"/>
      <c r="AR713" s="173"/>
      <c r="AS713" s="172"/>
      <c r="AT713" s="172"/>
      <c r="AU713" s="172"/>
      <c r="AV713" s="172"/>
      <c r="AW713" s="172"/>
      <c r="AX713" s="172"/>
      <c r="AY713" s="172"/>
      <c r="AZ713" s="172"/>
      <c r="BA713" s="172"/>
      <c r="BB713" s="172"/>
      <c r="BC713" s="172"/>
      <c r="BD713" s="172"/>
      <c r="BE713" s="172"/>
      <c r="BF713" s="172"/>
      <c r="BG713" s="172"/>
      <c r="BH713" s="172"/>
      <c r="BI713" s="172"/>
      <c r="BJ713" s="172"/>
      <c r="BK713" s="172"/>
      <c r="BL713" s="172"/>
      <c r="BM713" s="172"/>
      <c r="BN713" s="172"/>
      <c r="BO713" s="172"/>
      <c r="BP713" s="172"/>
      <c r="BQ713" s="172"/>
      <c r="BR713" s="172"/>
      <c r="BS713" s="172"/>
      <c r="BT713" s="172"/>
      <c r="BU713" s="172"/>
      <c r="BV713" s="172"/>
      <c r="BW713" s="172"/>
      <c r="BX713" s="172"/>
      <c r="BY713" s="174"/>
      <c r="BZ713" s="172"/>
      <c r="CA713" s="172"/>
      <c r="CD713" s="194"/>
      <c r="CE713" s="194"/>
      <c r="CF713" s="194"/>
      <c r="CG713" s="194"/>
      <c r="CH713" s="195"/>
      <c r="CI713" s="194"/>
      <c r="CJ713" s="194"/>
      <c r="CK713" s="194"/>
      <c r="CL713" s="196"/>
      <c r="CM713" s="196"/>
      <c r="CN713" s="194"/>
      <c r="CO713" s="197"/>
      <c r="CP713" s="196"/>
      <c r="CQ713" s="196"/>
      <c r="CR713" s="196"/>
      <c r="CS713" s="196"/>
      <c r="CT713" s="196"/>
      <c r="CU713" s="196"/>
      <c r="CV713" s="194"/>
      <c r="CW713" s="194"/>
      <c r="CX713" s="194"/>
      <c r="CY713" s="194"/>
      <c r="CZ713" s="194"/>
      <c r="DA713" s="194"/>
      <c r="DB713" s="194"/>
      <c r="DC713" s="194"/>
      <c r="DD713" s="194"/>
      <c r="DE713" s="194"/>
      <c r="DF713" s="196"/>
      <c r="DG713" s="198"/>
      <c r="DH713" s="194"/>
      <c r="DI713" s="194"/>
    </row>
    <row r="714" spans="1:113" s="24" customFormat="1" hidden="1" x14ac:dyDescent="0.3">
      <c r="A714" s="172"/>
      <c r="B714" s="172"/>
      <c r="C714" s="172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  <c r="AE714" s="173"/>
      <c r="AF714" s="173"/>
      <c r="AG714" s="173"/>
      <c r="AH714" s="173"/>
      <c r="AI714" s="173"/>
      <c r="AJ714" s="173"/>
      <c r="AK714" s="173"/>
      <c r="AL714" s="173"/>
      <c r="AM714" s="173"/>
      <c r="AN714" s="173"/>
      <c r="AO714" s="173"/>
      <c r="AP714" s="173"/>
      <c r="AQ714" s="173"/>
      <c r="AR714" s="173"/>
      <c r="AS714" s="172"/>
      <c r="AT714" s="172"/>
      <c r="AU714" s="172"/>
      <c r="AV714" s="172"/>
      <c r="AW714" s="172"/>
      <c r="AX714" s="172"/>
      <c r="AY714" s="172"/>
      <c r="AZ714" s="172"/>
      <c r="BA714" s="172"/>
      <c r="BB714" s="172"/>
      <c r="BC714" s="172"/>
      <c r="BD714" s="172"/>
      <c r="BE714" s="172"/>
      <c r="BF714" s="172"/>
      <c r="BG714" s="172"/>
      <c r="BH714" s="172"/>
      <c r="BI714" s="172"/>
      <c r="BJ714" s="172"/>
      <c r="BK714" s="172"/>
      <c r="BL714" s="172"/>
      <c r="BM714" s="172"/>
      <c r="BN714" s="172"/>
      <c r="BO714" s="172"/>
      <c r="BP714" s="172"/>
      <c r="BQ714" s="172"/>
      <c r="BR714" s="172"/>
      <c r="BS714" s="172"/>
      <c r="BT714" s="172"/>
      <c r="BU714" s="172"/>
      <c r="BV714" s="172"/>
      <c r="BW714" s="172"/>
      <c r="BX714" s="172"/>
      <c r="BY714" s="174"/>
      <c r="BZ714" s="172"/>
      <c r="CA714" s="172"/>
      <c r="CD714" s="194"/>
      <c r="CE714" s="194"/>
      <c r="CF714" s="194"/>
      <c r="CG714" s="194"/>
      <c r="CH714" s="195"/>
      <c r="CI714" s="194"/>
      <c r="CJ714" s="194"/>
      <c r="CK714" s="194"/>
      <c r="CL714" s="196"/>
      <c r="CM714" s="196"/>
      <c r="CN714" s="194"/>
      <c r="CO714" s="197"/>
      <c r="CP714" s="196"/>
      <c r="CQ714" s="196"/>
      <c r="CR714" s="196"/>
      <c r="CS714" s="196"/>
      <c r="CT714" s="196"/>
      <c r="CU714" s="196"/>
      <c r="CV714" s="194"/>
      <c r="CW714" s="194"/>
      <c r="CX714" s="194"/>
      <c r="CY714" s="194"/>
      <c r="CZ714" s="194"/>
      <c r="DA714" s="194"/>
      <c r="DB714" s="194"/>
      <c r="DC714" s="194"/>
      <c r="DD714" s="194"/>
      <c r="DE714" s="194"/>
      <c r="DF714" s="196"/>
      <c r="DG714" s="198"/>
      <c r="DH714" s="194"/>
      <c r="DI714" s="194"/>
    </row>
    <row r="715" spans="1:113" s="24" customFormat="1" hidden="1" x14ac:dyDescent="0.3">
      <c r="A715" s="172"/>
      <c r="B715" s="172"/>
      <c r="C715" s="172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  <c r="AE715" s="173"/>
      <c r="AF715" s="173"/>
      <c r="AG715" s="173"/>
      <c r="AH715" s="173"/>
      <c r="AI715" s="173"/>
      <c r="AJ715" s="173"/>
      <c r="AK715" s="173"/>
      <c r="AL715" s="173"/>
      <c r="AM715" s="173"/>
      <c r="AN715" s="173"/>
      <c r="AO715" s="173"/>
      <c r="AP715" s="173"/>
      <c r="AQ715" s="173"/>
      <c r="AR715" s="173"/>
      <c r="AS715" s="172"/>
      <c r="AT715" s="172"/>
      <c r="AU715" s="172"/>
      <c r="AV715" s="172"/>
      <c r="AW715" s="172"/>
      <c r="AX715" s="172"/>
      <c r="AY715" s="172"/>
      <c r="AZ715" s="172"/>
      <c r="BA715" s="172"/>
      <c r="BB715" s="172"/>
      <c r="BC715" s="172"/>
      <c r="BD715" s="172"/>
      <c r="BE715" s="172"/>
      <c r="BF715" s="172"/>
      <c r="BG715" s="172"/>
      <c r="BH715" s="172"/>
      <c r="BI715" s="172"/>
      <c r="BJ715" s="172"/>
      <c r="BK715" s="172"/>
      <c r="BL715" s="172"/>
      <c r="BM715" s="172"/>
      <c r="BN715" s="172"/>
      <c r="BO715" s="172"/>
      <c r="BP715" s="172"/>
      <c r="BQ715" s="172"/>
      <c r="BR715" s="172"/>
      <c r="BS715" s="172"/>
      <c r="BT715" s="172"/>
      <c r="BU715" s="172"/>
      <c r="BV715" s="172"/>
      <c r="BW715" s="172"/>
      <c r="BX715" s="172"/>
      <c r="BY715" s="174"/>
      <c r="BZ715" s="172"/>
      <c r="CA715" s="172"/>
      <c r="CD715" s="194"/>
      <c r="CE715" s="194"/>
      <c r="CF715" s="194"/>
      <c r="CG715" s="194"/>
      <c r="CH715" s="195"/>
      <c r="CI715" s="194"/>
      <c r="CJ715" s="194"/>
      <c r="CK715" s="194"/>
      <c r="CL715" s="196"/>
      <c r="CM715" s="196"/>
      <c r="CN715" s="194"/>
      <c r="CO715" s="197"/>
      <c r="CP715" s="196"/>
      <c r="CQ715" s="196"/>
      <c r="CR715" s="196"/>
      <c r="CS715" s="196"/>
      <c r="CT715" s="196"/>
      <c r="CU715" s="196"/>
      <c r="CV715" s="194"/>
      <c r="CW715" s="194"/>
      <c r="CX715" s="194"/>
      <c r="CY715" s="194"/>
      <c r="CZ715" s="194"/>
      <c r="DA715" s="194"/>
      <c r="DB715" s="194"/>
      <c r="DC715" s="194"/>
      <c r="DD715" s="194"/>
      <c r="DE715" s="194"/>
      <c r="DF715" s="196"/>
      <c r="DG715" s="198"/>
      <c r="DH715" s="194"/>
      <c r="DI715" s="194"/>
    </row>
    <row r="716" spans="1:113" s="24" customFormat="1" hidden="1" x14ac:dyDescent="0.3">
      <c r="A716" s="172"/>
      <c r="B716" s="172"/>
      <c r="C716" s="172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  <c r="AE716" s="173"/>
      <c r="AF716" s="173"/>
      <c r="AG716" s="173"/>
      <c r="AH716" s="173"/>
      <c r="AI716" s="173"/>
      <c r="AJ716" s="173"/>
      <c r="AK716" s="173"/>
      <c r="AL716" s="173"/>
      <c r="AM716" s="173"/>
      <c r="AN716" s="173"/>
      <c r="AO716" s="173"/>
      <c r="AP716" s="173"/>
      <c r="AQ716" s="173"/>
      <c r="AR716" s="173"/>
      <c r="AS716" s="172"/>
      <c r="AT716" s="172"/>
      <c r="AU716" s="172"/>
      <c r="AV716" s="172"/>
      <c r="AW716" s="172"/>
      <c r="AX716" s="172"/>
      <c r="AY716" s="172"/>
      <c r="AZ716" s="172"/>
      <c r="BA716" s="172"/>
      <c r="BB716" s="172"/>
      <c r="BC716" s="172"/>
      <c r="BD716" s="172"/>
      <c r="BE716" s="172"/>
      <c r="BF716" s="172"/>
      <c r="BG716" s="172"/>
      <c r="BH716" s="172"/>
      <c r="BI716" s="172"/>
      <c r="BJ716" s="172"/>
      <c r="BK716" s="172"/>
      <c r="BL716" s="172"/>
      <c r="BM716" s="172"/>
      <c r="BN716" s="172"/>
      <c r="BO716" s="172"/>
      <c r="BP716" s="172"/>
      <c r="BQ716" s="172"/>
      <c r="BR716" s="172"/>
      <c r="BS716" s="172"/>
      <c r="BT716" s="172"/>
      <c r="BU716" s="172"/>
      <c r="BV716" s="172"/>
      <c r="BW716" s="172"/>
      <c r="BX716" s="172"/>
      <c r="BY716" s="174"/>
      <c r="BZ716" s="172"/>
      <c r="CA716" s="172"/>
      <c r="CD716" s="194"/>
      <c r="CE716" s="194"/>
      <c r="CF716" s="194"/>
      <c r="CG716" s="194"/>
      <c r="CH716" s="195"/>
      <c r="CI716" s="194"/>
      <c r="CJ716" s="194"/>
      <c r="CK716" s="194"/>
      <c r="CL716" s="196"/>
      <c r="CM716" s="196"/>
      <c r="CN716" s="194"/>
      <c r="CO716" s="197"/>
      <c r="CP716" s="196"/>
      <c r="CQ716" s="196"/>
      <c r="CR716" s="196"/>
      <c r="CS716" s="196"/>
      <c r="CT716" s="196"/>
      <c r="CU716" s="196"/>
      <c r="CV716" s="194"/>
      <c r="CW716" s="194"/>
      <c r="CX716" s="194"/>
      <c r="CY716" s="194"/>
      <c r="CZ716" s="194"/>
      <c r="DA716" s="194"/>
      <c r="DB716" s="194"/>
      <c r="DC716" s="194"/>
      <c r="DD716" s="194"/>
      <c r="DE716" s="194"/>
      <c r="DF716" s="196"/>
      <c r="DG716" s="198"/>
      <c r="DH716" s="194"/>
      <c r="DI716" s="194"/>
    </row>
    <row r="717" spans="1:113" s="24" customFormat="1" hidden="1" x14ac:dyDescent="0.3">
      <c r="A717" s="172"/>
      <c r="B717" s="172"/>
      <c r="C717" s="172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  <c r="AE717" s="173"/>
      <c r="AF717" s="173"/>
      <c r="AG717" s="173"/>
      <c r="AH717" s="173"/>
      <c r="AI717" s="173"/>
      <c r="AJ717" s="173"/>
      <c r="AK717" s="173"/>
      <c r="AL717" s="173"/>
      <c r="AM717" s="173"/>
      <c r="AN717" s="173"/>
      <c r="AO717" s="173"/>
      <c r="AP717" s="173"/>
      <c r="AQ717" s="173"/>
      <c r="AR717" s="173"/>
      <c r="AS717" s="172"/>
      <c r="AT717" s="172"/>
      <c r="AU717" s="172"/>
      <c r="AV717" s="172"/>
      <c r="AW717" s="172"/>
      <c r="AX717" s="172"/>
      <c r="AY717" s="172"/>
      <c r="AZ717" s="172"/>
      <c r="BA717" s="172"/>
      <c r="BB717" s="172"/>
      <c r="BC717" s="172"/>
      <c r="BD717" s="172"/>
      <c r="BE717" s="172"/>
      <c r="BF717" s="172"/>
      <c r="BG717" s="172"/>
      <c r="BH717" s="172"/>
      <c r="BI717" s="172"/>
      <c r="BJ717" s="172"/>
      <c r="BK717" s="172"/>
      <c r="BL717" s="172"/>
      <c r="BM717" s="172"/>
      <c r="BN717" s="172"/>
      <c r="BO717" s="172"/>
      <c r="BP717" s="172"/>
      <c r="BQ717" s="172"/>
      <c r="BR717" s="172"/>
      <c r="BS717" s="172"/>
      <c r="BT717" s="172"/>
      <c r="BU717" s="172"/>
      <c r="BV717" s="172"/>
      <c r="BW717" s="172"/>
      <c r="BX717" s="172"/>
      <c r="BY717" s="174"/>
      <c r="BZ717" s="172"/>
      <c r="CA717" s="172"/>
      <c r="CD717" s="194"/>
      <c r="CE717" s="194"/>
      <c r="CF717" s="194"/>
      <c r="CG717" s="194"/>
      <c r="CH717" s="195"/>
      <c r="CI717" s="194"/>
      <c r="CJ717" s="194"/>
      <c r="CK717" s="194"/>
      <c r="CL717" s="196"/>
      <c r="CM717" s="196"/>
      <c r="CN717" s="194"/>
      <c r="CO717" s="197"/>
      <c r="CP717" s="196"/>
      <c r="CQ717" s="196"/>
      <c r="CR717" s="196"/>
      <c r="CS717" s="196"/>
      <c r="CT717" s="196"/>
      <c r="CU717" s="196"/>
      <c r="CV717" s="194"/>
      <c r="CW717" s="194"/>
      <c r="CX717" s="194"/>
      <c r="CY717" s="194"/>
      <c r="CZ717" s="194"/>
      <c r="DA717" s="194"/>
      <c r="DB717" s="194"/>
      <c r="DC717" s="194"/>
      <c r="DD717" s="194"/>
      <c r="DE717" s="194"/>
      <c r="DF717" s="196"/>
      <c r="DG717" s="198"/>
      <c r="DH717" s="194"/>
      <c r="DI717" s="194"/>
    </row>
    <row r="718" spans="1:113" s="24" customFormat="1" hidden="1" x14ac:dyDescent="0.3">
      <c r="A718" s="172"/>
      <c r="B718" s="172"/>
      <c r="C718" s="172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  <c r="AE718" s="173"/>
      <c r="AF718" s="173"/>
      <c r="AG718" s="173"/>
      <c r="AH718" s="173"/>
      <c r="AI718" s="173"/>
      <c r="AJ718" s="173"/>
      <c r="AK718" s="173"/>
      <c r="AL718" s="173"/>
      <c r="AM718" s="173"/>
      <c r="AN718" s="173"/>
      <c r="AO718" s="173"/>
      <c r="AP718" s="173"/>
      <c r="AQ718" s="173"/>
      <c r="AR718" s="173"/>
      <c r="AS718" s="172"/>
      <c r="AT718" s="172"/>
      <c r="AU718" s="172"/>
      <c r="AV718" s="172"/>
      <c r="AW718" s="172"/>
      <c r="AX718" s="172"/>
      <c r="AY718" s="172"/>
      <c r="AZ718" s="172"/>
      <c r="BA718" s="172"/>
      <c r="BB718" s="172"/>
      <c r="BC718" s="172"/>
      <c r="BD718" s="172"/>
      <c r="BE718" s="172"/>
      <c r="BF718" s="172"/>
      <c r="BG718" s="172"/>
      <c r="BH718" s="172"/>
      <c r="BI718" s="172"/>
      <c r="BJ718" s="172"/>
      <c r="BK718" s="172"/>
      <c r="BL718" s="172"/>
      <c r="BM718" s="172"/>
      <c r="BN718" s="172"/>
      <c r="BO718" s="172"/>
      <c r="BP718" s="172"/>
      <c r="BQ718" s="172"/>
      <c r="BR718" s="172"/>
      <c r="BS718" s="172"/>
      <c r="BT718" s="172"/>
      <c r="BU718" s="172"/>
      <c r="BV718" s="172"/>
      <c r="BW718" s="172"/>
      <c r="BX718" s="172"/>
      <c r="BY718" s="174"/>
      <c r="BZ718" s="172"/>
      <c r="CA718" s="172"/>
      <c r="CD718" s="194"/>
      <c r="CE718" s="194"/>
      <c r="CF718" s="194"/>
      <c r="CG718" s="194"/>
      <c r="CH718" s="195"/>
      <c r="CI718" s="194"/>
      <c r="CJ718" s="194"/>
      <c r="CK718" s="194"/>
      <c r="CL718" s="196"/>
      <c r="CM718" s="196"/>
      <c r="CN718" s="194"/>
      <c r="CO718" s="197"/>
      <c r="CP718" s="196"/>
      <c r="CQ718" s="196"/>
      <c r="CR718" s="196"/>
      <c r="CS718" s="196"/>
      <c r="CT718" s="196"/>
      <c r="CU718" s="196"/>
      <c r="CV718" s="194"/>
      <c r="CW718" s="194"/>
      <c r="CX718" s="194"/>
      <c r="CY718" s="194"/>
      <c r="CZ718" s="194"/>
      <c r="DA718" s="194"/>
      <c r="DB718" s="194"/>
      <c r="DC718" s="194"/>
      <c r="DD718" s="194"/>
      <c r="DE718" s="194"/>
      <c r="DF718" s="196"/>
      <c r="DG718" s="198"/>
      <c r="DH718" s="194"/>
      <c r="DI718" s="194"/>
    </row>
    <row r="719" spans="1:113" s="24" customFormat="1" hidden="1" x14ac:dyDescent="0.3">
      <c r="A719" s="172"/>
      <c r="B719" s="172"/>
      <c r="C719" s="172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  <c r="AE719" s="173"/>
      <c r="AF719" s="173"/>
      <c r="AG719" s="173"/>
      <c r="AH719" s="173"/>
      <c r="AI719" s="173"/>
      <c r="AJ719" s="173"/>
      <c r="AK719" s="173"/>
      <c r="AL719" s="173"/>
      <c r="AM719" s="173"/>
      <c r="AN719" s="173"/>
      <c r="AO719" s="173"/>
      <c r="AP719" s="173"/>
      <c r="AQ719" s="173"/>
      <c r="AR719" s="173"/>
      <c r="AS719" s="172"/>
      <c r="AT719" s="172"/>
      <c r="AU719" s="172"/>
      <c r="AV719" s="172"/>
      <c r="AW719" s="172"/>
      <c r="AX719" s="172"/>
      <c r="AY719" s="172"/>
      <c r="AZ719" s="172"/>
      <c r="BA719" s="172"/>
      <c r="BB719" s="172"/>
      <c r="BC719" s="172"/>
      <c r="BD719" s="172"/>
      <c r="BE719" s="172"/>
      <c r="BF719" s="172"/>
      <c r="BG719" s="172"/>
      <c r="BH719" s="172"/>
      <c r="BI719" s="172"/>
      <c r="BJ719" s="172"/>
      <c r="BK719" s="172"/>
      <c r="BL719" s="172"/>
      <c r="BM719" s="172"/>
      <c r="BN719" s="172"/>
      <c r="BO719" s="172"/>
      <c r="BP719" s="172"/>
      <c r="BQ719" s="172"/>
      <c r="BR719" s="172"/>
      <c r="BS719" s="172"/>
      <c r="BT719" s="172"/>
      <c r="BU719" s="172"/>
      <c r="BV719" s="172"/>
      <c r="BW719" s="172"/>
      <c r="BX719" s="172"/>
      <c r="BY719" s="174"/>
      <c r="BZ719" s="172"/>
      <c r="CA719" s="172"/>
      <c r="CD719" s="194"/>
      <c r="CE719" s="194"/>
      <c r="CF719" s="194"/>
      <c r="CG719" s="194"/>
      <c r="CH719" s="195"/>
      <c r="CI719" s="194"/>
      <c r="CJ719" s="194"/>
      <c r="CK719" s="194"/>
      <c r="CL719" s="196"/>
      <c r="CM719" s="196"/>
      <c r="CN719" s="194"/>
      <c r="CO719" s="197"/>
      <c r="CP719" s="196"/>
      <c r="CQ719" s="196"/>
      <c r="CR719" s="196"/>
      <c r="CS719" s="196"/>
      <c r="CT719" s="196"/>
      <c r="CU719" s="196"/>
      <c r="CV719" s="194"/>
      <c r="CW719" s="194"/>
      <c r="CX719" s="194"/>
      <c r="CY719" s="194"/>
      <c r="CZ719" s="194"/>
      <c r="DA719" s="194"/>
      <c r="DB719" s="194"/>
      <c r="DC719" s="194"/>
      <c r="DD719" s="194"/>
      <c r="DE719" s="194"/>
      <c r="DF719" s="196"/>
      <c r="DG719" s="198"/>
      <c r="DH719" s="194"/>
      <c r="DI719" s="194"/>
    </row>
    <row r="720" spans="1:113" s="24" customFormat="1" hidden="1" x14ac:dyDescent="0.3">
      <c r="A720" s="172"/>
      <c r="B720" s="172"/>
      <c r="C720" s="172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  <c r="AE720" s="173"/>
      <c r="AF720" s="173"/>
      <c r="AG720" s="173"/>
      <c r="AH720" s="173"/>
      <c r="AI720" s="173"/>
      <c r="AJ720" s="173"/>
      <c r="AK720" s="173"/>
      <c r="AL720" s="173"/>
      <c r="AM720" s="173"/>
      <c r="AN720" s="173"/>
      <c r="AO720" s="173"/>
      <c r="AP720" s="173"/>
      <c r="AQ720" s="173"/>
      <c r="AR720" s="173"/>
      <c r="AS720" s="172"/>
      <c r="AT720" s="172"/>
      <c r="AU720" s="172"/>
      <c r="AV720" s="172"/>
      <c r="AW720" s="172"/>
      <c r="AX720" s="172"/>
      <c r="AY720" s="172"/>
      <c r="AZ720" s="172"/>
      <c r="BA720" s="172"/>
      <c r="BB720" s="172"/>
      <c r="BC720" s="172"/>
      <c r="BD720" s="172"/>
      <c r="BE720" s="172"/>
      <c r="BF720" s="172"/>
      <c r="BG720" s="172"/>
      <c r="BH720" s="172"/>
      <c r="BI720" s="172"/>
      <c r="BJ720" s="172"/>
      <c r="BK720" s="172"/>
      <c r="BL720" s="172"/>
      <c r="BM720" s="172"/>
      <c r="BN720" s="172"/>
      <c r="BO720" s="172"/>
      <c r="BP720" s="172"/>
      <c r="BQ720" s="172"/>
      <c r="BR720" s="172"/>
      <c r="BS720" s="172"/>
      <c r="BT720" s="172"/>
      <c r="BU720" s="172"/>
      <c r="BV720" s="172"/>
      <c r="BW720" s="172"/>
      <c r="BX720" s="172"/>
      <c r="BY720" s="174"/>
      <c r="BZ720" s="172"/>
      <c r="CA720" s="172"/>
      <c r="CD720" s="194"/>
      <c r="CE720" s="194"/>
      <c r="CF720" s="194"/>
      <c r="CG720" s="194"/>
      <c r="CH720" s="195"/>
      <c r="CI720" s="194"/>
      <c r="CJ720" s="194"/>
      <c r="CK720" s="194"/>
      <c r="CL720" s="196"/>
      <c r="CM720" s="196"/>
      <c r="CN720" s="194"/>
      <c r="CO720" s="197"/>
      <c r="CP720" s="196"/>
      <c r="CQ720" s="196"/>
      <c r="CR720" s="196"/>
      <c r="CS720" s="196"/>
      <c r="CT720" s="196"/>
      <c r="CU720" s="196"/>
      <c r="CV720" s="194"/>
      <c r="CW720" s="194"/>
      <c r="CX720" s="194"/>
      <c r="CY720" s="194"/>
      <c r="CZ720" s="194"/>
      <c r="DA720" s="194"/>
      <c r="DB720" s="194"/>
      <c r="DC720" s="194"/>
      <c r="DD720" s="194"/>
      <c r="DE720" s="194"/>
      <c r="DF720" s="196"/>
      <c r="DG720" s="198"/>
      <c r="DH720" s="194"/>
      <c r="DI720" s="194"/>
    </row>
    <row r="721" spans="1:113" s="24" customFormat="1" hidden="1" x14ac:dyDescent="0.3">
      <c r="A721" s="172"/>
      <c r="B721" s="172"/>
      <c r="C721" s="172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  <c r="AE721" s="173"/>
      <c r="AF721" s="173"/>
      <c r="AG721" s="173"/>
      <c r="AH721" s="173"/>
      <c r="AI721" s="173"/>
      <c r="AJ721" s="173"/>
      <c r="AK721" s="173"/>
      <c r="AL721" s="173"/>
      <c r="AM721" s="173"/>
      <c r="AN721" s="173"/>
      <c r="AO721" s="173"/>
      <c r="AP721" s="173"/>
      <c r="AQ721" s="173"/>
      <c r="AR721" s="173"/>
      <c r="AS721" s="172"/>
      <c r="AT721" s="172"/>
      <c r="AU721" s="172"/>
      <c r="AV721" s="172"/>
      <c r="AW721" s="172"/>
      <c r="AX721" s="172"/>
      <c r="AY721" s="172"/>
      <c r="AZ721" s="172"/>
      <c r="BA721" s="172"/>
      <c r="BB721" s="172"/>
      <c r="BC721" s="172"/>
      <c r="BD721" s="172"/>
      <c r="BE721" s="172"/>
      <c r="BF721" s="172"/>
      <c r="BG721" s="172"/>
      <c r="BH721" s="172"/>
      <c r="BI721" s="172"/>
      <c r="BJ721" s="172"/>
      <c r="BK721" s="172"/>
      <c r="BL721" s="172"/>
      <c r="BM721" s="172"/>
      <c r="BN721" s="172"/>
      <c r="BO721" s="172"/>
      <c r="BP721" s="172"/>
      <c r="BQ721" s="172"/>
      <c r="BR721" s="172"/>
      <c r="BS721" s="172"/>
      <c r="BT721" s="172"/>
      <c r="BU721" s="172"/>
      <c r="BV721" s="172"/>
      <c r="BW721" s="172"/>
      <c r="BX721" s="172"/>
      <c r="BY721" s="174"/>
      <c r="BZ721" s="172"/>
      <c r="CA721" s="172"/>
      <c r="CD721" s="194"/>
      <c r="CE721" s="194"/>
      <c r="CF721" s="194"/>
      <c r="CG721" s="194"/>
      <c r="CH721" s="195"/>
      <c r="CI721" s="194"/>
      <c r="CJ721" s="194"/>
      <c r="CK721" s="194"/>
      <c r="CL721" s="196"/>
      <c r="CM721" s="196"/>
      <c r="CN721" s="194"/>
      <c r="CO721" s="197"/>
      <c r="CP721" s="196"/>
      <c r="CQ721" s="196"/>
      <c r="CR721" s="196"/>
      <c r="CS721" s="196"/>
      <c r="CT721" s="196"/>
      <c r="CU721" s="196"/>
      <c r="CV721" s="194"/>
      <c r="CW721" s="194"/>
      <c r="CX721" s="194"/>
      <c r="CY721" s="194"/>
      <c r="CZ721" s="194"/>
      <c r="DA721" s="194"/>
      <c r="DB721" s="194"/>
      <c r="DC721" s="194"/>
      <c r="DD721" s="194"/>
      <c r="DE721" s="194"/>
      <c r="DF721" s="196"/>
      <c r="DG721" s="198"/>
      <c r="DH721" s="194"/>
      <c r="DI721" s="194"/>
    </row>
    <row r="722" spans="1:113" s="24" customFormat="1" hidden="1" x14ac:dyDescent="0.3">
      <c r="A722" s="172"/>
      <c r="B722" s="172"/>
      <c r="C722" s="172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  <c r="AE722" s="173"/>
      <c r="AF722" s="173"/>
      <c r="AG722" s="173"/>
      <c r="AH722" s="173"/>
      <c r="AI722" s="173"/>
      <c r="AJ722" s="173"/>
      <c r="AK722" s="173"/>
      <c r="AL722" s="173"/>
      <c r="AM722" s="173"/>
      <c r="AN722" s="173"/>
      <c r="AO722" s="173"/>
      <c r="AP722" s="173"/>
      <c r="AQ722" s="173"/>
      <c r="AR722" s="173"/>
      <c r="AS722" s="172"/>
      <c r="AT722" s="172"/>
      <c r="AU722" s="172"/>
      <c r="AV722" s="172"/>
      <c r="AW722" s="172"/>
      <c r="AX722" s="172"/>
      <c r="AY722" s="172"/>
      <c r="AZ722" s="172"/>
      <c r="BA722" s="172"/>
      <c r="BB722" s="172"/>
      <c r="BC722" s="172"/>
      <c r="BD722" s="172"/>
      <c r="BE722" s="172"/>
      <c r="BF722" s="172"/>
      <c r="BG722" s="172"/>
      <c r="BH722" s="172"/>
      <c r="BI722" s="172"/>
      <c r="BJ722" s="172"/>
      <c r="BK722" s="172"/>
      <c r="BL722" s="172"/>
      <c r="BM722" s="172"/>
      <c r="BN722" s="172"/>
      <c r="BO722" s="172"/>
      <c r="BP722" s="172"/>
      <c r="BQ722" s="172"/>
      <c r="BR722" s="172"/>
      <c r="BS722" s="172"/>
      <c r="BT722" s="172"/>
      <c r="BU722" s="172"/>
      <c r="BV722" s="172"/>
      <c r="BW722" s="172"/>
      <c r="BX722" s="172"/>
      <c r="BY722" s="174"/>
      <c r="BZ722" s="172"/>
      <c r="CA722" s="172"/>
      <c r="CD722" s="194"/>
      <c r="CE722" s="194"/>
      <c r="CF722" s="194"/>
      <c r="CG722" s="194"/>
      <c r="CH722" s="195"/>
      <c r="CI722" s="194"/>
      <c r="CJ722" s="194"/>
      <c r="CK722" s="194"/>
      <c r="CL722" s="196"/>
      <c r="CM722" s="196"/>
      <c r="CN722" s="194"/>
      <c r="CO722" s="197"/>
      <c r="CP722" s="196"/>
      <c r="CQ722" s="196"/>
      <c r="CR722" s="196"/>
      <c r="CS722" s="196"/>
      <c r="CT722" s="196"/>
      <c r="CU722" s="196"/>
      <c r="CV722" s="194"/>
      <c r="CW722" s="194"/>
      <c r="CX722" s="194"/>
      <c r="CY722" s="194"/>
      <c r="CZ722" s="194"/>
      <c r="DA722" s="194"/>
      <c r="DB722" s="194"/>
      <c r="DC722" s="194"/>
      <c r="DD722" s="194"/>
      <c r="DE722" s="194"/>
      <c r="DF722" s="196"/>
      <c r="DG722" s="198"/>
      <c r="DH722" s="194"/>
      <c r="DI722" s="194"/>
    </row>
    <row r="723" spans="1:113" s="24" customFormat="1" hidden="1" x14ac:dyDescent="0.3">
      <c r="A723" s="172"/>
      <c r="B723" s="172"/>
      <c r="C723" s="172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  <c r="AE723" s="173"/>
      <c r="AF723" s="173"/>
      <c r="AG723" s="173"/>
      <c r="AH723" s="173"/>
      <c r="AI723" s="173"/>
      <c r="AJ723" s="173"/>
      <c r="AK723" s="173"/>
      <c r="AL723" s="173"/>
      <c r="AM723" s="173"/>
      <c r="AN723" s="173"/>
      <c r="AO723" s="173"/>
      <c r="AP723" s="173"/>
      <c r="AQ723" s="173"/>
      <c r="AR723" s="173"/>
      <c r="AS723" s="172"/>
      <c r="AT723" s="172"/>
      <c r="AU723" s="172"/>
      <c r="AV723" s="172"/>
      <c r="AW723" s="172"/>
      <c r="AX723" s="172"/>
      <c r="AY723" s="172"/>
      <c r="AZ723" s="172"/>
      <c r="BA723" s="172"/>
      <c r="BB723" s="172"/>
      <c r="BC723" s="172"/>
      <c r="BD723" s="172"/>
      <c r="BE723" s="172"/>
      <c r="BF723" s="172"/>
      <c r="BG723" s="172"/>
      <c r="BH723" s="172"/>
      <c r="BI723" s="172"/>
      <c r="BJ723" s="172"/>
      <c r="BK723" s="172"/>
      <c r="BL723" s="172"/>
      <c r="BM723" s="172"/>
      <c r="BN723" s="172"/>
      <c r="BO723" s="172"/>
      <c r="BP723" s="172"/>
      <c r="BQ723" s="172"/>
      <c r="BR723" s="172"/>
      <c r="BS723" s="172"/>
      <c r="BT723" s="172"/>
      <c r="BU723" s="172"/>
      <c r="BV723" s="172"/>
      <c r="BW723" s="172"/>
      <c r="BX723" s="172"/>
      <c r="BY723" s="174"/>
      <c r="BZ723" s="172"/>
      <c r="CA723" s="172"/>
      <c r="CD723" s="194"/>
      <c r="CE723" s="194"/>
      <c r="CF723" s="194"/>
      <c r="CG723" s="194"/>
      <c r="CH723" s="195"/>
      <c r="CI723" s="194"/>
      <c r="CJ723" s="194"/>
      <c r="CK723" s="194"/>
      <c r="CL723" s="196"/>
      <c r="CM723" s="196"/>
      <c r="CN723" s="194"/>
      <c r="CO723" s="197"/>
      <c r="CP723" s="196"/>
      <c r="CQ723" s="196"/>
      <c r="CR723" s="196"/>
      <c r="CS723" s="196"/>
      <c r="CT723" s="196"/>
      <c r="CU723" s="196"/>
      <c r="CV723" s="194"/>
      <c r="CW723" s="194"/>
      <c r="CX723" s="194"/>
      <c r="CY723" s="194"/>
      <c r="CZ723" s="194"/>
      <c r="DA723" s="194"/>
      <c r="DB723" s="194"/>
      <c r="DC723" s="194"/>
      <c r="DD723" s="194"/>
      <c r="DE723" s="194"/>
      <c r="DF723" s="196"/>
      <c r="DG723" s="198"/>
      <c r="DH723" s="194"/>
      <c r="DI723" s="194"/>
    </row>
    <row r="724" spans="1:113" s="24" customFormat="1" hidden="1" x14ac:dyDescent="0.3">
      <c r="A724" s="172"/>
      <c r="B724" s="172"/>
      <c r="C724" s="172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  <c r="AE724" s="173"/>
      <c r="AF724" s="173"/>
      <c r="AG724" s="173"/>
      <c r="AH724" s="173"/>
      <c r="AI724" s="173"/>
      <c r="AJ724" s="173"/>
      <c r="AK724" s="173"/>
      <c r="AL724" s="173"/>
      <c r="AM724" s="173"/>
      <c r="AN724" s="173"/>
      <c r="AO724" s="173"/>
      <c r="AP724" s="173"/>
      <c r="AQ724" s="173"/>
      <c r="AR724" s="173"/>
      <c r="AS724" s="172"/>
      <c r="AT724" s="172"/>
      <c r="AU724" s="172"/>
      <c r="AV724" s="172"/>
      <c r="AW724" s="172"/>
      <c r="AX724" s="172"/>
      <c r="AY724" s="172"/>
      <c r="AZ724" s="172"/>
      <c r="BA724" s="172"/>
      <c r="BB724" s="172"/>
      <c r="BC724" s="172"/>
      <c r="BD724" s="172"/>
      <c r="BE724" s="172"/>
      <c r="BF724" s="172"/>
      <c r="BG724" s="172"/>
      <c r="BH724" s="172"/>
      <c r="BI724" s="172"/>
      <c r="BJ724" s="172"/>
      <c r="BK724" s="172"/>
      <c r="BL724" s="172"/>
      <c r="BM724" s="172"/>
      <c r="BN724" s="172"/>
      <c r="BO724" s="172"/>
      <c r="BP724" s="172"/>
      <c r="BQ724" s="172"/>
      <c r="BR724" s="172"/>
      <c r="BS724" s="172"/>
      <c r="BT724" s="172"/>
      <c r="BU724" s="172"/>
      <c r="BV724" s="172"/>
      <c r="BW724" s="172"/>
      <c r="BX724" s="172"/>
      <c r="BY724" s="174"/>
      <c r="BZ724" s="172"/>
      <c r="CA724" s="172"/>
      <c r="CD724" s="194"/>
      <c r="CE724" s="194"/>
      <c r="CF724" s="194"/>
      <c r="CG724" s="194"/>
      <c r="CH724" s="195"/>
      <c r="CI724" s="194"/>
      <c r="CJ724" s="194"/>
      <c r="CK724" s="194"/>
      <c r="CL724" s="196"/>
      <c r="CM724" s="196"/>
      <c r="CN724" s="194"/>
      <c r="CO724" s="197"/>
      <c r="CP724" s="196"/>
      <c r="CQ724" s="196"/>
      <c r="CR724" s="196"/>
      <c r="CS724" s="196"/>
      <c r="CT724" s="196"/>
      <c r="CU724" s="196"/>
      <c r="CV724" s="194"/>
      <c r="CW724" s="194"/>
      <c r="CX724" s="194"/>
      <c r="CY724" s="194"/>
      <c r="CZ724" s="194"/>
      <c r="DA724" s="194"/>
      <c r="DB724" s="194"/>
      <c r="DC724" s="194"/>
      <c r="DD724" s="194"/>
      <c r="DE724" s="194"/>
      <c r="DF724" s="196"/>
      <c r="DG724" s="198"/>
      <c r="DH724" s="194"/>
      <c r="DI724" s="194"/>
    </row>
    <row r="725" spans="1:113" s="24" customFormat="1" hidden="1" x14ac:dyDescent="0.3">
      <c r="A725" s="172"/>
      <c r="B725" s="172"/>
      <c r="C725" s="172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  <c r="AE725" s="173"/>
      <c r="AF725" s="173"/>
      <c r="AG725" s="173"/>
      <c r="AH725" s="173"/>
      <c r="AI725" s="173"/>
      <c r="AJ725" s="173"/>
      <c r="AK725" s="173"/>
      <c r="AL725" s="173"/>
      <c r="AM725" s="173"/>
      <c r="AN725" s="173"/>
      <c r="AO725" s="173"/>
      <c r="AP725" s="173"/>
      <c r="AQ725" s="173"/>
      <c r="AR725" s="173"/>
      <c r="AS725" s="172"/>
      <c r="AT725" s="172"/>
      <c r="AU725" s="172"/>
      <c r="AV725" s="172"/>
      <c r="AW725" s="172"/>
      <c r="AX725" s="172"/>
      <c r="AY725" s="172"/>
      <c r="AZ725" s="172"/>
      <c r="BA725" s="172"/>
      <c r="BB725" s="172"/>
      <c r="BC725" s="172"/>
      <c r="BD725" s="172"/>
      <c r="BE725" s="172"/>
      <c r="BF725" s="172"/>
      <c r="BG725" s="172"/>
      <c r="BH725" s="172"/>
      <c r="BI725" s="172"/>
      <c r="BJ725" s="172"/>
      <c r="BK725" s="172"/>
      <c r="BL725" s="172"/>
      <c r="BM725" s="172"/>
      <c r="BN725" s="172"/>
      <c r="BO725" s="172"/>
      <c r="BP725" s="172"/>
      <c r="BQ725" s="172"/>
      <c r="BR725" s="172"/>
      <c r="BS725" s="172"/>
      <c r="BT725" s="172"/>
      <c r="BU725" s="172"/>
      <c r="BV725" s="172"/>
      <c r="BW725" s="172"/>
      <c r="BX725" s="172"/>
      <c r="BY725" s="174"/>
      <c r="BZ725" s="172"/>
      <c r="CA725" s="172"/>
      <c r="CD725" s="194"/>
      <c r="CE725" s="194"/>
      <c r="CF725" s="194"/>
      <c r="CG725" s="194"/>
      <c r="CH725" s="195"/>
      <c r="CI725" s="194"/>
      <c r="CJ725" s="194"/>
      <c r="CK725" s="194"/>
      <c r="CL725" s="196"/>
      <c r="CM725" s="196"/>
      <c r="CN725" s="194"/>
      <c r="CO725" s="197"/>
      <c r="CP725" s="196"/>
      <c r="CQ725" s="196"/>
      <c r="CR725" s="196"/>
      <c r="CS725" s="196"/>
      <c r="CT725" s="196"/>
      <c r="CU725" s="196"/>
      <c r="CV725" s="194"/>
      <c r="CW725" s="194"/>
      <c r="CX725" s="194"/>
      <c r="CY725" s="194"/>
      <c r="CZ725" s="194"/>
      <c r="DA725" s="194"/>
      <c r="DB725" s="194"/>
      <c r="DC725" s="194"/>
      <c r="DD725" s="194"/>
      <c r="DE725" s="194"/>
      <c r="DF725" s="196"/>
      <c r="DG725" s="198"/>
      <c r="DH725" s="194"/>
      <c r="DI725" s="194"/>
    </row>
    <row r="726" spans="1:113" s="24" customFormat="1" hidden="1" x14ac:dyDescent="0.3">
      <c r="A726" s="172"/>
      <c r="B726" s="172"/>
      <c r="C726" s="172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  <c r="AE726" s="173"/>
      <c r="AF726" s="173"/>
      <c r="AG726" s="173"/>
      <c r="AH726" s="173"/>
      <c r="AI726" s="173"/>
      <c r="AJ726" s="173"/>
      <c r="AK726" s="173"/>
      <c r="AL726" s="173"/>
      <c r="AM726" s="173"/>
      <c r="AN726" s="173"/>
      <c r="AO726" s="173"/>
      <c r="AP726" s="173"/>
      <c r="AQ726" s="173"/>
      <c r="AR726" s="173"/>
      <c r="AS726" s="172"/>
      <c r="AT726" s="172"/>
      <c r="AU726" s="172"/>
      <c r="AV726" s="172"/>
      <c r="AW726" s="172"/>
      <c r="AX726" s="172"/>
      <c r="AY726" s="172"/>
      <c r="AZ726" s="172"/>
      <c r="BA726" s="172"/>
      <c r="BB726" s="172"/>
      <c r="BC726" s="172"/>
      <c r="BD726" s="172"/>
      <c r="BE726" s="172"/>
      <c r="BF726" s="172"/>
      <c r="BG726" s="172"/>
      <c r="BH726" s="172"/>
      <c r="BI726" s="172"/>
      <c r="BJ726" s="172"/>
      <c r="BK726" s="172"/>
      <c r="BL726" s="172"/>
      <c r="BM726" s="172"/>
      <c r="BN726" s="172"/>
      <c r="BO726" s="172"/>
      <c r="BP726" s="172"/>
      <c r="BQ726" s="172"/>
      <c r="BR726" s="172"/>
      <c r="BS726" s="172"/>
      <c r="BT726" s="172"/>
      <c r="BU726" s="172"/>
      <c r="BV726" s="172"/>
      <c r="BW726" s="172"/>
      <c r="BX726" s="172"/>
      <c r="BY726" s="174"/>
      <c r="BZ726" s="172"/>
      <c r="CA726" s="172"/>
      <c r="CD726" s="194"/>
      <c r="CE726" s="194"/>
      <c r="CF726" s="194"/>
      <c r="CG726" s="194"/>
      <c r="CH726" s="195"/>
      <c r="CI726" s="194"/>
      <c r="CJ726" s="194"/>
      <c r="CK726" s="194"/>
      <c r="CL726" s="196"/>
      <c r="CM726" s="196"/>
      <c r="CN726" s="194"/>
      <c r="CO726" s="197"/>
      <c r="CP726" s="196"/>
      <c r="CQ726" s="196"/>
      <c r="CR726" s="196"/>
      <c r="CS726" s="196"/>
      <c r="CT726" s="196"/>
      <c r="CU726" s="196"/>
      <c r="CV726" s="194"/>
      <c r="CW726" s="194"/>
      <c r="CX726" s="194"/>
      <c r="CY726" s="194"/>
      <c r="CZ726" s="194"/>
      <c r="DA726" s="194"/>
      <c r="DB726" s="194"/>
      <c r="DC726" s="194"/>
      <c r="DD726" s="194"/>
      <c r="DE726" s="194"/>
      <c r="DF726" s="196"/>
      <c r="DG726" s="198"/>
      <c r="DH726" s="194"/>
      <c r="DI726" s="194"/>
    </row>
    <row r="727" spans="1:113" s="24" customFormat="1" hidden="1" x14ac:dyDescent="0.3">
      <c r="A727" s="172"/>
      <c r="B727" s="172"/>
      <c r="C727" s="172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  <c r="AE727" s="173"/>
      <c r="AF727" s="173"/>
      <c r="AG727" s="173"/>
      <c r="AH727" s="173"/>
      <c r="AI727" s="173"/>
      <c r="AJ727" s="173"/>
      <c r="AK727" s="173"/>
      <c r="AL727" s="173"/>
      <c r="AM727" s="173"/>
      <c r="AN727" s="173"/>
      <c r="AO727" s="173"/>
      <c r="AP727" s="173"/>
      <c r="AQ727" s="173"/>
      <c r="AR727" s="173"/>
      <c r="AS727" s="172"/>
      <c r="AT727" s="172"/>
      <c r="AU727" s="172"/>
      <c r="AV727" s="172"/>
      <c r="AW727" s="172"/>
      <c r="AX727" s="172"/>
      <c r="AY727" s="172"/>
      <c r="AZ727" s="172"/>
      <c r="BA727" s="172"/>
      <c r="BB727" s="172"/>
      <c r="BC727" s="172"/>
      <c r="BD727" s="172"/>
      <c r="BE727" s="172"/>
      <c r="BF727" s="172"/>
      <c r="BG727" s="172"/>
      <c r="BH727" s="172"/>
      <c r="BI727" s="172"/>
      <c r="BJ727" s="172"/>
      <c r="BK727" s="172"/>
      <c r="BL727" s="172"/>
      <c r="BM727" s="172"/>
      <c r="BN727" s="172"/>
      <c r="BO727" s="172"/>
      <c r="BP727" s="172"/>
      <c r="BQ727" s="172"/>
      <c r="BR727" s="172"/>
      <c r="BS727" s="172"/>
      <c r="BT727" s="172"/>
      <c r="BU727" s="172"/>
      <c r="BV727" s="172"/>
      <c r="BW727" s="172"/>
      <c r="BX727" s="172"/>
      <c r="BY727" s="174"/>
      <c r="BZ727" s="172"/>
      <c r="CA727" s="172"/>
      <c r="CD727" s="194"/>
      <c r="CE727" s="194"/>
      <c r="CF727" s="194"/>
      <c r="CG727" s="194"/>
      <c r="CH727" s="195"/>
      <c r="CI727" s="194"/>
      <c r="CJ727" s="194"/>
      <c r="CK727" s="194"/>
      <c r="CL727" s="196"/>
      <c r="CM727" s="196"/>
      <c r="CN727" s="194"/>
      <c r="CO727" s="197"/>
      <c r="CP727" s="196"/>
      <c r="CQ727" s="196"/>
      <c r="CR727" s="196"/>
      <c r="CS727" s="196"/>
      <c r="CT727" s="196"/>
      <c r="CU727" s="196"/>
      <c r="CV727" s="194"/>
      <c r="CW727" s="194"/>
      <c r="CX727" s="194"/>
      <c r="CY727" s="194"/>
      <c r="CZ727" s="194"/>
      <c r="DA727" s="194"/>
      <c r="DB727" s="194"/>
      <c r="DC727" s="194"/>
      <c r="DD727" s="194"/>
      <c r="DE727" s="194"/>
      <c r="DF727" s="196"/>
      <c r="DG727" s="198"/>
      <c r="DH727" s="194"/>
      <c r="DI727" s="194"/>
    </row>
    <row r="728" spans="1:113" s="24" customFormat="1" hidden="1" x14ac:dyDescent="0.3">
      <c r="A728" s="172"/>
      <c r="B728" s="172"/>
      <c r="C728" s="172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  <c r="AE728" s="173"/>
      <c r="AF728" s="173"/>
      <c r="AG728" s="173"/>
      <c r="AH728" s="173"/>
      <c r="AI728" s="173"/>
      <c r="AJ728" s="173"/>
      <c r="AK728" s="173"/>
      <c r="AL728" s="173"/>
      <c r="AM728" s="173"/>
      <c r="AN728" s="173"/>
      <c r="AO728" s="173"/>
      <c r="AP728" s="173"/>
      <c r="AQ728" s="173"/>
      <c r="AR728" s="173"/>
      <c r="AS728" s="172"/>
      <c r="AT728" s="172"/>
      <c r="AU728" s="172"/>
      <c r="AV728" s="172"/>
      <c r="AW728" s="172"/>
      <c r="AX728" s="172"/>
      <c r="AY728" s="172"/>
      <c r="AZ728" s="172"/>
      <c r="BA728" s="172"/>
      <c r="BB728" s="172"/>
      <c r="BC728" s="172"/>
      <c r="BD728" s="172"/>
      <c r="BE728" s="172"/>
      <c r="BF728" s="172"/>
      <c r="BG728" s="172"/>
      <c r="BH728" s="172"/>
      <c r="BI728" s="172"/>
      <c r="BJ728" s="172"/>
      <c r="BK728" s="172"/>
      <c r="BL728" s="172"/>
      <c r="BM728" s="172"/>
      <c r="BN728" s="172"/>
      <c r="BO728" s="172"/>
      <c r="BP728" s="172"/>
      <c r="BQ728" s="172"/>
      <c r="BR728" s="172"/>
      <c r="BS728" s="172"/>
      <c r="BT728" s="172"/>
      <c r="BU728" s="172"/>
      <c r="BV728" s="172"/>
      <c r="BW728" s="172"/>
      <c r="BX728" s="172"/>
      <c r="BY728" s="174"/>
      <c r="BZ728" s="172"/>
      <c r="CA728" s="172"/>
      <c r="CD728" s="194"/>
      <c r="CE728" s="194"/>
      <c r="CF728" s="194"/>
      <c r="CG728" s="194"/>
      <c r="CH728" s="195"/>
      <c r="CI728" s="194"/>
      <c r="CJ728" s="194"/>
      <c r="CK728" s="194"/>
      <c r="CL728" s="196"/>
      <c r="CM728" s="196"/>
      <c r="CN728" s="194"/>
      <c r="CO728" s="197"/>
      <c r="CP728" s="196"/>
      <c r="CQ728" s="196"/>
      <c r="CR728" s="196"/>
      <c r="CS728" s="196"/>
      <c r="CT728" s="196"/>
      <c r="CU728" s="196"/>
      <c r="CV728" s="194"/>
      <c r="CW728" s="194"/>
      <c r="CX728" s="194"/>
      <c r="CY728" s="194"/>
      <c r="CZ728" s="194"/>
      <c r="DA728" s="194"/>
      <c r="DB728" s="194"/>
      <c r="DC728" s="194"/>
      <c r="DD728" s="194"/>
      <c r="DE728" s="194"/>
      <c r="DF728" s="196"/>
      <c r="DG728" s="198"/>
      <c r="DH728" s="194"/>
      <c r="DI728" s="194"/>
    </row>
    <row r="729" spans="1:113" s="24" customFormat="1" hidden="1" x14ac:dyDescent="0.3">
      <c r="A729" s="172"/>
      <c r="B729" s="172"/>
      <c r="C729" s="172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  <c r="AE729" s="173"/>
      <c r="AF729" s="173"/>
      <c r="AG729" s="173"/>
      <c r="AH729" s="173"/>
      <c r="AI729" s="173"/>
      <c r="AJ729" s="173"/>
      <c r="AK729" s="173"/>
      <c r="AL729" s="173"/>
      <c r="AM729" s="173"/>
      <c r="AN729" s="173"/>
      <c r="AO729" s="173"/>
      <c r="AP729" s="173"/>
      <c r="AQ729" s="173"/>
      <c r="AR729" s="173"/>
      <c r="AS729" s="172"/>
      <c r="AT729" s="172"/>
      <c r="AU729" s="172"/>
      <c r="AV729" s="172"/>
      <c r="AW729" s="172"/>
      <c r="AX729" s="172"/>
      <c r="AY729" s="172"/>
      <c r="AZ729" s="172"/>
      <c r="BA729" s="172"/>
      <c r="BB729" s="172"/>
      <c r="BC729" s="172"/>
      <c r="BD729" s="172"/>
      <c r="BE729" s="172"/>
      <c r="BF729" s="172"/>
      <c r="BG729" s="172"/>
      <c r="BH729" s="172"/>
      <c r="BI729" s="172"/>
      <c r="BJ729" s="172"/>
      <c r="BK729" s="172"/>
      <c r="BL729" s="172"/>
      <c r="BM729" s="172"/>
      <c r="BN729" s="172"/>
      <c r="BO729" s="172"/>
      <c r="BP729" s="172"/>
      <c r="BQ729" s="172"/>
      <c r="BR729" s="172"/>
      <c r="BS729" s="172"/>
      <c r="BT729" s="172"/>
      <c r="BU729" s="172"/>
      <c r="BV729" s="172"/>
      <c r="BW729" s="172"/>
      <c r="BX729" s="172"/>
      <c r="BY729" s="174"/>
      <c r="BZ729" s="172"/>
      <c r="CA729" s="172"/>
      <c r="CD729" s="194"/>
      <c r="CE729" s="194"/>
      <c r="CF729" s="194"/>
      <c r="CG729" s="194"/>
      <c r="CH729" s="195"/>
      <c r="CI729" s="194"/>
      <c r="CJ729" s="194"/>
      <c r="CK729" s="194"/>
      <c r="CL729" s="196"/>
      <c r="CM729" s="196"/>
      <c r="CN729" s="194"/>
      <c r="CO729" s="197"/>
      <c r="CP729" s="196"/>
      <c r="CQ729" s="196"/>
      <c r="CR729" s="196"/>
      <c r="CS729" s="196"/>
      <c r="CT729" s="196"/>
      <c r="CU729" s="196"/>
      <c r="CV729" s="194"/>
      <c r="CW729" s="194"/>
      <c r="CX729" s="194"/>
      <c r="CY729" s="194"/>
      <c r="CZ729" s="194"/>
      <c r="DA729" s="194"/>
      <c r="DB729" s="194"/>
      <c r="DC729" s="194"/>
      <c r="DD729" s="194"/>
      <c r="DE729" s="194"/>
      <c r="DF729" s="196"/>
      <c r="DG729" s="198"/>
      <c r="DH729" s="194"/>
      <c r="DI729" s="194"/>
    </row>
    <row r="730" spans="1:113" s="24" customFormat="1" hidden="1" x14ac:dyDescent="0.3">
      <c r="A730" s="172"/>
      <c r="B730" s="172"/>
      <c r="C730" s="172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  <c r="AE730" s="173"/>
      <c r="AF730" s="173"/>
      <c r="AG730" s="173"/>
      <c r="AH730" s="173"/>
      <c r="AI730" s="173"/>
      <c r="AJ730" s="173"/>
      <c r="AK730" s="173"/>
      <c r="AL730" s="173"/>
      <c r="AM730" s="173"/>
      <c r="AN730" s="173"/>
      <c r="AO730" s="173"/>
      <c r="AP730" s="173"/>
      <c r="AQ730" s="173"/>
      <c r="AR730" s="173"/>
      <c r="AS730" s="172"/>
      <c r="AT730" s="172"/>
      <c r="AU730" s="172"/>
      <c r="AV730" s="172"/>
      <c r="AW730" s="172"/>
      <c r="AX730" s="172"/>
      <c r="AY730" s="172"/>
      <c r="AZ730" s="172"/>
      <c r="BA730" s="172"/>
      <c r="BB730" s="172"/>
      <c r="BC730" s="172"/>
      <c r="BD730" s="172"/>
      <c r="BE730" s="172"/>
      <c r="BF730" s="172"/>
      <c r="BG730" s="172"/>
      <c r="BH730" s="172"/>
      <c r="BI730" s="172"/>
      <c r="BJ730" s="172"/>
      <c r="BK730" s="172"/>
      <c r="BL730" s="172"/>
      <c r="BM730" s="172"/>
      <c r="BN730" s="172"/>
      <c r="BO730" s="172"/>
      <c r="BP730" s="172"/>
      <c r="BQ730" s="172"/>
      <c r="BR730" s="172"/>
      <c r="BS730" s="172"/>
      <c r="BT730" s="172"/>
      <c r="BU730" s="172"/>
      <c r="BV730" s="172"/>
      <c r="BW730" s="172"/>
      <c r="BX730" s="172"/>
      <c r="BY730" s="174"/>
      <c r="BZ730" s="172"/>
      <c r="CA730" s="172"/>
      <c r="CD730" s="194"/>
      <c r="CE730" s="194"/>
      <c r="CF730" s="194"/>
      <c r="CG730" s="194"/>
      <c r="CH730" s="195"/>
      <c r="CI730" s="194"/>
      <c r="CJ730" s="194"/>
      <c r="CK730" s="194"/>
      <c r="CL730" s="196"/>
      <c r="CM730" s="196"/>
      <c r="CN730" s="194"/>
      <c r="CO730" s="197"/>
      <c r="CP730" s="196"/>
      <c r="CQ730" s="196"/>
      <c r="CR730" s="196"/>
      <c r="CS730" s="196"/>
      <c r="CT730" s="196"/>
      <c r="CU730" s="196"/>
      <c r="CV730" s="194"/>
      <c r="CW730" s="194"/>
      <c r="CX730" s="194"/>
      <c r="CY730" s="194"/>
      <c r="CZ730" s="194"/>
      <c r="DA730" s="194"/>
      <c r="DB730" s="194"/>
      <c r="DC730" s="194"/>
      <c r="DD730" s="194"/>
      <c r="DE730" s="194"/>
      <c r="DF730" s="196"/>
      <c r="DG730" s="198"/>
      <c r="DH730" s="194"/>
      <c r="DI730" s="194"/>
    </row>
    <row r="731" spans="1:113" s="24" customFormat="1" hidden="1" x14ac:dyDescent="0.3">
      <c r="A731" s="172"/>
      <c r="B731" s="172"/>
      <c r="C731" s="172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  <c r="AE731" s="173"/>
      <c r="AF731" s="173"/>
      <c r="AG731" s="173"/>
      <c r="AH731" s="173"/>
      <c r="AI731" s="173"/>
      <c r="AJ731" s="173"/>
      <c r="AK731" s="173"/>
      <c r="AL731" s="173"/>
      <c r="AM731" s="173"/>
      <c r="AN731" s="173"/>
      <c r="AO731" s="173"/>
      <c r="AP731" s="173"/>
      <c r="AQ731" s="173"/>
      <c r="AR731" s="173"/>
      <c r="AS731" s="172"/>
      <c r="AT731" s="172"/>
      <c r="AU731" s="172"/>
      <c r="AV731" s="172"/>
      <c r="AW731" s="172"/>
      <c r="AX731" s="172"/>
      <c r="AY731" s="172"/>
      <c r="AZ731" s="172"/>
      <c r="BA731" s="172"/>
      <c r="BB731" s="172"/>
      <c r="BC731" s="172"/>
      <c r="BD731" s="172"/>
      <c r="BE731" s="172"/>
      <c r="BF731" s="172"/>
      <c r="BG731" s="172"/>
      <c r="BH731" s="172"/>
      <c r="BI731" s="172"/>
      <c r="BJ731" s="172"/>
      <c r="BK731" s="172"/>
      <c r="BL731" s="172"/>
      <c r="BM731" s="172"/>
      <c r="BN731" s="172"/>
      <c r="BO731" s="172"/>
      <c r="BP731" s="172"/>
      <c r="BQ731" s="172"/>
      <c r="BR731" s="172"/>
      <c r="BS731" s="172"/>
      <c r="BT731" s="172"/>
      <c r="BU731" s="172"/>
      <c r="BV731" s="172"/>
      <c r="BW731" s="172"/>
      <c r="BX731" s="172"/>
      <c r="BY731" s="174"/>
      <c r="BZ731" s="172"/>
      <c r="CA731" s="172"/>
      <c r="CD731" s="194"/>
      <c r="CE731" s="194"/>
      <c r="CF731" s="194"/>
      <c r="CG731" s="194"/>
      <c r="CH731" s="195"/>
      <c r="CI731" s="194"/>
      <c r="CJ731" s="194"/>
      <c r="CK731" s="194"/>
      <c r="CL731" s="196"/>
      <c r="CM731" s="196"/>
      <c r="CN731" s="194"/>
      <c r="CO731" s="197"/>
      <c r="CP731" s="196"/>
      <c r="CQ731" s="196"/>
      <c r="CR731" s="196"/>
      <c r="CS731" s="196"/>
      <c r="CT731" s="196"/>
      <c r="CU731" s="196"/>
      <c r="CV731" s="194"/>
      <c r="CW731" s="194"/>
      <c r="CX731" s="194"/>
      <c r="CY731" s="194"/>
      <c r="CZ731" s="194"/>
      <c r="DA731" s="194"/>
      <c r="DB731" s="194"/>
      <c r="DC731" s="194"/>
      <c r="DD731" s="194"/>
      <c r="DE731" s="194"/>
      <c r="DF731" s="196"/>
      <c r="DG731" s="198"/>
      <c r="DH731" s="194"/>
      <c r="DI731" s="194"/>
    </row>
    <row r="732" spans="1:113" s="24" customFormat="1" hidden="1" x14ac:dyDescent="0.3">
      <c r="A732" s="172"/>
      <c r="B732" s="172"/>
      <c r="C732" s="172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  <c r="AE732" s="173"/>
      <c r="AF732" s="173"/>
      <c r="AG732" s="173"/>
      <c r="AH732" s="173"/>
      <c r="AI732" s="173"/>
      <c r="AJ732" s="173"/>
      <c r="AK732" s="173"/>
      <c r="AL732" s="173"/>
      <c r="AM732" s="173"/>
      <c r="AN732" s="173"/>
      <c r="AO732" s="173"/>
      <c r="AP732" s="173"/>
      <c r="AQ732" s="173"/>
      <c r="AR732" s="173"/>
      <c r="AS732" s="172"/>
      <c r="AT732" s="172"/>
      <c r="AU732" s="172"/>
      <c r="AV732" s="172"/>
      <c r="AW732" s="172"/>
      <c r="AX732" s="172"/>
      <c r="AY732" s="172"/>
      <c r="AZ732" s="172"/>
      <c r="BA732" s="172"/>
      <c r="BB732" s="172"/>
      <c r="BC732" s="172"/>
      <c r="BD732" s="172"/>
      <c r="BE732" s="172"/>
      <c r="BF732" s="172"/>
      <c r="BG732" s="172"/>
      <c r="BH732" s="172"/>
      <c r="BI732" s="172"/>
      <c r="BJ732" s="172"/>
      <c r="BK732" s="172"/>
      <c r="BL732" s="172"/>
      <c r="BM732" s="172"/>
      <c r="BN732" s="172"/>
      <c r="BO732" s="172"/>
      <c r="BP732" s="172"/>
      <c r="BQ732" s="172"/>
      <c r="BR732" s="172"/>
      <c r="BS732" s="172"/>
      <c r="BT732" s="172"/>
      <c r="BU732" s="172"/>
      <c r="BV732" s="172"/>
      <c r="BW732" s="172"/>
      <c r="BX732" s="172"/>
      <c r="BY732" s="174"/>
      <c r="BZ732" s="172"/>
      <c r="CA732" s="172"/>
      <c r="CD732" s="194"/>
      <c r="CE732" s="194"/>
      <c r="CF732" s="194"/>
      <c r="CG732" s="194"/>
      <c r="CH732" s="195"/>
      <c r="CI732" s="194"/>
      <c r="CJ732" s="194"/>
      <c r="CK732" s="194"/>
      <c r="CL732" s="196"/>
      <c r="CM732" s="196"/>
      <c r="CN732" s="194"/>
      <c r="CO732" s="197"/>
      <c r="CP732" s="196"/>
      <c r="CQ732" s="196"/>
      <c r="CR732" s="196"/>
      <c r="CS732" s="196"/>
      <c r="CT732" s="196"/>
      <c r="CU732" s="196"/>
      <c r="CV732" s="194"/>
      <c r="CW732" s="194"/>
      <c r="CX732" s="194"/>
      <c r="CY732" s="194"/>
      <c r="CZ732" s="194"/>
      <c r="DA732" s="194"/>
      <c r="DB732" s="194"/>
      <c r="DC732" s="194"/>
      <c r="DD732" s="194"/>
      <c r="DE732" s="194"/>
      <c r="DF732" s="196"/>
      <c r="DG732" s="198"/>
      <c r="DH732" s="194"/>
      <c r="DI732" s="194"/>
    </row>
    <row r="733" spans="1:113" s="24" customFormat="1" hidden="1" x14ac:dyDescent="0.3">
      <c r="A733" s="172"/>
      <c r="B733" s="172"/>
      <c r="C733" s="172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  <c r="AE733" s="173"/>
      <c r="AF733" s="173"/>
      <c r="AG733" s="173"/>
      <c r="AH733" s="173"/>
      <c r="AI733" s="173"/>
      <c r="AJ733" s="173"/>
      <c r="AK733" s="173"/>
      <c r="AL733" s="173"/>
      <c r="AM733" s="173"/>
      <c r="AN733" s="173"/>
      <c r="AO733" s="173"/>
      <c r="AP733" s="173"/>
      <c r="AQ733" s="173"/>
      <c r="AR733" s="173"/>
      <c r="AS733" s="172"/>
      <c r="AT733" s="172"/>
      <c r="AU733" s="172"/>
      <c r="AV733" s="172"/>
      <c r="AW733" s="172"/>
      <c r="AX733" s="172"/>
      <c r="AY733" s="172"/>
      <c r="AZ733" s="172"/>
      <c r="BA733" s="172"/>
      <c r="BB733" s="172"/>
      <c r="BC733" s="172"/>
      <c r="BD733" s="172"/>
      <c r="BE733" s="172"/>
      <c r="BF733" s="172"/>
      <c r="BG733" s="172"/>
      <c r="BH733" s="172"/>
      <c r="BI733" s="172"/>
      <c r="BJ733" s="172"/>
      <c r="BK733" s="172"/>
      <c r="BL733" s="172"/>
      <c r="BM733" s="172"/>
      <c r="BN733" s="172"/>
      <c r="BO733" s="172"/>
      <c r="BP733" s="172"/>
      <c r="BQ733" s="172"/>
      <c r="BR733" s="172"/>
      <c r="BS733" s="172"/>
      <c r="BT733" s="172"/>
      <c r="BU733" s="172"/>
      <c r="BV733" s="172"/>
      <c r="BW733" s="172"/>
      <c r="BX733" s="172"/>
      <c r="BY733" s="174"/>
      <c r="BZ733" s="172"/>
      <c r="CA733" s="172"/>
      <c r="CD733" s="194"/>
      <c r="CE733" s="194"/>
      <c r="CF733" s="194"/>
      <c r="CG733" s="194"/>
      <c r="CH733" s="195"/>
      <c r="CI733" s="194"/>
      <c r="CJ733" s="194"/>
      <c r="CK733" s="194"/>
      <c r="CL733" s="196"/>
      <c r="CM733" s="196"/>
      <c r="CN733" s="194"/>
      <c r="CO733" s="197"/>
      <c r="CP733" s="196"/>
      <c r="CQ733" s="196"/>
      <c r="CR733" s="196"/>
      <c r="CS733" s="196"/>
      <c r="CT733" s="196"/>
      <c r="CU733" s="196"/>
      <c r="CV733" s="194"/>
      <c r="CW733" s="194"/>
      <c r="CX733" s="194"/>
      <c r="CY733" s="194"/>
      <c r="CZ733" s="194"/>
      <c r="DA733" s="194"/>
      <c r="DB733" s="194"/>
      <c r="DC733" s="194"/>
      <c r="DD733" s="194"/>
      <c r="DE733" s="194"/>
      <c r="DF733" s="196"/>
      <c r="DG733" s="198"/>
      <c r="DH733" s="194"/>
      <c r="DI733" s="194"/>
    </row>
    <row r="734" spans="1:113" s="24" customFormat="1" hidden="1" x14ac:dyDescent="0.3">
      <c r="A734" s="172"/>
      <c r="B734" s="172"/>
      <c r="C734" s="172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  <c r="AE734" s="173"/>
      <c r="AF734" s="173"/>
      <c r="AG734" s="173"/>
      <c r="AH734" s="173"/>
      <c r="AI734" s="173"/>
      <c r="AJ734" s="173"/>
      <c r="AK734" s="173"/>
      <c r="AL734" s="173"/>
      <c r="AM734" s="173"/>
      <c r="AN734" s="173"/>
      <c r="AO734" s="173"/>
      <c r="AP734" s="173"/>
      <c r="AQ734" s="173"/>
      <c r="AR734" s="173"/>
      <c r="AS734" s="172"/>
      <c r="AT734" s="172"/>
      <c r="AU734" s="172"/>
      <c r="AV734" s="172"/>
      <c r="AW734" s="172"/>
      <c r="AX734" s="172"/>
      <c r="AY734" s="172"/>
      <c r="AZ734" s="172"/>
      <c r="BA734" s="172"/>
      <c r="BB734" s="172"/>
      <c r="BC734" s="172"/>
      <c r="BD734" s="172"/>
      <c r="BE734" s="172"/>
      <c r="BF734" s="172"/>
      <c r="BG734" s="172"/>
      <c r="BH734" s="172"/>
      <c r="BI734" s="172"/>
      <c r="BJ734" s="172"/>
      <c r="BK734" s="172"/>
      <c r="BL734" s="172"/>
      <c r="BM734" s="172"/>
      <c r="BN734" s="172"/>
      <c r="BO734" s="172"/>
      <c r="BP734" s="172"/>
      <c r="BQ734" s="172"/>
      <c r="BR734" s="172"/>
      <c r="BS734" s="172"/>
      <c r="BT734" s="172"/>
      <c r="BU734" s="172"/>
      <c r="BV734" s="172"/>
      <c r="BW734" s="172"/>
      <c r="BX734" s="172"/>
      <c r="BY734" s="174"/>
      <c r="BZ734" s="172"/>
      <c r="CA734" s="172"/>
      <c r="CD734" s="194"/>
      <c r="CE734" s="194"/>
      <c r="CF734" s="194"/>
      <c r="CG734" s="194"/>
      <c r="CH734" s="195"/>
      <c r="CI734" s="194"/>
      <c r="CJ734" s="194"/>
      <c r="CK734" s="194"/>
      <c r="CL734" s="196"/>
      <c r="CM734" s="196"/>
      <c r="CN734" s="194"/>
      <c r="CO734" s="197"/>
      <c r="CP734" s="196"/>
      <c r="CQ734" s="196"/>
      <c r="CR734" s="196"/>
      <c r="CS734" s="196"/>
      <c r="CT734" s="196"/>
      <c r="CU734" s="196"/>
      <c r="CV734" s="194"/>
      <c r="CW734" s="194"/>
      <c r="CX734" s="194"/>
      <c r="CY734" s="194"/>
      <c r="CZ734" s="194"/>
      <c r="DA734" s="194"/>
      <c r="DB734" s="194"/>
      <c r="DC734" s="194"/>
      <c r="DD734" s="194"/>
      <c r="DE734" s="194"/>
      <c r="DF734" s="196"/>
      <c r="DG734" s="198"/>
      <c r="DH734" s="194"/>
      <c r="DI734" s="194"/>
    </row>
    <row r="735" spans="1:113" s="24" customFormat="1" hidden="1" x14ac:dyDescent="0.3">
      <c r="A735" s="172"/>
      <c r="B735" s="172"/>
      <c r="C735" s="172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  <c r="AE735" s="173"/>
      <c r="AF735" s="173"/>
      <c r="AG735" s="173"/>
      <c r="AH735" s="173"/>
      <c r="AI735" s="173"/>
      <c r="AJ735" s="173"/>
      <c r="AK735" s="173"/>
      <c r="AL735" s="173"/>
      <c r="AM735" s="173"/>
      <c r="AN735" s="173"/>
      <c r="AO735" s="173"/>
      <c r="AP735" s="173"/>
      <c r="AQ735" s="173"/>
      <c r="AR735" s="173"/>
      <c r="AS735" s="172"/>
      <c r="AT735" s="172"/>
      <c r="AU735" s="172"/>
      <c r="AV735" s="172"/>
      <c r="AW735" s="172"/>
      <c r="AX735" s="172"/>
      <c r="AY735" s="172"/>
      <c r="AZ735" s="172"/>
      <c r="BA735" s="172"/>
      <c r="BB735" s="172"/>
      <c r="BC735" s="172"/>
      <c r="BD735" s="172"/>
      <c r="BE735" s="172"/>
      <c r="BF735" s="172"/>
      <c r="BG735" s="172"/>
      <c r="BH735" s="172"/>
      <c r="BI735" s="172"/>
      <c r="BJ735" s="172"/>
      <c r="BK735" s="172"/>
      <c r="BL735" s="172"/>
      <c r="BM735" s="172"/>
      <c r="BN735" s="172"/>
      <c r="BO735" s="172"/>
      <c r="BP735" s="172"/>
      <c r="BQ735" s="172"/>
      <c r="BR735" s="172"/>
      <c r="BS735" s="172"/>
      <c r="BT735" s="172"/>
      <c r="BU735" s="172"/>
      <c r="BV735" s="172"/>
      <c r="BW735" s="172"/>
      <c r="BX735" s="172"/>
      <c r="BY735" s="174"/>
      <c r="BZ735" s="172"/>
      <c r="CA735" s="172"/>
      <c r="CD735" s="194"/>
      <c r="CE735" s="194"/>
      <c r="CF735" s="194"/>
      <c r="CG735" s="194"/>
      <c r="CH735" s="195"/>
      <c r="CI735" s="194"/>
      <c r="CJ735" s="194"/>
      <c r="CK735" s="194"/>
      <c r="CL735" s="196"/>
      <c r="CM735" s="196"/>
      <c r="CN735" s="194"/>
      <c r="CO735" s="197"/>
      <c r="CP735" s="196"/>
      <c r="CQ735" s="196"/>
      <c r="CR735" s="196"/>
      <c r="CS735" s="196"/>
      <c r="CT735" s="196"/>
      <c r="CU735" s="196"/>
      <c r="CV735" s="194"/>
      <c r="CW735" s="194"/>
      <c r="CX735" s="194"/>
      <c r="CY735" s="194"/>
      <c r="CZ735" s="194"/>
      <c r="DA735" s="194"/>
      <c r="DB735" s="194"/>
      <c r="DC735" s="194"/>
      <c r="DD735" s="194"/>
      <c r="DE735" s="194"/>
      <c r="DF735" s="196"/>
      <c r="DG735" s="198"/>
      <c r="DH735" s="194"/>
      <c r="DI735" s="194"/>
    </row>
    <row r="736" spans="1:113" s="24" customFormat="1" hidden="1" x14ac:dyDescent="0.3">
      <c r="A736" s="172"/>
      <c r="B736" s="172"/>
      <c r="C736" s="172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  <c r="AE736" s="173"/>
      <c r="AF736" s="173"/>
      <c r="AG736" s="173"/>
      <c r="AH736" s="173"/>
      <c r="AI736" s="173"/>
      <c r="AJ736" s="173"/>
      <c r="AK736" s="173"/>
      <c r="AL736" s="173"/>
      <c r="AM736" s="173"/>
      <c r="AN736" s="173"/>
      <c r="AO736" s="173"/>
      <c r="AP736" s="173"/>
      <c r="AQ736" s="173"/>
      <c r="AR736" s="173"/>
      <c r="AS736" s="172"/>
      <c r="AT736" s="172"/>
      <c r="AU736" s="172"/>
      <c r="AV736" s="172"/>
      <c r="AW736" s="172"/>
      <c r="AX736" s="172"/>
      <c r="AY736" s="172"/>
      <c r="AZ736" s="172"/>
      <c r="BA736" s="172"/>
      <c r="BB736" s="172"/>
      <c r="BC736" s="172"/>
      <c r="BD736" s="172"/>
      <c r="BE736" s="172"/>
      <c r="BF736" s="172"/>
      <c r="BG736" s="172"/>
      <c r="BH736" s="172"/>
      <c r="BI736" s="172"/>
      <c r="BJ736" s="172"/>
      <c r="BK736" s="172"/>
      <c r="BL736" s="172"/>
      <c r="BM736" s="172"/>
      <c r="BN736" s="172"/>
      <c r="BO736" s="172"/>
      <c r="BP736" s="172"/>
      <c r="BQ736" s="172"/>
      <c r="BR736" s="172"/>
      <c r="BS736" s="172"/>
      <c r="BT736" s="172"/>
      <c r="BU736" s="172"/>
      <c r="BV736" s="172"/>
      <c r="BW736" s="172"/>
      <c r="BX736" s="172"/>
      <c r="BY736" s="174"/>
      <c r="BZ736" s="172"/>
      <c r="CA736" s="172"/>
      <c r="CD736" s="194"/>
      <c r="CE736" s="194"/>
      <c r="CF736" s="194"/>
      <c r="CG736" s="194"/>
      <c r="CH736" s="195"/>
      <c r="CI736" s="194"/>
      <c r="CJ736" s="194"/>
      <c r="CK736" s="194"/>
      <c r="CL736" s="196"/>
      <c r="CM736" s="196"/>
      <c r="CN736" s="194"/>
      <c r="CO736" s="197"/>
      <c r="CP736" s="196"/>
      <c r="CQ736" s="196"/>
      <c r="CR736" s="196"/>
      <c r="CS736" s="196"/>
      <c r="CT736" s="196"/>
      <c r="CU736" s="196"/>
      <c r="CV736" s="194"/>
      <c r="CW736" s="194"/>
      <c r="CX736" s="194"/>
      <c r="CY736" s="194"/>
      <c r="CZ736" s="194"/>
      <c r="DA736" s="194"/>
      <c r="DB736" s="194"/>
      <c r="DC736" s="194"/>
      <c r="DD736" s="194"/>
      <c r="DE736" s="194"/>
      <c r="DF736" s="196"/>
      <c r="DG736" s="198"/>
      <c r="DH736" s="194"/>
      <c r="DI736" s="194"/>
    </row>
    <row r="737" spans="1:113" s="24" customFormat="1" hidden="1" x14ac:dyDescent="0.3">
      <c r="A737" s="172"/>
      <c r="B737" s="172"/>
      <c r="C737" s="172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  <c r="AE737" s="173"/>
      <c r="AF737" s="173"/>
      <c r="AG737" s="173"/>
      <c r="AH737" s="173"/>
      <c r="AI737" s="173"/>
      <c r="AJ737" s="173"/>
      <c r="AK737" s="173"/>
      <c r="AL737" s="173"/>
      <c r="AM737" s="173"/>
      <c r="AN737" s="173"/>
      <c r="AO737" s="173"/>
      <c r="AP737" s="173"/>
      <c r="AQ737" s="173"/>
      <c r="AR737" s="173"/>
      <c r="AS737" s="172"/>
      <c r="AT737" s="172"/>
      <c r="AU737" s="172"/>
      <c r="AV737" s="172"/>
      <c r="AW737" s="172"/>
      <c r="AX737" s="172"/>
      <c r="AY737" s="172"/>
      <c r="AZ737" s="172"/>
      <c r="BA737" s="172"/>
      <c r="BB737" s="172"/>
      <c r="BC737" s="172"/>
      <c r="BD737" s="172"/>
      <c r="BE737" s="172"/>
      <c r="BF737" s="172"/>
      <c r="BG737" s="172"/>
      <c r="BH737" s="172"/>
      <c r="BI737" s="172"/>
      <c r="BJ737" s="172"/>
      <c r="BK737" s="172"/>
      <c r="BL737" s="172"/>
      <c r="BM737" s="172"/>
      <c r="BN737" s="172"/>
      <c r="BO737" s="172"/>
      <c r="BP737" s="172"/>
      <c r="BQ737" s="172"/>
      <c r="BR737" s="172"/>
      <c r="BS737" s="172"/>
      <c r="BT737" s="172"/>
      <c r="BU737" s="172"/>
      <c r="BV737" s="172"/>
      <c r="BW737" s="172"/>
      <c r="BX737" s="172"/>
      <c r="BY737" s="174"/>
      <c r="BZ737" s="172"/>
      <c r="CA737" s="172"/>
      <c r="CD737" s="194"/>
      <c r="CE737" s="194"/>
      <c r="CF737" s="194"/>
      <c r="CG737" s="194"/>
      <c r="CH737" s="195"/>
      <c r="CI737" s="194"/>
      <c r="CJ737" s="194"/>
      <c r="CK737" s="194"/>
      <c r="CL737" s="196"/>
      <c r="CM737" s="196"/>
      <c r="CN737" s="194"/>
      <c r="CO737" s="197"/>
      <c r="CP737" s="196"/>
      <c r="CQ737" s="196"/>
      <c r="CR737" s="196"/>
      <c r="CS737" s="196"/>
      <c r="CT737" s="196"/>
      <c r="CU737" s="196"/>
      <c r="CV737" s="194"/>
      <c r="CW737" s="194"/>
      <c r="CX737" s="194"/>
      <c r="CY737" s="194"/>
      <c r="CZ737" s="194"/>
      <c r="DA737" s="194"/>
      <c r="DB737" s="194"/>
      <c r="DC737" s="194"/>
      <c r="DD737" s="194"/>
      <c r="DE737" s="194"/>
      <c r="DF737" s="196"/>
      <c r="DG737" s="198"/>
      <c r="DH737" s="194"/>
      <c r="DI737" s="194"/>
    </row>
    <row r="738" spans="1:113" s="24" customFormat="1" hidden="1" x14ac:dyDescent="0.3">
      <c r="A738" s="172"/>
      <c r="B738" s="172"/>
      <c r="C738" s="172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  <c r="AE738" s="173"/>
      <c r="AF738" s="173"/>
      <c r="AG738" s="173"/>
      <c r="AH738" s="173"/>
      <c r="AI738" s="173"/>
      <c r="AJ738" s="173"/>
      <c r="AK738" s="173"/>
      <c r="AL738" s="173"/>
      <c r="AM738" s="173"/>
      <c r="AN738" s="173"/>
      <c r="AO738" s="173"/>
      <c r="AP738" s="173"/>
      <c r="AQ738" s="173"/>
      <c r="AR738" s="173"/>
      <c r="AS738" s="172"/>
      <c r="AT738" s="172"/>
      <c r="AU738" s="172"/>
      <c r="AV738" s="172"/>
      <c r="AW738" s="172"/>
      <c r="AX738" s="172"/>
      <c r="AY738" s="172"/>
      <c r="AZ738" s="172"/>
      <c r="BA738" s="172"/>
      <c r="BB738" s="172"/>
      <c r="BC738" s="172"/>
      <c r="BD738" s="172"/>
      <c r="BE738" s="172"/>
      <c r="BF738" s="172"/>
      <c r="BG738" s="172"/>
      <c r="BH738" s="172"/>
      <c r="BI738" s="172"/>
      <c r="BJ738" s="172"/>
      <c r="BK738" s="172"/>
      <c r="BL738" s="172"/>
      <c r="BM738" s="172"/>
      <c r="BN738" s="172"/>
      <c r="BO738" s="172"/>
      <c r="BP738" s="172"/>
      <c r="BQ738" s="172"/>
      <c r="BR738" s="172"/>
      <c r="BS738" s="172"/>
      <c r="BT738" s="172"/>
      <c r="BU738" s="172"/>
      <c r="BV738" s="172"/>
      <c r="BW738" s="172"/>
      <c r="BX738" s="172"/>
      <c r="BY738" s="174"/>
      <c r="BZ738" s="172"/>
      <c r="CA738" s="172"/>
      <c r="CD738" s="194"/>
      <c r="CE738" s="194"/>
      <c r="CF738" s="194"/>
      <c r="CG738" s="194"/>
      <c r="CH738" s="195"/>
      <c r="CI738" s="194"/>
      <c r="CJ738" s="194"/>
      <c r="CK738" s="194"/>
      <c r="CL738" s="196"/>
      <c r="CM738" s="196"/>
      <c r="CN738" s="194"/>
      <c r="CO738" s="197"/>
      <c r="CP738" s="196"/>
      <c r="CQ738" s="196"/>
      <c r="CR738" s="196"/>
      <c r="CS738" s="196"/>
      <c r="CT738" s="196"/>
      <c r="CU738" s="196"/>
      <c r="CV738" s="194"/>
      <c r="CW738" s="194"/>
      <c r="CX738" s="194"/>
      <c r="CY738" s="194"/>
      <c r="CZ738" s="194"/>
      <c r="DA738" s="194"/>
      <c r="DB738" s="194"/>
      <c r="DC738" s="194"/>
      <c r="DD738" s="194"/>
      <c r="DE738" s="194"/>
      <c r="DF738" s="196"/>
      <c r="DG738" s="198"/>
      <c r="DH738" s="194"/>
      <c r="DI738" s="194"/>
    </row>
    <row r="739" spans="1:113" s="24" customFormat="1" hidden="1" x14ac:dyDescent="0.3">
      <c r="A739" s="172"/>
      <c r="B739" s="172"/>
      <c r="C739" s="172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  <c r="AE739" s="173"/>
      <c r="AF739" s="173"/>
      <c r="AG739" s="173"/>
      <c r="AH739" s="173"/>
      <c r="AI739" s="173"/>
      <c r="AJ739" s="173"/>
      <c r="AK739" s="173"/>
      <c r="AL739" s="173"/>
      <c r="AM739" s="173"/>
      <c r="AN739" s="173"/>
      <c r="AO739" s="173"/>
      <c r="AP739" s="173"/>
      <c r="AQ739" s="173"/>
      <c r="AR739" s="173"/>
      <c r="AS739" s="172"/>
      <c r="AT739" s="172"/>
      <c r="AU739" s="172"/>
      <c r="AV739" s="172"/>
      <c r="AW739" s="172"/>
      <c r="AX739" s="172"/>
      <c r="AY739" s="172"/>
      <c r="AZ739" s="172"/>
      <c r="BA739" s="172"/>
      <c r="BB739" s="172"/>
      <c r="BC739" s="172"/>
      <c r="BD739" s="172"/>
      <c r="BE739" s="172"/>
      <c r="BF739" s="172"/>
      <c r="BG739" s="172"/>
      <c r="BH739" s="172"/>
      <c r="BI739" s="172"/>
      <c r="BJ739" s="172"/>
      <c r="BK739" s="172"/>
      <c r="BL739" s="172"/>
      <c r="BM739" s="172"/>
      <c r="BN739" s="172"/>
      <c r="BO739" s="172"/>
      <c r="BP739" s="172"/>
      <c r="BQ739" s="172"/>
      <c r="BR739" s="172"/>
      <c r="BS739" s="172"/>
      <c r="BT739" s="172"/>
      <c r="BU739" s="172"/>
      <c r="BV739" s="172"/>
      <c r="BW739" s="172"/>
      <c r="BX739" s="172"/>
      <c r="BY739" s="174"/>
      <c r="BZ739" s="172"/>
      <c r="CA739" s="172"/>
      <c r="CD739" s="194"/>
      <c r="CE739" s="194"/>
      <c r="CF739" s="194"/>
      <c r="CG739" s="194"/>
      <c r="CH739" s="195"/>
      <c r="CI739" s="194"/>
      <c r="CJ739" s="194"/>
      <c r="CK739" s="194"/>
      <c r="CL739" s="196"/>
      <c r="CM739" s="196"/>
      <c r="CN739" s="194"/>
      <c r="CO739" s="197"/>
      <c r="CP739" s="196"/>
      <c r="CQ739" s="196"/>
      <c r="CR739" s="196"/>
      <c r="CS739" s="196"/>
      <c r="CT739" s="196"/>
      <c r="CU739" s="196"/>
      <c r="CV739" s="194"/>
      <c r="CW739" s="194"/>
      <c r="CX739" s="194"/>
      <c r="CY739" s="194"/>
      <c r="CZ739" s="194"/>
      <c r="DA739" s="194"/>
      <c r="DB739" s="194"/>
      <c r="DC739" s="194"/>
      <c r="DD739" s="194"/>
      <c r="DE739" s="194"/>
      <c r="DF739" s="196"/>
      <c r="DG739" s="198"/>
      <c r="DH739" s="194"/>
      <c r="DI739" s="194"/>
    </row>
    <row r="740" spans="1:113" s="24" customFormat="1" hidden="1" x14ac:dyDescent="0.3">
      <c r="A740" s="172"/>
      <c r="B740" s="172"/>
      <c r="C740" s="172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  <c r="AE740" s="173"/>
      <c r="AF740" s="173"/>
      <c r="AG740" s="173"/>
      <c r="AH740" s="173"/>
      <c r="AI740" s="173"/>
      <c r="AJ740" s="173"/>
      <c r="AK740" s="173"/>
      <c r="AL740" s="173"/>
      <c r="AM740" s="173"/>
      <c r="AN740" s="173"/>
      <c r="AO740" s="173"/>
      <c r="AP740" s="173"/>
      <c r="AQ740" s="173"/>
      <c r="AR740" s="173"/>
      <c r="AS740" s="172"/>
      <c r="AT740" s="172"/>
      <c r="AU740" s="172"/>
      <c r="AV740" s="172"/>
      <c r="AW740" s="172"/>
      <c r="AX740" s="172"/>
      <c r="AY740" s="172"/>
      <c r="AZ740" s="172"/>
      <c r="BA740" s="172"/>
      <c r="BB740" s="172"/>
      <c r="BC740" s="172"/>
      <c r="BD740" s="172"/>
      <c r="BE740" s="172"/>
      <c r="BF740" s="172"/>
      <c r="BG740" s="172"/>
      <c r="BH740" s="172"/>
      <c r="BI740" s="172"/>
      <c r="BJ740" s="172"/>
      <c r="BK740" s="172"/>
      <c r="BL740" s="172"/>
      <c r="BM740" s="172"/>
      <c r="BN740" s="172"/>
      <c r="BO740" s="172"/>
      <c r="BP740" s="172"/>
      <c r="BQ740" s="172"/>
      <c r="BR740" s="172"/>
      <c r="BS740" s="172"/>
      <c r="BT740" s="172"/>
      <c r="BU740" s="172"/>
      <c r="BV740" s="172"/>
      <c r="BW740" s="172"/>
      <c r="BX740" s="172"/>
      <c r="BY740" s="174"/>
      <c r="BZ740" s="172"/>
      <c r="CA740" s="172"/>
      <c r="CD740" s="194"/>
      <c r="CE740" s="194"/>
      <c r="CF740" s="194"/>
      <c r="CG740" s="194"/>
      <c r="CH740" s="195"/>
      <c r="CI740" s="194"/>
      <c r="CJ740" s="194"/>
      <c r="CK740" s="194"/>
      <c r="CL740" s="196"/>
      <c r="CM740" s="196"/>
      <c r="CN740" s="194"/>
      <c r="CO740" s="197"/>
      <c r="CP740" s="196"/>
      <c r="CQ740" s="196"/>
      <c r="CR740" s="196"/>
      <c r="CS740" s="196"/>
      <c r="CT740" s="196"/>
      <c r="CU740" s="196"/>
      <c r="CV740" s="194"/>
      <c r="CW740" s="194"/>
      <c r="CX740" s="194"/>
      <c r="CY740" s="194"/>
      <c r="CZ740" s="194"/>
      <c r="DA740" s="194"/>
      <c r="DB740" s="194"/>
      <c r="DC740" s="194"/>
      <c r="DD740" s="194"/>
      <c r="DE740" s="194"/>
      <c r="DF740" s="196"/>
      <c r="DG740" s="198"/>
      <c r="DH740" s="194"/>
      <c r="DI740" s="194"/>
    </row>
    <row r="741" spans="1:113" s="24" customFormat="1" hidden="1" x14ac:dyDescent="0.3">
      <c r="A741" s="172"/>
      <c r="B741" s="172"/>
      <c r="C741" s="172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  <c r="AE741" s="173"/>
      <c r="AF741" s="173"/>
      <c r="AG741" s="173"/>
      <c r="AH741" s="173"/>
      <c r="AI741" s="173"/>
      <c r="AJ741" s="173"/>
      <c r="AK741" s="173"/>
      <c r="AL741" s="173"/>
      <c r="AM741" s="173"/>
      <c r="AN741" s="173"/>
      <c r="AO741" s="173"/>
      <c r="AP741" s="173"/>
      <c r="AQ741" s="173"/>
      <c r="AR741" s="173"/>
      <c r="AS741" s="172"/>
      <c r="AT741" s="172"/>
      <c r="AU741" s="172"/>
      <c r="AV741" s="172"/>
      <c r="AW741" s="172"/>
      <c r="AX741" s="172"/>
      <c r="AY741" s="172"/>
      <c r="AZ741" s="172"/>
      <c r="BA741" s="172"/>
      <c r="BB741" s="172"/>
      <c r="BC741" s="172"/>
      <c r="BD741" s="172"/>
      <c r="BE741" s="172"/>
      <c r="BF741" s="172"/>
      <c r="BG741" s="172"/>
      <c r="BH741" s="172"/>
      <c r="BI741" s="172"/>
      <c r="BJ741" s="172"/>
      <c r="BK741" s="172"/>
      <c r="BL741" s="172"/>
      <c r="BM741" s="172"/>
      <c r="BN741" s="172"/>
      <c r="BO741" s="172"/>
      <c r="BP741" s="172"/>
      <c r="BQ741" s="172"/>
      <c r="BR741" s="172"/>
      <c r="BS741" s="172"/>
      <c r="BT741" s="172"/>
      <c r="BU741" s="172"/>
      <c r="BV741" s="172"/>
      <c r="BW741" s="172"/>
      <c r="BX741" s="172"/>
      <c r="BY741" s="174"/>
      <c r="BZ741" s="172"/>
      <c r="CA741" s="172"/>
      <c r="CD741" s="194"/>
      <c r="CE741" s="194"/>
      <c r="CF741" s="194"/>
      <c r="CG741" s="194"/>
      <c r="CH741" s="195"/>
      <c r="CI741" s="194"/>
      <c r="CJ741" s="194"/>
      <c r="CK741" s="194"/>
      <c r="CL741" s="196"/>
      <c r="CM741" s="196"/>
      <c r="CN741" s="194"/>
      <c r="CO741" s="197"/>
      <c r="CP741" s="196"/>
      <c r="CQ741" s="196"/>
      <c r="CR741" s="196"/>
      <c r="CS741" s="196"/>
      <c r="CT741" s="196"/>
      <c r="CU741" s="196"/>
      <c r="CV741" s="194"/>
      <c r="CW741" s="194"/>
      <c r="CX741" s="194"/>
      <c r="CY741" s="194"/>
      <c r="CZ741" s="194"/>
      <c r="DA741" s="194"/>
      <c r="DB741" s="194"/>
      <c r="DC741" s="194"/>
      <c r="DD741" s="194"/>
      <c r="DE741" s="194"/>
      <c r="DF741" s="196"/>
      <c r="DG741" s="198"/>
      <c r="DH741" s="194"/>
      <c r="DI741" s="194"/>
    </row>
    <row r="742" spans="1:113" s="24" customFormat="1" hidden="1" x14ac:dyDescent="0.3">
      <c r="A742" s="172"/>
      <c r="B742" s="172"/>
      <c r="C742" s="172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  <c r="AE742" s="173"/>
      <c r="AF742" s="173"/>
      <c r="AG742" s="173"/>
      <c r="AH742" s="173"/>
      <c r="AI742" s="173"/>
      <c r="AJ742" s="173"/>
      <c r="AK742" s="173"/>
      <c r="AL742" s="173"/>
      <c r="AM742" s="173"/>
      <c r="AN742" s="173"/>
      <c r="AO742" s="173"/>
      <c r="AP742" s="173"/>
      <c r="AQ742" s="173"/>
      <c r="AR742" s="173"/>
      <c r="AS742" s="172"/>
      <c r="AT742" s="172"/>
      <c r="AU742" s="172"/>
      <c r="AV742" s="172"/>
      <c r="AW742" s="172"/>
      <c r="AX742" s="172"/>
      <c r="AY742" s="172"/>
      <c r="AZ742" s="172"/>
      <c r="BA742" s="172"/>
      <c r="BB742" s="172"/>
      <c r="BC742" s="172"/>
      <c r="BD742" s="172"/>
      <c r="BE742" s="172"/>
      <c r="BF742" s="172"/>
      <c r="BG742" s="172"/>
      <c r="BH742" s="172"/>
      <c r="BI742" s="172"/>
      <c r="BJ742" s="172"/>
      <c r="BK742" s="172"/>
      <c r="BL742" s="172"/>
      <c r="BM742" s="172"/>
      <c r="BN742" s="172"/>
      <c r="BO742" s="172"/>
      <c r="BP742" s="172"/>
      <c r="BQ742" s="172"/>
      <c r="BR742" s="172"/>
      <c r="BS742" s="172"/>
      <c r="BT742" s="172"/>
      <c r="BU742" s="172"/>
      <c r="BV742" s="172"/>
      <c r="BW742" s="172"/>
      <c r="BX742" s="172"/>
      <c r="BY742" s="174"/>
      <c r="BZ742" s="172"/>
      <c r="CA742" s="172"/>
      <c r="CD742" s="194"/>
      <c r="CE742" s="194"/>
      <c r="CF742" s="194"/>
      <c r="CG742" s="194"/>
      <c r="CH742" s="195"/>
      <c r="CI742" s="194"/>
      <c r="CJ742" s="194"/>
      <c r="CK742" s="194"/>
      <c r="CL742" s="196"/>
      <c r="CM742" s="196"/>
      <c r="CN742" s="194"/>
      <c r="CO742" s="197"/>
      <c r="CP742" s="196"/>
      <c r="CQ742" s="196"/>
      <c r="CR742" s="196"/>
      <c r="CS742" s="196"/>
      <c r="CT742" s="196"/>
      <c r="CU742" s="196"/>
      <c r="CV742" s="194"/>
      <c r="CW742" s="194"/>
      <c r="CX742" s="194"/>
      <c r="CY742" s="194"/>
      <c r="CZ742" s="194"/>
      <c r="DA742" s="194"/>
      <c r="DB742" s="194"/>
      <c r="DC742" s="194"/>
      <c r="DD742" s="194"/>
      <c r="DE742" s="194"/>
      <c r="DF742" s="196"/>
      <c r="DG742" s="198"/>
      <c r="DH742" s="194"/>
      <c r="DI742" s="194"/>
    </row>
    <row r="743" spans="1:113" s="24" customFormat="1" hidden="1" x14ac:dyDescent="0.3">
      <c r="A743" s="172"/>
      <c r="B743" s="172"/>
      <c r="C743" s="172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  <c r="AE743" s="173"/>
      <c r="AF743" s="173"/>
      <c r="AG743" s="173"/>
      <c r="AH743" s="173"/>
      <c r="AI743" s="173"/>
      <c r="AJ743" s="173"/>
      <c r="AK743" s="173"/>
      <c r="AL743" s="173"/>
      <c r="AM743" s="173"/>
      <c r="AN743" s="173"/>
      <c r="AO743" s="173"/>
      <c r="AP743" s="173"/>
      <c r="AQ743" s="173"/>
      <c r="AR743" s="173"/>
      <c r="AS743" s="172"/>
      <c r="AT743" s="172"/>
      <c r="AU743" s="172"/>
      <c r="AV743" s="172"/>
      <c r="AW743" s="172"/>
      <c r="AX743" s="172"/>
      <c r="AY743" s="172"/>
      <c r="AZ743" s="172"/>
      <c r="BA743" s="172"/>
      <c r="BB743" s="172"/>
      <c r="BC743" s="172"/>
      <c r="BD743" s="172"/>
      <c r="BE743" s="172"/>
      <c r="BF743" s="172"/>
      <c r="BG743" s="172"/>
      <c r="BH743" s="172"/>
      <c r="BI743" s="172"/>
      <c r="BJ743" s="172"/>
      <c r="BK743" s="172"/>
      <c r="BL743" s="172"/>
      <c r="BM743" s="172"/>
      <c r="BN743" s="172"/>
      <c r="BO743" s="172"/>
      <c r="BP743" s="172"/>
      <c r="BQ743" s="172"/>
      <c r="BR743" s="172"/>
      <c r="BS743" s="172"/>
      <c r="BT743" s="172"/>
      <c r="BU743" s="172"/>
      <c r="BV743" s="172"/>
      <c r="BW743" s="172"/>
      <c r="BX743" s="172"/>
      <c r="BY743" s="174"/>
      <c r="BZ743" s="172"/>
      <c r="CA743" s="172"/>
      <c r="CD743" s="194"/>
      <c r="CE743" s="194"/>
      <c r="CF743" s="194"/>
      <c r="CG743" s="194"/>
      <c r="CH743" s="195"/>
      <c r="CI743" s="194"/>
      <c r="CJ743" s="194"/>
      <c r="CK743" s="194"/>
      <c r="CL743" s="196"/>
      <c r="CM743" s="196"/>
      <c r="CN743" s="194"/>
      <c r="CO743" s="197"/>
      <c r="CP743" s="196"/>
      <c r="CQ743" s="196"/>
      <c r="CR743" s="196"/>
      <c r="CS743" s="196"/>
      <c r="CT743" s="196"/>
      <c r="CU743" s="196"/>
      <c r="CV743" s="194"/>
      <c r="CW743" s="194"/>
      <c r="CX743" s="194"/>
      <c r="CY743" s="194"/>
      <c r="CZ743" s="194"/>
      <c r="DA743" s="194"/>
      <c r="DB743" s="194"/>
      <c r="DC743" s="194"/>
      <c r="DD743" s="194"/>
      <c r="DE743" s="194"/>
      <c r="DF743" s="196"/>
      <c r="DG743" s="198"/>
      <c r="DH743" s="194"/>
      <c r="DI743" s="194"/>
    </row>
    <row r="744" spans="1:113" s="24" customFormat="1" hidden="1" x14ac:dyDescent="0.3">
      <c r="A744" s="172"/>
      <c r="B744" s="172"/>
      <c r="C744" s="172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  <c r="AE744" s="173"/>
      <c r="AF744" s="173"/>
      <c r="AG744" s="173"/>
      <c r="AH744" s="173"/>
      <c r="AI744" s="173"/>
      <c r="AJ744" s="173"/>
      <c r="AK744" s="173"/>
      <c r="AL744" s="173"/>
      <c r="AM744" s="173"/>
      <c r="AN744" s="173"/>
      <c r="AO744" s="173"/>
      <c r="AP744" s="173"/>
      <c r="AQ744" s="173"/>
      <c r="AR744" s="173"/>
      <c r="AS744" s="172"/>
      <c r="AT744" s="172"/>
      <c r="AU744" s="172"/>
      <c r="AV744" s="172"/>
      <c r="AW744" s="172"/>
      <c r="AX744" s="172"/>
      <c r="AY744" s="172"/>
      <c r="AZ744" s="172"/>
      <c r="BA744" s="172"/>
      <c r="BB744" s="172"/>
      <c r="BC744" s="172"/>
      <c r="BD744" s="172"/>
      <c r="BE744" s="172"/>
      <c r="BF744" s="172"/>
      <c r="BG744" s="172"/>
      <c r="BH744" s="172"/>
      <c r="BI744" s="172"/>
      <c r="BJ744" s="172"/>
      <c r="BK744" s="172"/>
      <c r="BL744" s="172"/>
      <c r="BM744" s="172"/>
      <c r="BN744" s="172"/>
      <c r="BO744" s="172"/>
      <c r="BP744" s="172"/>
      <c r="BQ744" s="172"/>
      <c r="BR744" s="172"/>
      <c r="BS744" s="172"/>
      <c r="BT744" s="172"/>
      <c r="BU744" s="172"/>
      <c r="BV744" s="172"/>
      <c r="BW744" s="172"/>
      <c r="BX744" s="172"/>
      <c r="BY744" s="174"/>
      <c r="BZ744" s="172"/>
      <c r="CA744" s="172"/>
      <c r="CD744" s="194"/>
      <c r="CE744" s="194"/>
      <c r="CF744" s="194"/>
      <c r="CG744" s="194"/>
      <c r="CH744" s="195"/>
      <c r="CI744" s="194"/>
      <c r="CJ744" s="194"/>
      <c r="CK744" s="194"/>
      <c r="CL744" s="196"/>
      <c r="CM744" s="196"/>
      <c r="CN744" s="194"/>
      <c r="CO744" s="197"/>
      <c r="CP744" s="196"/>
      <c r="CQ744" s="196"/>
      <c r="CR744" s="196"/>
      <c r="CS744" s="196"/>
      <c r="CT744" s="196"/>
      <c r="CU744" s="196"/>
      <c r="CV744" s="194"/>
      <c r="CW744" s="194"/>
      <c r="CX744" s="194"/>
      <c r="CY744" s="194"/>
      <c r="CZ744" s="194"/>
      <c r="DA744" s="194"/>
      <c r="DB744" s="194"/>
      <c r="DC744" s="194"/>
      <c r="DD744" s="194"/>
      <c r="DE744" s="194"/>
      <c r="DF744" s="196"/>
      <c r="DG744" s="198"/>
      <c r="DH744" s="194"/>
      <c r="DI744" s="194"/>
    </row>
    <row r="745" spans="1:113" s="24" customFormat="1" hidden="1" x14ac:dyDescent="0.3">
      <c r="A745" s="172"/>
      <c r="B745" s="172"/>
      <c r="C745" s="172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  <c r="AE745" s="173"/>
      <c r="AF745" s="173"/>
      <c r="AG745" s="173"/>
      <c r="AH745" s="173"/>
      <c r="AI745" s="173"/>
      <c r="AJ745" s="173"/>
      <c r="AK745" s="173"/>
      <c r="AL745" s="173"/>
      <c r="AM745" s="173"/>
      <c r="AN745" s="173"/>
      <c r="AO745" s="173"/>
      <c r="AP745" s="173"/>
      <c r="AQ745" s="173"/>
      <c r="AR745" s="173"/>
      <c r="AS745" s="172"/>
      <c r="AT745" s="172"/>
      <c r="AU745" s="172"/>
      <c r="AV745" s="172"/>
      <c r="AW745" s="172"/>
      <c r="AX745" s="172"/>
      <c r="AY745" s="172"/>
      <c r="AZ745" s="172"/>
      <c r="BA745" s="172"/>
      <c r="BB745" s="172"/>
      <c r="BC745" s="172"/>
      <c r="BD745" s="172"/>
      <c r="BE745" s="172"/>
      <c r="BF745" s="172"/>
      <c r="BG745" s="172"/>
      <c r="BH745" s="172"/>
      <c r="BI745" s="172"/>
      <c r="BJ745" s="172"/>
      <c r="BK745" s="172"/>
      <c r="BL745" s="172"/>
      <c r="BM745" s="172"/>
      <c r="BN745" s="172"/>
      <c r="BO745" s="172"/>
      <c r="BP745" s="172"/>
      <c r="BQ745" s="172"/>
      <c r="BR745" s="172"/>
      <c r="BS745" s="172"/>
      <c r="BT745" s="172"/>
      <c r="BU745" s="172"/>
      <c r="BV745" s="172"/>
      <c r="BW745" s="172"/>
      <c r="BX745" s="172"/>
      <c r="BY745" s="174"/>
      <c r="BZ745" s="172"/>
      <c r="CA745" s="172"/>
      <c r="CD745" s="194"/>
      <c r="CE745" s="194"/>
      <c r="CF745" s="194"/>
      <c r="CG745" s="194"/>
      <c r="CH745" s="195"/>
      <c r="CI745" s="194"/>
      <c r="CJ745" s="194"/>
      <c r="CK745" s="194"/>
      <c r="CL745" s="196"/>
      <c r="CM745" s="196"/>
      <c r="CN745" s="194"/>
      <c r="CO745" s="197"/>
      <c r="CP745" s="196"/>
      <c r="CQ745" s="196"/>
      <c r="CR745" s="196"/>
      <c r="CS745" s="196"/>
      <c r="CT745" s="196"/>
      <c r="CU745" s="196"/>
      <c r="CV745" s="194"/>
      <c r="CW745" s="194"/>
      <c r="CX745" s="194"/>
      <c r="CY745" s="194"/>
      <c r="CZ745" s="194"/>
      <c r="DA745" s="194"/>
      <c r="DB745" s="194"/>
      <c r="DC745" s="194"/>
      <c r="DD745" s="194"/>
      <c r="DE745" s="194"/>
      <c r="DF745" s="196"/>
      <c r="DG745" s="198"/>
      <c r="DH745" s="194"/>
      <c r="DI745" s="194"/>
    </row>
    <row r="746" spans="1:113" s="24" customFormat="1" hidden="1" x14ac:dyDescent="0.3">
      <c r="A746" s="172"/>
      <c r="B746" s="172"/>
      <c r="C746" s="172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  <c r="AE746" s="173"/>
      <c r="AF746" s="173"/>
      <c r="AG746" s="173"/>
      <c r="AH746" s="173"/>
      <c r="AI746" s="173"/>
      <c r="AJ746" s="173"/>
      <c r="AK746" s="173"/>
      <c r="AL746" s="173"/>
      <c r="AM746" s="173"/>
      <c r="AN746" s="173"/>
      <c r="AO746" s="173"/>
      <c r="AP746" s="173"/>
      <c r="AQ746" s="173"/>
      <c r="AR746" s="173"/>
      <c r="AS746" s="172"/>
      <c r="AT746" s="172"/>
      <c r="AU746" s="172"/>
      <c r="AV746" s="172"/>
      <c r="AW746" s="172"/>
      <c r="AX746" s="172"/>
      <c r="AY746" s="172"/>
      <c r="AZ746" s="172"/>
      <c r="BA746" s="172"/>
      <c r="BB746" s="172"/>
      <c r="BC746" s="172"/>
      <c r="BD746" s="172"/>
      <c r="BE746" s="172"/>
      <c r="BF746" s="172"/>
      <c r="BG746" s="172"/>
      <c r="BH746" s="172"/>
      <c r="BI746" s="172"/>
      <c r="BJ746" s="172"/>
      <c r="BK746" s="172"/>
      <c r="BL746" s="172"/>
      <c r="BM746" s="172"/>
      <c r="BN746" s="172"/>
      <c r="BO746" s="172"/>
      <c r="BP746" s="172"/>
      <c r="BQ746" s="172"/>
      <c r="BR746" s="172"/>
      <c r="BS746" s="172"/>
      <c r="BT746" s="172"/>
      <c r="BU746" s="172"/>
      <c r="BV746" s="172"/>
      <c r="BW746" s="172"/>
      <c r="BX746" s="172"/>
      <c r="BY746" s="174"/>
      <c r="BZ746" s="172"/>
      <c r="CA746" s="172"/>
      <c r="CD746" s="194"/>
      <c r="CE746" s="194"/>
      <c r="CF746" s="194"/>
      <c r="CG746" s="194"/>
      <c r="CH746" s="195"/>
      <c r="CI746" s="194"/>
      <c r="CJ746" s="194"/>
      <c r="CK746" s="194"/>
      <c r="CL746" s="196"/>
      <c r="CM746" s="196"/>
      <c r="CN746" s="194"/>
      <c r="CO746" s="197"/>
      <c r="CP746" s="196"/>
      <c r="CQ746" s="196"/>
      <c r="CR746" s="196"/>
      <c r="CS746" s="196"/>
      <c r="CT746" s="196"/>
      <c r="CU746" s="196"/>
      <c r="CV746" s="194"/>
      <c r="CW746" s="194"/>
      <c r="CX746" s="194"/>
      <c r="CY746" s="194"/>
      <c r="CZ746" s="194"/>
      <c r="DA746" s="194"/>
      <c r="DB746" s="194"/>
      <c r="DC746" s="194"/>
      <c r="DD746" s="194"/>
      <c r="DE746" s="194"/>
      <c r="DF746" s="196"/>
      <c r="DG746" s="198"/>
      <c r="DH746" s="194"/>
      <c r="DI746" s="194"/>
    </row>
    <row r="747" spans="1:113" s="24" customFormat="1" hidden="1" x14ac:dyDescent="0.3">
      <c r="A747" s="172"/>
      <c r="B747" s="172"/>
      <c r="C747" s="172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  <c r="AE747" s="173"/>
      <c r="AF747" s="173"/>
      <c r="AG747" s="173"/>
      <c r="AH747" s="173"/>
      <c r="AI747" s="173"/>
      <c r="AJ747" s="173"/>
      <c r="AK747" s="173"/>
      <c r="AL747" s="173"/>
      <c r="AM747" s="173"/>
      <c r="AN747" s="173"/>
      <c r="AO747" s="173"/>
      <c r="AP747" s="173"/>
      <c r="AQ747" s="173"/>
      <c r="AR747" s="173"/>
      <c r="AS747" s="172"/>
      <c r="AT747" s="172"/>
      <c r="AU747" s="172"/>
      <c r="AV747" s="172"/>
      <c r="AW747" s="172"/>
      <c r="AX747" s="172"/>
      <c r="AY747" s="172"/>
      <c r="AZ747" s="172"/>
      <c r="BA747" s="172"/>
      <c r="BB747" s="172"/>
      <c r="BC747" s="172"/>
      <c r="BD747" s="172"/>
      <c r="BE747" s="172"/>
      <c r="BF747" s="172"/>
      <c r="BG747" s="172"/>
      <c r="BH747" s="172"/>
      <c r="BI747" s="172"/>
      <c r="BJ747" s="172"/>
      <c r="BK747" s="172"/>
      <c r="BL747" s="172"/>
      <c r="BM747" s="172"/>
      <c r="BN747" s="172"/>
      <c r="BO747" s="172"/>
      <c r="BP747" s="172"/>
      <c r="BQ747" s="172"/>
      <c r="BR747" s="172"/>
      <c r="BS747" s="172"/>
      <c r="BT747" s="172"/>
      <c r="BU747" s="172"/>
      <c r="BV747" s="172"/>
      <c r="BW747" s="172"/>
      <c r="BX747" s="172"/>
      <c r="BY747" s="174"/>
      <c r="BZ747" s="172"/>
      <c r="CA747" s="172"/>
      <c r="CD747" s="194"/>
      <c r="CE747" s="194"/>
      <c r="CF747" s="194"/>
      <c r="CG747" s="194"/>
      <c r="CH747" s="195"/>
      <c r="CI747" s="194"/>
      <c r="CJ747" s="194"/>
      <c r="CK747" s="194"/>
      <c r="CL747" s="196"/>
      <c r="CM747" s="196"/>
      <c r="CN747" s="194"/>
      <c r="CO747" s="197"/>
      <c r="CP747" s="196"/>
      <c r="CQ747" s="196"/>
      <c r="CR747" s="196"/>
      <c r="CS747" s="196"/>
      <c r="CT747" s="196"/>
      <c r="CU747" s="196"/>
      <c r="CV747" s="194"/>
      <c r="CW747" s="194"/>
      <c r="CX747" s="194"/>
      <c r="CY747" s="194"/>
      <c r="CZ747" s="194"/>
      <c r="DA747" s="194"/>
      <c r="DB747" s="194"/>
      <c r="DC747" s="194"/>
      <c r="DD747" s="194"/>
      <c r="DE747" s="194"/>
      <c r="DF747" s="196"/>
      <c r="DG747" s="198"/>
      <c r="DH747" s="194"/>
      <c r="DI747" s="194"/>
    </row>
    <row r="748" spans="1:113" s="24" customFormat="1" hidden="1" x14ac:dyDescent="0.3">
      <c r="A748" s="172"/>
      <c r="B748" s="172"/>
      <c r="C748" s="172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  <c r="AE748" s="173"/>
      <c r="AF748" s="173"/>
      <c r="AG748" s="173"/>
      <c r="AH748" s="173"/>
      <c r="AI748" s="173"/>
      <c r="AJ748" s="173"/>
      <c r="AK748" s="173"/>
      <c r="AL748" s="173"/>
      <c r="AM748" s="173"/>
      <c r="AN748" s="173"/>
      <c r="AO748" s="173"/>
      <c r="AP748" s="173"/>
      <c r="AQ748" s="173"/>
      <c r="AR748" s="173"/>
      <c r="AS748" s="172"/>
      <c r="AT748" s="172"/>
      <c r="AU748" s="172"/>
      <c r="AV748" s="172"/>
      <c r="AW748" s="172"/>
      <c r="AX748" s="172"/>
      <c r="AY748" s="172"/>
      <c r="AZ748" s="172"/>
      <c r="BA748" s="172"/>
      <c r="BB748" s="172"/>
      <c r="BC748" s="172"/>
      <c r="BD748" s="172"/>
      <c r="BE748" s="172"/>
      <c r="BF748" s="172"/>
      <c r="BG748" s="172"/>
      <c r="BH748" s="172"/>
      <c r="BI748" s="172"/>
      <c r="BJ748" s="172"/>
      <c r="BK748" s="172"/>
      <c r="BL748" s="172"/>
      <c r="BM748" s="172"/>
      <c r="BN748" s="172"/>
      <c r="BO748" s="172"/>
      <c r="BP748" s="172"/>
      <c r="BQ748" s="172"/>
      <c r="BR748" s="172"/>
      <c r="BS748" s="172"/>
      <c r="BT748" s="172"/>
      <c r="BU748" s="172"/>
      <c r="BV748" s="172"/>
      <c r="BW748" s="172"/>
      <c r="BX748" s="172"/>
      <c r="BY748" s="174"/>
      <c r="BZ748" s="172"/>
      <c r="CA748" s="172"/>
      <c r="CD748" s="194"/>
      <c r="CE748" s="194"/>
      <c r="CF748" s="194"/>
      <c r="CG748" s="194"/>
      <c r="CH748" s="195"/>
      <c r="CI748" s="194"/>
      <c r="CJ748" s="194"/>
      <c r="CK748" s="194"/>
      <c r="CL748" s="196"/>
      <c r="CM748" s="196"/>
      <c r="CN748" s="194"/>
      <c r="CO748" s="197"/>
      <c r="CP748" s="196"/>
      <c r="CQ748" s="196"/>
      <c r="CR748" s="196"/>
      <c r="CS748" s="196"/>
      <c r="CT748" s="196"/>
      <c r="CU748" s="196"/>
      <c r="CV748" s="194"/>
      <c r="CW748" s="194"/>
      <c r="CX748" s="194"/>
      <c r="CY748" s="194"/>
      <c r="CZ748" s="194"/>
      <c r="DA748" s="194"/>
      <c r="DB748" s="194"/>
      <c r="DC748" s="194"/>
      <c r="DD748" s="194"/>
      <c r="DE748" s="194"/>
      <c r="DF748" s="196"/>
      <c r="DG748" s="198"/>
      <c r="DH748" s="194"/>
      <c r="DI748" s="194"/>
    </row>
    <row r="749" spans="1:113" s="24" customFormat="1" hidden="1" x14ac:dyDescent="0.3">
      <c r="A749" s="172"/>
      <c r="B749" s="172"/>
      <c r="C749" s="172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  <c r="AE749" s="173"/>
      <c r="AF749" s="173"/>
      <c r="AG749" s="173"/>
      <c r="AH749" s="173"/>
      <c r="AI749" s="173"/>
      <c r="AJ749" s="173"/>
      <c r="AK749" s="173"/>
      <c r="AL749" s="173"/>
      <c r="AM749" s="173"/>
      <c r="AN749" s="173"/>
      <c r="AO749" s="173"/>
      <c r="AP749" s="173"/>
      <c r="AQ749" s="173"/>
      <c r="AR749" s="173"/>
      <c r="AS749" s="172"/>
      <c r="AT749" s="172"/>
      <c r="AU749" s="172"/>
      <c r="AV749" s="172"/>
      <c r="AW749" s="172"/>
      <c r="AX749" s="172"/>
      <c r="AY749" s="172"/>
      <c r="AZ749" s="172"/>
      <c r="BA749" s="172"/>
      <c r="BB749" s="172"/>
      <c r="BC749" s="172"/>
      <c r="BD749" s="172"/>
      <c r="BE749" s="172"/>
      <c r="BF749" s="172"/>
      <c r="BG749" s="172"/>
      <c r="BH749" s="172"/>
      <c r="BI749" s="172"/>
      <c r="BJ749" s="172"/>
      <c r="BK749" s="172"/>
      <c r="BL749" s="172"/>
      <c r="BM749" s="172"/>
      <c r="BN749" s="172"/>
      <c r="BO749" s="172"/>
      <c r="BP749" s="172"/>
      <c r="BQ749" s="172"/>
      <c r="BR749" s="172"/>
      <c r="BS749" s="172"/>
      <c r="BT749" s="172"/>
      <c r="BU749" s="172"/>
      <c r="BV749" s="172"/>
      <c r="BW749" s="172"/>
      <c r="BX749" s="172"/>
      <c r="BY749" s="174"/>
      <c r="BZ749" s="172"/>
      <c r="CA749" s="172"/>
      <c r="CD749" s="194"/>
      <c r="CE749" s="194"/>
      <c r="CF749" s="194"/>
      <c r="CG749" s="194"/>
      <c r="CH749" s="195"/>
      <c r="CI749" s="194"/>
      <c r="CJ749" s="194"/>
      <c r="CK749" s="194"/>
      <c r="CL749" s="196"/>
      <c r="CM749" s="196"/>
      <c r="CN749" s="194"/>
      <c r="CO749" s="197"/>
      <c r="CP749" s="196"/>
      <c r="CQ749" s="196"/>
      <c r="CR749" s="196"/>
      <c r="CS749" s="196"/>
      <c r="CT749" s="196"/>
      <c r="CU749" s="196"/>
      <c r="CV749" s="194"/>
      <c r="CW749" s="194"/>
      <c r="CX749" s="194"/>
      <c r="CY749" s="194"/>
      <c r="CZ749" s="194"/>
      <c r="DA749" s="194"/>
      <c r="DB749" s="194"/>
      <c r="DC749" s="194"/>
      <c r="DD749" s="194"/>
      <c r="DE749" s="194"/>
      <c r="DF749" s="196"/>
      <c r="DG749" s="198"/>
      <c r="DH749" s="194"/>
      <c r="DI749" s="194"/>
    </row>
    <row r="750" spans="1:113" s="24" customFormat="1" hidden="1" x14ac:dyDescent="0.3">
      <c r="A750" s="172"/>
      <c r="B750" s="172"/>
      <c r="C750" s="172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  <c r="AE750" s="173"/>
      <c r="AF750" s="173"/>
      <c r="AG750" s="173"/>
      <c r="AH750" s="173"/>
      <c r="AI750" s="173"/>
      <c r="AJ750" s="173"/>
      <c r="AK750" s="173"/>
      <c r="AL750" s="173"/>
      <c r="AM750" s="173"/>
      <c r="AN750" s="173"/>
      <c r="AO750" s="173"/>
      <c r="AP750" s="173"/>
      <c r="AQ750" s="173"/>
      <c r="AR750" s="173"/>
      <c r="AS750" s="172"/>
      <c r="AT750" s="172"/>
      <c r="AU750" s="172"/>
      <c r="AV750" s="172"/>
      <c r="AW750" s="172"/>
      <c r="AX750" s="172"/>
      <c r="AY750" s="172"/>
      <c r="AZ750" s="172"/>
      <c r="BA750" s="172"/>
      <c r="BB750" s="172"/>
      <c r="BC750" s="172"/>
      <c r="BD750" s="172"/>
      <c r="BE750" s="172"/>
      <c r="BF750" s="172"/>
      <c r="BG750" s="172"/>
      <c r="BH750" s="172"/>
      <c r="BI750" s="172"/>
      <c r="BJ750" s="172"/>
      <c r="BK750" s="172"/>
      <c r="BL750" s="172"/>
      <c r="BM750" s="172"/>
      <c r="BN750" s="172"/>
      <c r="BO750" s="172"/>
      <c r="BP750" s="172"/>
      <c r="BQ750" s="172"/>
      <c r="BR750" s="172"/>
      <c r="BS750" s="172"/>
      <c r="BT750" s="172"/>
      <c r="BU750" s="172"/>
      <c r="BV750" s="172"/>
      <c r="BW750" s="172"/>
      <c r="BX750" s="172"/>
      <c r="BY750" s="174"/>
      <c r="BZ750" s="172"/>
      <c r="CA750" s="172"/>
      <c r="CD750" s="194"/>
      <c r="CE750" s="194"/>
      <c r="CF750" s="194"/>
      <c r="CG750" s="194"/>
      <c r="CH750" s="195"/>
      <c r="CI750" s="194"/>
      <c r="CJ750" s="194"/>
      <c r="CK750" s="194"/>
      <c r="CL750" s="196"/>
      <c r="CM750" s="196"/>
      <c r="CN750" s="194"/>
      <c r="CO750" s="197"/>
      <c r="CP750" s="196"/>
      <c r="CQ750" s="196"/>
      <c r="CR750" s="196"/>
      <c r="CS750" s="196"/>
      <c r="CT750" s="196"/>
      <c r="CU750" s="196"/>
      <c r="CV750" s="194"/>
      <c r="CW750" s="194"/>
      <c r="CX750" s="194"/>
      <c r="CY750" s="194"/>
      <c r="CZ750" s="194"/>
      <c r="DA750" s="194"/>
      <c r="DB750" s="194"/>
      <c r="DC750" s="194"/>
      <c r="DD750" s="194"/>
      <c r="DE750" s="194"/>
      <c r="DF750" s="196"/>
      <c r="DG750" s="198"/>
      <c r="DH750" s="194"/>
      <c r="DI750" s="194"/>
    </row>
    <row r="751" spans="1:113" s="24" customFormat="1" hidden="1" x14ac:dyDescent="0.3">
      <c r="A751" s="172"/>
      <c r="B751" s="172"/>
      <c r="C751" s="172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  <c r="AE751" s="173"/>
      <c r="AF751" s="173"/>
      <c r="AG751" s="173"/>
      <c r="AH751" s="173"/>
      <c r="AI751" s="173"/>
      <c r="AJ751" s="173"/>
      <c r="AK751" s="173"/>
      <c r="AL751" s="173"/>
      <c r="AM751" s="173"/>
      <c r="AN751" s="173"/>
      <c r="AO751" s="173"/>
      <c r="AP751" s="173"/>
      <c r="AQ751" s="173"/>
      <c r="AR751" s="173"/>
      <c r="AS751" s="172"/>
      <c r="AT751" s="172"/>
      <c r="AU751" s="172"/>
      <c r="AV751" s="172"/>
      <c r="AW751" s="172"/>
      <c r="AX751" s="172"/>
      <c r="AY751" s="172"/>
      <c r="AZ751" s="172"/>
      <c r="BA751" s="172"/>
      <c r="BB751" s="172"/>
      <c r="BC751" s="172"/>
      <c r="BD751" s="172"/>
      <c r="BE751" s="172"/>
      <c r="BF751" s="172"/>
      <c r="BG751" s="172"/>
      <c r="BH751" s="172"/>
      <c r="BI751" s="172"/>
      <c r="BJ751" s="172"/>
      <c r="BK751" s="172"/>
      <c r="BL751" s="172"/>
      <c r="BM751" s="172"/>
      <c r="BN751" s="172"/>
      <c r="BO751" s="172"/>
      <c r="BP751" s="172"/>
      <c r="BQ751" s="172"/>
      <c r="BR751" s="172"/>
      <c r="BS751" s="172"/>
      <c r="BT751" s="172"/>
      <c r="BU751" s="172"/>
      <c r="BV751" s="172"/>
      <c r="BW751" s="172"/>
      <c r="BX751" s="172"/>
      <c r="BY751" s="174"/>
      <c r="BZ751" s="172"/>
      <c r="CA751" s="172"/>
      <c r="CD751" s="194"/>
      <c r="CE751" s="194"/>
      <c r="CF751" s="194"/>
      <c r="CG751" s="194"/>
      <c r="CH751" s="195"/>
      <c r="CI751" s="194"/>
      <c r="CJ751" s="194"/>
      <c r="CK751" s="194"/>
      <c r="CL751" s="196"/>
      <c r="CM751" s="196"/>
      <c r="CN751" s="194"/>
      <c r="CO751" s="197"/>
      <c r="CP751" s="196"/>
      <c r="CQ751" s="196"/>
      <c r="CR751" s="196"/>
      <c r="CS751" s="196"/>
      <c r="CT751" s="196"/>
      <c r="CU751" s="196"/>
      <c r="CV751" s="194"/>
      <c r="CW751" s="194"/>
      <c r="CX751" s="194"/>
      <c r="CY751" s="194"/>
      <c r="CZ751" s="194"/>
      <c r="DA751" s="194"/>
      <c r="DB751" s="194"/>
      <c r="DC751" s="194"/>
      <c r="DD751" s="194"/>
      <c r="DE751" s="194"/>
      <c r="DF751" s="196"/>
      <c r="DG751" s="198"/>
      <c r="DH751" s="194"/>
      <c r="DI751" s="194"/>
    </row>
    <row r="752" spans="1:113" s="24" customFormat="1" hidden="1" x14ac:dyDescent="0.3">
      <c r="A752" s="172"/>
      <c r="B752" s="172"/>
      <c r="C752" s="172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  <c r="AE752" s="173"/>
      <c r="AF752" s="173"/>
      <c r="AG752" s="173"/>
      <c r="AH752" s="173"/>
      <c r="AI752" s="173"/>
      <c r="AJ752" s="173"/>
      <c r="AK752" s="173"/>
      <c r="AL752" s="173"/>
      <c r="AM752" s="173"/>
      <c r="AN752" s="173"/>
      <c r="AO752" s="173"/>
      <c r="AP752" s="173"/>
      <c r="AQ752" s="173"/>
      <c r="AR752" s="173"/>
      <c r="AS752" s="172"/>
      <c r="AT752" s="172"/>
      <c r="AU752" s="172"/>
      <c r="AV752" s="172"/>
      <c r="AW752" s="172"/>
      <c r="AX752" s="172"/>
      <c r="AY752" s="172"/>
      <c r="AZ752" s="172"/>
      <c r="BA752" s="172"/>
      <c r="BB752" s="172"/>
      <c r="BC752" s="172"/>
      <c r="BD752" s="172"/>
      <c r="BE752" s="172"/>
      <c r="BF752" s="172"/>
      <c r="BG752" s="172"/>
      <c r="BH752" s="172"/>
      <c r="BI752" s="172"/>
      <c r="BJ752" s="172"/>
      <c r="BK752" s="172"/>
      <c r="BL752" s="172"/>
      <c r="BM752" s="172"/>
      <c r="BN752" s="172"/>
      <c r="BO752" s="172"/>
      <c r="BP752" s="172"/>
      <c r="BQ752" s="172"/>
      <c r="BR752" s="172"/>
      <c r="BS752" s="172"/>
      <c r="BT752" s="172"/>
      <c r="BU752" s="172"/>
      <c r="BV752" s="172"/>
      <c r="BW752" s="172"/>
      <c r="BX752" s="172"/>
      <c r="BY752" s="174"/>
      <c r="BZ752" s="172"/>
      <c r="CA752" s="172"/>
      <c r="CD752" s="194"/>
      <c r="CE752" s="194"/>
      <c r="CF752" s="194"/>
      <c r="CG752" s="194"/>
      <c r="CH752" s="195"/>
      <c r="CI752" s="194"/>
      <c r="CJ752" s="194"/>
      <c r="CK752" s="194"/>
      <c r="CL752" s="196"/>
      <c r="CM752" s="196"/>
      <c r="CN752" s="194"/>
      <c r="CO752" s="197"/>
      <c r="CP752" s="196"/>
      <c r="CQ752" s="196"/>
      <c r="CR752" s="196"/>
      <c r="CS752" s="196"/>
      <c r="CT752" s="196"/>
      <c r="CU752" s="196"/>
      <c r="CV752" s="194"/>
      <c r="CW752" s="194"/>
      <c r="CX752" s="194"/>
      <c r="CY752" s="194"/>
      <c r="CZ752" s="194"/>
      <c r="DA752" s="194"/>
      <c r="DB752" s="194"/>
      <c r="DC752" s="194"/>
      <c r="DD752" s="194"/>
      <c r="DE752" s="194"/>
      <c r="DF752" s="196"/>
      <c r="DG752" s="198"/>
      <c r="DH752" s="194"/>
      <c r="DI752" s="194"/>
    </row>
    <row r="753" spans="1:113" s="24" customFormat="1" hidden="1" x14ac:dyDescent="0.3">
      <c r="A753" s="172"/>
      <c r="B753" s="172"/>
      <c r="C753" s="172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  <c r="AE753" s="173"/>
      <c r="AF753" s="173"/>
      <c r="AG753" s="173"/>
      <c r="AH753" s="173"/>
      <c r="AI753" s="173"/>
      <c r="AJ753" s="173"/>
      <c r="AK753" s="173"/>
      <c r="AL753" s="173"/>
      <c r="AM753" s="173"/>
      <c r="AN753" s="173"/>
      <c r="AO753" s="173"/>
      <c r="AP753" s="173"/>
      <c r="AQ753" s="173"/>
      <c r="AR753" s="173"/>
      <c r="AS753" s="172"/>
      <c r="AT753" s="172"/>
      <c r="AU753" s="172"/>
      <c r="AV753" s="172"/>
      <c r="AW753" s="172"/>
      <c r="AX753" s="172"/>
      <c r="AY753" s="172"/>
      <c r="AZ753" s="172"/>
      <c r="BA753" s="172"/>
      <c r="BB753" s="172"/>
      <c r="BC753" s="172"/>
      <c r="BD753" s="172"/>
      <c r="BE753" s="172"/>
      <c r="BF753" s="172"/>
      <c r="BG753" s="172"/>
      <c r="BH753" s="172"/>
      <c r="BI753" s="172"/>
      <c r="BJ753" s="172"/>
      <c r="BK753" s="172"/>
      <c r="BL753" s="172"/>
      <c r="BM753" s="172"/>
      <c r="BN753" s="172"/>
      <c r="BO753" s="172"/>
      <c r="BP753" s="172"/>
      <c r="BQ753" s="172"/>
      <c r="BR753" s="172"/>
      <c r="BS753" s="172"/>
      <c r="BT753" s="172"/>
      <c r="BU753" s="172"/>
      <c r="BV753" s="172"/>
      <c r="BW753" s="172"/>
      <c r="BX753" s="172"/>
      <c r="BY753" s="174"/>
      <c r="BZ753" s="172"/>
      <c r="CA753" s="172"/>
      <c r="CD753" s="194"/>
      <c r="CE753" s="194"/>
      <c r="CF753" s="194"/>
      <c r="CG753" s="194"/>
      <c r="CH753" s="195"/>
      <c r="CI753" s="194"/>
      <c r="CJ753" s="194"/>
      <c r="CK753" s="194"/>
      <c r="CL753" s="196"/>
      <c r="CM753" s="196"/>
      <c r="CN753" s="194"/>
      <c r="CO753" s="197"/>
      <c r="CP753" s="196"/>
      <c r="CQ753" s="196"/>
      <c r="CR753" s="196"/>
      <c r="CS753" s="196"/>
      <c r="CT753" s="196"/>
      <c r="CU753" s="196"/>
      <c r="CV753" s="194"/>
      <c r="CW753" s="194"/>
      <c r="CX753" s="194"/>
      <c r="CY753" s="194"/>
      <c r="CZ753" s="194"/>
      <c r="DA753" s="194"/>
      <c r="DB753" s="194"/>
      <c r="DC753" s="194"/>
      <c r="DD753" s="194"/>
      <c r="DE753" s="194"/>
      <c r="DF753" s="196"/>
      <c r="DG753" s="198"/>
      <c r="DH753" s="194"/>
      <c r="DI753" s="194"/>
    </row>
    <row r="754" spans="1:113" s="24" customFormat="1" hidden="1" x14ac:dyDescent="0.3">
      <c r="A754" s="172"/>
      <c r="B754" s="172"/>
      <c r="C754" s="172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  <c r="AE754" s="173"/>
      <c r="AF754" s="173"/>
      <c r="AG754" s="173"/>
      <c r="AH754" s="173"/>
      <c r="AI754" s="173"/>
      <c r="AJ754" s="173"/>
      <c r="AK754" s="173"/>
      <c r="AL754" s="173"/>
      <c r="AM754" s="173"/>
      <c r="AN754" s="173"/>
      <c r="AO754" s="173"/>
      <c r="AP754" s="173"/>
      <c r="AQ754" s="173"/>
      <c r="AR754" s="173"/>
      <c r="AS754" s="172"/>
      <c r="AT754" s="172"/>
      <c r="AU754" s="172"/>
      <c r="AV754" s="172"/>
      <c r="AW754" s="172"/>
      <c r="AX754" s="172"/>
      <c r="AY754" s="172"/>
      <c r="AZ754" s="172"/>
      <c r="BA754" s="172"/>
      <c r="BB754" s="172"/>
      <c r="BC754" s="172"/>
      <c r="BD754" s="172"/>
      <c r="BE754" s="172"/>
      <c r="BF754" s="172"/>
      <c r="BG754" s="172"/>
      <c r="BH754" s="172"/>
      <c r="BI754" s="172"/>
      <c r="BJ754" s="172"/>
      <c r="BK754" s="172"/>
      <c r="BL754" s="172"/>
      <c r="BM754" s="172"/>
      <c r="BN754" s="172"/>
      <c r="BO754" s="172"/>
      <c r="BP754" s="172"/>
      <c r="BQ754" s="172"/>
      <c r="BR754" s="172"/>
      <c r="BS754" s="172"/>
      <c r="BT754" s="172"/>
      <c r="BU754" s="172"/>
      <c r="BV754" s="172"/>
      <c r="BW754" s="172"/>
      <c r="BX754" s="172"/>
      <c r="BY754" s="174"/>
      <c r="BZ754" s="172"/>
      <c r="CA754" s="172"/>
      <c r="CD754" s="194"/>
      <c r="CE754" s="194"/>
      <c r="CF754" s="194"/>
      <c r="CG754" s="194"/>
      <c r="CH754" s="195"/>
      <c r="CI754" s="194"/>
      <c r="CJ754" s="194"/>
      <c r="CK754" s="194"/>
      <c r="CL754" s="196"/>
      <c r="CM754" s="196"/>
      <c r="CN754" s="194"/>
      <c r="CO754" s="197"/>
      <c r="CP754" s="196"/>
      <c r="CQ754" s="196"/>
      <c r="CR754" s="196"/>
      <c r="CS754" s="196"/>
      <c r="CT754" s="196"/>
      <c r="CU754" s="196"/>
      <c r="CV754" s="194"/>
      <c r="CW754" s="194"/>
      <c r="CX754" s="194"/>
      <c r="CY754" s="194"/>
      <c r="CZ754" s="194"/>
      <c r="DA754" s="194"/>
      <c r="DB754" s="194"/>
      <c r="DC754" s="194"/>
      <c r="DD754" s="194"/>
      <c r="DE754" s="194"/>
      <c r="DF754" s="196"/>
      <c r="DG754" s="198"/>
      <c r="DH754" s="194"/>
      <c r="DI754" s="194"/>
    </row>
    <row r="755" spans="1:113" s="24" customFormat="1" hidden="1" x14ac:dyDescent="0.3">
      <c r="A755" s="172"/>
      <c r="B755" s="172"/>
      <c r="C755" s="172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  <c r="AE755" s="173"/>
      <c r="AF755" s="173"/>
      <c r="AG755" s="173"/>
      <c r="AH755" s="173"/>
      <c r="AI755" s="173"/>
      <c r="AJ755" s="173"/>
      <c r="AK755" s="173"/>
      <c r="AL755" s="173"/>
      <c r="AM755" s="173"/>
      <c r="AN755" s="173"/>
      <c r="AO755" s="173"/>
      <c r="AP755" s="173"/>
      <c r="AQ755" s="173"/>
      <c r="AR755" s="173"/>
      <c r="AS755" s="172"/>
      <c r="AT755" s="172"/>
      <c r="AU755" s="172"/>
      <c r="AV755" s="172"/>
      <c r="AW755" s="172"/>
      <c r="AX755" s="172"/>
      <c r="AY755" s="172"/>
      <c r="AZ755" s="172"/>
      <c r="BA755" s="172"/>
      <c r="BB755" s="172"/>
      <c r="BC755" s="172"/>
      <c r="BD755" s="172"/>
      <c r="BE755" s="172"/>
      <c r="BF755" s="172"/>
      <c r="BG755" s="172"/>
      <c r="BH755" s="172"/>
      <c r="BI755" s="172"/>
      <c r="BJ755" s="172"/>
      <c r="BK755" s="172"/>
      <c r="BL755" s="172"/>
      <c r="BM755" s="172"/>
      <c r="BN755" s="172"/>
      <c r="BO755" s="172"/>
      <c r="BP755" s="172"/>
      <c r="BQ755" s="172"/>
      <c r="BR755" s="172"/>
      <c r="BS755" s="172"/>
      <c r="BT755" s="172"/>
      <c r="BU755" s="172"/>
      <c r="BV755" s="172"/>
      <c r="BW755" s="172"/>
      <c r="BX755" s="172"/>
      <c r="BY755" s="174"/>
      <c r="BZ755" s="172"/>
      <c r="CA755" s="172"/>
      <c r="CD755" s="194"/>
      <c r="CE755" s="194"/>
      <c r="CF755" s="194"/>
      <c r="CG755" s="194"/>
      <c r="CH755" s="195"/>
      <c r="CI755" s="194"/>
      <c r="CJ755" s="194"/>
      <c r="CK755" s="194"/>
      <c r="CL755" s="196"/>
      <c r="CM755" s="196"/>
      <c r="CN755" s="194"/>
      <c r="CO755" s="197"/>
      <c r="CP755" s="196"/>
      <c r="CQ755" s="196"/>
      <c r="CR755" s="196"/>
      <c r="CS755" s="196"/>
      <c r="CT755" s="196"/>
      <c r="CU755" s="196"/>
      <c r="CV755" s="194"/>
      <c r="CW755" s="194"/>
      <c r="CX755" s="194"/>
      <c r="CY755" s="194"/>
      <c r="CZ755" s="194"/>
      <c r="DA755" s="194"/>
      <c r="DB755" s="194"/>
      <c r="DC755" s="194"/>
      <c r="DD755" s="194"/>
      <c r="DE755" s="194"/>
      <c r="DF755" s="196"/>
      <c r="DG755" s="198"/>
      <c r="DH755" s="194"/>
      <c r="DI755" s="194"/>
    </row>
    <row r="756" spans="1:113" s="24" customFormat="1" hidden="1" x14ac:dyDescent="0.3">
      <c r="A756" s="172"/>
      <c r="B756" s="172"/>
      <c r="C756" s="172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  <c r="AE756" s="173"/>
      <c r="AF756" s="173"/>
      <c r="AG756" s="173"/>
      <c r="AH756" s="173"/>
      <c r="AI756" s="173"/>
      <c r="AJ756" s="173"/>
      <c r="AK756" s="173"/>
      <c r="AL756" s="173"/>
      <c r="AM756" s="173"/>
      <c r="AN756" s="173"/>
      <c r="AO756" s="173"/>
      <c r="AP756" s="173"/>
      <c r="AQ756" s="173"/>
      <c r="AR756" s="173"/>
      <c r="AS756" s="172"/>
      <c r="AT756" s="172"/>
      <c r="AU756" s="172"/>
      <c r="AV756" s="172"/>
      <c r="AW756" s="172"/>
      <c r="AX756" s="172"/>
      <c r="AY756" s="172"/>
      <c r="AZ756" s="172"/>
      <c r="BA756" s="172"/>
      <c r="BB756" s="172"/>
      <c r="BC756" s="172"/>
      <c r="BD756" s="172"/>
      <c r="BE756" s="172"/>
      <c r="BF756" s="172"/>
      <c r="BG756" s="172"/>
      <c r="BH756" s="172"/>
      <c r="BI756" s="172"/>
      <c r="BJ756" s="172"/>
      <c r="BK756" s="172"/>
      <c r="BL756" s="172"/>
      <c r="BM756" s="172"/>
      <c r="BN756" s="172"/>
      <c r="BO756" s="172"/>
      <c r="BP756" s="172"/>
      <c r="BQ756" s="172"/>
      <c r="BR756" s="172"/>
      <c r="BS756" s="172"/>
      <c r="BT756" s="172"/>
      <c r="BU756" s="172"/>
      <c r="BV756" s="172"/>
      <c r="BW756" s="172"/>
      <c r="BX756" s="172"/>
      <c r="BY756" s="174"/>
      <c r="BZ756" s="172"/>
      <c r="CA756" s="172"/>
      <c r="CD756" s="194"/>
      <c r="CE756" s="194"/>
      <c r="CF756" s="194"/>
      <c r="CG756" s="194"/>
      <c r="CH756" s="195"/>
      <c r="CI756" s="194"/>
      <c r="CJ756" s="194"/>
      <c r="CK756" s="194"/>
      <c r="CL756" s="196"/>
      <c r="CM756" s="196"/>
      <c r="CN756" s="194"/>
      <c r="CO756" s="197"/>
      <c r="CP756" s="196"/>
      <c r="CQ756" s="196"/>
      <c r="CR756" s="196"/>
      <c r="CS756" s="196"/>
      <c r="CT756" s="196"/>
      <c r="CU756" s="196"/>
      <c r="CV756" s="194"/>
      <c r="CW756" s="194"/>
      <c r="CX756" s="194"/>
      <c r="CY756" s="194"/>
      <c r="CZ756" s="194"/>
      <c r="DA756" s="194"/>
      <c r="DB756" s="194"/>
      <c r="DC756" s="194"/>
      <c r="DD756" s="194"/>
      <c r="DE756" s="194"/>
      <c r="DF756" s="196"/>
      <c r="DG756" s="198"/>
      <c r="DH756" s="194"/>
      <c r="DI756" s="194"/>
    </row>
    <row r="757" spans="1:113" s="24" customFormat="1" hidden="1" x14ac:dyDescent="0.3">
      <c r="A757" s="172"/>
      <c r="B757" s="172"/>
      <c r="C757" s="172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  <c r="AE757" s="173"/>
      <c r="AF757" s="173"/>
      <c r="AG757" s="173"/>
      <c r="AH757" s="173"/>
      <c r="AI757" s="173"/>
      <c r="AJ757" s="173"/>
      <c r="AK757" s="173"/>
      <c r="AL757" s="173"/>
      <c r="AM757" s="173"/>
      <c r="AN757" s="173"/>
      <c r="AO757" s="173"/>
      <c r="AP757" s="173"/>
      <c r="AQ757" s="173"/>
      <c r="AR757" s="173"/>
      <c r="AS757" s="172"/>
      <c r="AT757" s="172"/>
      <c r="AU757" s="172"/>
      <c r="AV757" s="172"/>
      <c r="AW757" s="172"/>
      <c r="AX757" s="172"/>
      <c r="AY757" s="172"/>
      <c r="AZ757" s="172"/>
      <c r="BA757" s="172"/>
      <c r="BB757" s="172"/>
      <c r="BC757" s="172"/>
      <c r="BD757" s="172"/>
      <c r="BE757" s="172"/>
      <c r="BF757" s="172"/>
      <c r="BG757" s="172"/>
      <c r="BH757" s="172"/>
      <c r="BI757" s="172"/>
      <c r="BJ757" s="172"/>
      <c r="BK757" s="172"/>
      <c r="BL757" s="172"/>
      <c r="BM757" s="172"/>
      <c r="BN757" s="172"/>
      <c r="BO757" s="172"/>
      <c r="BP757" s="172"/>
      <c r="BQ757" s="172"/>
      <c r="BR757" s="172"/>
      <c r="BS757" s="172"/>
      <c r="BT757" s="172"/>
      <c r="BU757" s="172"/>
      <c r="BV757" s="172"/>
      <c r="BW757" s="172"/>
      <c r="BX757" s="172"/>
      <c r="BY757" s="174"/>
      <c r="BZ757" s="172"/>
      <c r="CA757" s="172"/>
      <c r="CD757" s="194"/>
      <c r="CE757" s="194"/>
      <c r="CF757" s="194"/>
      <c r="CG757" s="194"/>
      <c r="CH757" s="195"/>
      <c r="CI757" s="194"/>
      <c r="CJ757" s="194"/>
      <c r="CK757" s="194"/>
      <c r="CL757" s="196"/>
      <c r="CM757" s="196"/>
      <c r="CN757" s="194"/>
      <c r="CO757" s="197"/>
      <c r="CP757" s="196"/>
      <c r="CQ757" s="196"/>
      <c r="CR757" s="196"/>
      <c r="CS757" s="196"/>
      <c r="CT757" s="196"/>
      <c r="CU757" s="196"/>
      <c r="CV757" s="194"/>
      <c r="CW757" s="194"/>
      <c r="CX757" s="194"/>
      <c r="CY757" s="194"/>
      <c r="CZ757" s="194"/>
      <c r="DA757" s="194"/>
      <c r="DB757" s="194"/>
      <c r="DC757" s="194"/>
      <c r="DD757" s="194"/>
      <c r="DE757" s="194"/>
      <c r="DF757" s="196"/>
      <c r="DG757" s="198"/>
      <c r="DH757" s="194"/>
      <c r="DI757" s="194"/>
    </row>
    <row r="758" spans="1:113" s="24" customFormat="1" hidden="1" x14ac:dyDescent="0.3">
      <c r="A758" s="172"/>
      <c r="B758" s="172"/>
      <c r="C758" s="172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  <c r="AE758" s="173"/>
      <c r="AF758" s="173"/>
      <c r="AG758" s="173"/>
      <c r="AH758" s="173"/>
      <c r="AI758" s="173"/>
      <c r="AJ758" s="173"/>
      <c r="AK758" s="173"/>
      <c r="AL758" s="173"/>
      <c r="AM758" s="173"/>
      <c r="AN758" s="173"/>
      <c r="AO758" s="173"/>
      <c r="AP758" s="173"/>
      <c r="AQ758" s="173"/>
      <c r="AR758" s="173"/>
      <c r="AS758" s="172"/>
      <c r="AT758" s="172"/>
      <c r="AU758" s="172"/>
      <c r="AV758" s="172"/>
      <c r="AW758" s="172"/>
      <c r="AX758" s="172"/>
      <c r="AY758" s="172"/>
      <c r="AZ758" s="172"/>
      <c r="BA758" s="172"/>
      <c r="BB758" s="172"/>
      <c r="BC758" s="172"/>
      <c r="BD758" s="172"/>
      <c r="BE758" s="172"/>
      <c r="BF758" s="172"/>
      <c r="BG758" s="172"/>
      <c r="BH758" s="172"/>
      <c r="BI758" s="172"/>
      <c r="BJ758" s="172"/>
      <c r="BK758" s="172"/>
      <c r="BL758" s="172"/>
      <c r="BM758" s="172"/>
      <c r="BN758" s="172"/>
      <c r="BO758" s="172"/>
      <c r="BP758" s="172"/>
      <c r="BQ758" s="172"/>
      <c r="BR758" s="172"/>
      <c r="BS758" s="172"/>
      <c r="BT758" s="172"/>
      <c r="BU758" s="172"/>
      <c r="BV758" s="172"/>
      <c r="BW758" s="172"/>
      <c r="BX758" s="172"/>
      <c r="BY758" s="174"/>
      <c r="BZ758" s="172"/>
      <c r="CA758" s="172"/>
      <c r="CD758" s="194"/>
      <c r="CE758" s="194"/>
      <c r="CF758" s="194"/>
      <c r="CG758" s="194"/>
      <c r="CH758" s="195"/>
      <c r="CI758" s="194"/>
      <c r="CJ758" s="194"/>
      <c r="CK758" s="194"/>
      <c r="CL758" s="196"/>
      <c r="CM758" s="196"/>
      <c r="CN758" s="194"/>
      <c r="CO758" s="197"/>
      <c r="CP758" s="196"/>
      <c r="CQ758" s="196"/>
      <c r="CR758" s="196"/>
      <c r="CS758" s="196"/>
      <c r="CT758" s="196"/>
      <c r="CU758" s="196"/>
      <c r="CV758" s="194"/>
      <c r="CW758" s="194"/>
      <c r="CX758" s="194"/>
      <c r="CY758" s="194"/>
      <c r="CZ758" s="194"/>
      <c r="DA758" s="194"/>
      <c r="DB758" s="194"/>
      <c r="DC758" s="194"/>
      <c r="DD758" s="194"/>
      <c r="DE758" s="194"/>
      <c r="DF758" s="196"/>
      <c r="DG758" s="198"/>
      <c r="DH758" s="194"/>
      <c r="DI758" s="194"/>
    </row>
    <row r="759" spans="1:113" s="24" customFormat="1" hidden="1" x14ac:dyDescent="0.3">
      <c r="A759" s="172"/>
      <c r="B759" s="172"/>
      <c r="C759" s="172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  <c r="AE759" s="173"/>
      <c r="AF759" s="173"/>
      <c r="AG759" s="173"/>
      <c r="AH759" s="173"/>
      <c r="AI759" s="173"/>
      <c r="AJ759" s="173"/>
      <c r="AK759" s="173"/>
      <c r="AL759" s="173"/>
      <c r="AM759" s="173"/>
      <c r="AN759" s="173"/>
      <c r="AO759" s="173"/>
      <c r="AP759" s="173"/>
      <c r="AQ759" s="173"/>
      <c r="AR759" s="173"/>
      <c r="AS759" s="172"/>
      <c r="AT759" s="172"/>
      <c r="AU759" s="172"/>
      <c r="AV759" s="172"/>
      <c r="AW759" s="172"/>
      <c r="AX759" s="172"/>
      <c r="AY759" s="172"/>
      <c r="AZ759" s="172"/>
      <c r="BA759" s="172"/>
      <c r="BB759" s="172"/>
      <c r="BC759" s="172"/>
      <c r="BD759" s="172"/>
      <c r="BE759" s="172"/>
      <c r="BF759" s="172"/>
      <c r="BG759" s="172"/>
      <c r="BH759" s="172"/>
      <c r="BI759" s="172"/>
      <c r="BJ759" s="172"/>
      <c r="BK759" s="172"/>
      <c r="BL759" s="172"/>
      <c r="BM759" s="172"/>
      <c r="BN759" s="172"/>
      <c r="BO759" s="172"/>
      <c r="BP759" s="172"/>
      <c r="BQ759" s="172"/>
      <c r="BR759" s="172"/>
      <c r="BS759" s="172"/>
      <c r="BT759" s="172"/>
      <c r="BU759" s="172"/>
      <c r="BV759" s="172"/>
      <c r="BW759" s="172"/>
      <c r="BX759" s="172"/>
      <c r="BY759" s="174"/>
      <c r="BZ759" s="172"/>
      <c r="CA759" s="172"/>
      <c r="CD759" s="194"/>
      <c r="CE759" s="194"/>
      <c r="CF759" s="194"/>
      <c r="CG759" s="194"/>
      <c r="CH759" s="195"/>
      <c r="CI759" s="194"/>
      <c r="CJ759" s="194"/>
      <c r="CK759" s="194"/>
      <c r="CL759" s="196"/>
      <c r="CM759" s="196"/>
      <c r="CN759" s="194"/>
      <c r="CO759" s="197"/>
      <c r="CP759" s="196"/>
      <c r="CQ759" s="196"/>
      <c r="CR759" s="196"/>
      <c r="CS759" s="196"/>
      <c r="CT759" s="196"/>
      <c r="CU759" s="196"/>
      <c r="CV759" s="194"/>
      <c r="CW759" s="194"/>
      <c r="CX759" s="194"/>
      <c r="CY759" s="194"/>
      <c r="CZ759" s="194"/>
      <c r="DA759" s="194"/>
      <c r="DB759" s="194"/>
      <c r="DC759" s="194"/>
      <c r="DD759" s="194"/>
      <c r="DE759" s="194"/>
      <c r="DF759" s="196"/>
      <c r="DG759" s="198"/>
      <c r="DH759" s="194"/>
      <c r="DI759" s="194"/>
    </row>
    <row r="760" spans="1:113" s="24" customFormat="1" hidden="1" x14ac:dyDescent="0.3">
      <c r="A760" s="172"/>
      <c r="B760" s="172"/>
      <c r="C760" s="172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  <c r="AE760" s="173"/>
      <c r="AF760" s="173"/>
      <c r="AG760" s="173"/>
      <c r="AH760" s="173"/>
      <c r="AI760" s="173"/>
      <c r="AJ760" s="173"/>
      <c r="AK760" s="173"/>
      <c r="AL760" s="173"/>
      <c r="AM760" s="173"/>
      <c r="AN760" s="173"/>
      <c r="AO760" s="173"/>
      <c r="AP760" s="173"/>
      <c r="AQ760" s="173"/>
      <c r="AR760" s="173"/>
      <c r="AS760" s="172"/>
      <c r="AT760" s="172"/>
      <c r="AU760" s="172"/>
      <c r="AV760" s="172"/>
      <c r="AW760" s="172"/>
      <c r="AX760" s="172"/>
      <c r="AY760" s="172"/>
      <c r="AZ760" s="172"/>
      <c r="BA760" s="172"/>
      <c r="BB760" s="172"/>
      <c r="BC760" s="172"/>
      <c r="BD760" s="172"/>
      <c r="BE760" s="172"/>
      <c r="BF760" s="172"/>
      <c r="BG760" s="172"/>
      <c r="BH760" s="172"/>
      <c r="BI760" s="172"/>
      <c r="BJ760" s="172"/>
      <c r="BK760" s="172"/>
      <c r="BL760" s="172"/>
      <c r="BM760" s="172"/>
      <c r="BN760" s="172"/>
      <c r="BO760" s="172"/>
      <c r="BP760" s="172"/>
      <c r="BQ760" s="172"/>
      <c r="BR760" s="172"/>
      <c r="BS760" s="172"/>
      <c r="BT760" s="172"/>
      <c r="BU760" s="172"/>
      <c r="BV760" s="172"/>
      <c r="BW760" s="172"/>
      <c r="BX760" s="172"/>
      <c r="BY760" s="174"/>
      <c r="BZ760" s="172"/>
      <c r="CA760" s="172"/>
      <c r="CD760" s="194"/>
      <c r="CE760" s="194"/>
      <c r="CF760" s="194"/>
      <c r="CG760" s="194"/>
      <c r="CH760" s="195"/>
      <c r="CI760" s="194"/>
      <c r="CJ760" s="194"/>
      <c r="CK760" s="194"/>
      <c r="CL760" s="196"/>
      <c r="CM760" s="196"/>
      <c r="CN760" s="194"/>
      <c r="CO760" s="197"/>
      <c r="CP760" s="196"/>
      <c r="CQ760" s="196"/>
      <c r="CR760" s="196"/>
      <c r="CS760" s="196"/>
      <c r="CT760" s="196"/>
      <c r="CU760" s="196"/>
      <c r="CV760" s="194"/>
      <c r="CW760" s="194"/>
      <c r="CX760" s="194"/>
      <c r="CY760" s="194"/>
      <c r="CZ760" s="194"/>
      <c r="DA760" s="194"/>
      <c r="DB760" s="194"/>
      <c r="DC760" s="194"/>
      <c r="DD760" s="194"/>
      <c r="DE760" s="194"/>
      <c r="DF760" s="196"/>
      <c r="DG760" s="198"/>
      <c r="DH760" s="194"/>
      <c r="DI760" s="194"/>
    </row>
    <row r="761" spans="1:113" s="24" customFormat="1" hidden="1" x14ac:dyDescent="0.3">
      <c r="A761" s="172"/>
      <c r="B761" s="172"/>
      <c r="C761" s="172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  <c r="AE761" s="173"/>
      <c r="AF761" s="173"/>
      <c r="AG761" s="173"/>
      <c r="AH761" s="173"/>
      <c r="AI761" s="173"/>
      <c r="AJ761" s="173"/>
      <c r="AK761" s="173"/>
      <c r="AL761" s="173"/>
      <c r="AM761" s="173"/>
      <c r="AN761" s="173"/>
      <c r="AO761" s="173"/>
      <c r="AP761" s="173"/>
      <c r="AQ761" s="173"/>
      <c r="AR761" s="173"/>
      <c r="AS761" s="172"/>
      <c r="AT761" s="172"/>
      <c r="AU761" s="172"/>
      <c r="AV761" s="172"/>
      <c r="AW761" s="172"/>
      <c r="AX761" s="172"/>
      <c r="AY761" s="172"/>
      <c r="AZ761" s="172"/>
      <c r="BA761" s="172"/>
      <c r="BB761" s="172"/>
      <c r="BC761" s="172"/>
      <c r="BD761" s="172"/>
      <c r="BE761" s="172"/>
      <c r="BF761" s="172"/>
      <c r="BG761" s="172"/>
      <c r="BH761" s="172"/>
      <c r="BI761" s="172"/>
      <c r="BJ761" s="172"/>
      <c r="BK761" s="172"/>
      <c r="BL761" s="172"/>
      <c r="BM761" s="172"/>
      <c r="BN761" s="172"/>
      <c r="BO761" s="172"/>
      <c r="BP761" s="172"/>
      <c r="BQ761" s="172"/>
      <c r="BR761" s="172"/>
      <c r="BS761" s="172"/>
      <c r="BT761" s="172"/>
      <c r="BU761" s="172"/>
      <c r="BV761" s="172"/>
      <c r="BW761" s="172"/>
      <c r="BX761" s="172"/>
      <c r="BY761" s="174"/>
      <c r="BZ761" s="172"/>
      <c r="CA761" s="172"/>
      <c r="CD761" s="194"/>
      <c r="CE761" s="194"/>
      <c r="CF761" s="194"/>
      <c r="CG761" s="194"/>
      <c r="CH761" s="195"/>
      <c r="CI761" s="194"/>
      <c r="CJ761" s="194"/>
      <c r="CK761" s="194"/>
      <c r="CL761" s="196"/>
      <c r="CM761" s="196"/>
      <c r="CN761" s="194"/>
      <c r="CO761" s="197"/>
      <c r="CP761" s="196"/>
      <c r="CQ761" s="196"/>
      <c r="CR761" s="196"/>
      <c r="CS761" s="196"/>
      <c r="CT761" s="196"/>
      <c r="CU761" s="196"/>
      <c r="CV761" s="194"/>
      <c r="CW761" s="194"/>
      <c r="CX761" s="194"/>
      <c r="CY761" s="194"/>
      <c r="CZ761" s="194"/>
      <c r="DA761" s="194"/>
      <c r="DB761" s="194"/>
      <c r="DC761" s="194"/>
      <c r="DD761" s="194"/>
      <c r="DE761" s="194"/>
      <c r="DF761" s="196"/>
      <c r="DG761" s="198"/>
      <c r="DH761" s="194"/>
      <c r="DI761" s="194"/>
    </row>
    <row r="762" spans="1:113" s="24" customFormat="1" hidden="1" x14ac:dyDescent="0.3">
      <c r="A762" s="172"/>
      <c r="B762" s="172"/>
      <c r="C762" s="172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  <c r="AE762" s="173"/>
      <c r="AF762" s="173"/>
      <c r="AG762" s="173"/>
      <c r="AH762" s="173"/>
      <c r="AI762" s="173"/>
      <c r="AJ762" s="173"/>
      <c r="AK762" s="173"/>
      <c r="AL762" s="173"/>
      <c r="AM762" s="173"/>
      <c r="AN762" s="173"/>
      <c r="AO762" s="173"/>
      <c r="AP762" s="173"/>
      <c r="AQ762" s="173"/>
      <c r="AR762" s="173"/>
      <c r="AS762" s="172"/>
      <c r="AT762" s="172"/>
      <c r="AU762" s="172"/>
      <c r="AV762" s="172"/>
      <c r="AW762" s="172"/>
      <c r="AX762" s="172"/>
      <c r="AY762" s="172"/>
      <c r="AZ762" s="172"/>
      <c r="BA762" s="172"/>
      <c r="BB762" s="172"/>
      <c r="BC762" s="172"/>
      <c r="BD762" s="172"/>
      <c r="BE762" s="172"/>
      <c r="BF762" s="172"/>
      <c r="BG762" s="172"/>
      <c r="BH762" s="172"/>
      <c r="BI762" s="172"/>
      <c r="BJ762" s="172"/>
      <c r="BK762" s="172"/>
      <c r="BL762" s="172"/>
      <c r="BM762" s="172"/>
      <c r="BN762" s="172"/>
      <c r="BO762" s="172"/>
      <c r="BP762" s="172"/>
      <c r="BQ762" s="172"/>
      <c r="BR762" s="172"/>
      <c r="BS762" s="172"/>
      <c r="BT762" s="172"/>
      <c r="BU762" s="172"/>
      <c r="BV762" s="172"/>
      <c r="BW762" s="172"/>
      <c r="BX762" s="172"/>
      <c r="BY762" s="174"/>
      <c r="BZ762" s="172"/>
      <c r="CA762" s="172"/>
      <c r="CD762" s="194"/>
      <c r="CE762" s="194"/>
      <c r="CF762" s="194"/>
      <c r="CG762" s="194"/>
      <c r="CH762" s="195"/>
      <c r="CI762" s="194"/>
      <c r="CJ762" s="194"/>
      <c r="CK762" s="194"/>
      <c r="CL762" s="196"/>
      <c r="CM762" s="196"/>
      <c r="CN762" s="194"/>
      <c r="CO762" s="197"/>
      <c r="CP762" s="196"/>
      <c r="CQ762" s="196"/>
      <c r="CR762" s="196"/>
      <c r="CS762" s="196"/>
      <c r="CT762" s="196"/>
      <c r="CU762" s="196"/>
      <c r="CV762" s="194"/>
      <c r="CW762" s="194"/>
      <c r="CX762" s="194"/>
      <c r="CY762" s="194"/>
      <c r="CZ762" s="194"/>
      <c r="DA762" s="194"/>
      <c r="DB762" s="194"/>
      <c r="DC762" s="194"/>
      <c r="DD762" s="194"/>
      <c r="DE762" s="194"/>
      <c r="DF762" s="196"/>
      <c r="DG762" s="198"/>
      <c r="DH762" s="194"/>
      <c r="DI762" s="194"/>
    </row>
    <row r="763" spans="1:113" s="24" customFormat="1" hidden="1" x14ac:dyDescent="0.3">
      <c r="A763" s="172"/>
      <c r="B763" s="172"/>
      <c r="C763" s="172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  <c r="AE763" s="173"/>
      <c r="AF763" s="173"/>
      <c r="AG763" s="173"/>
      <c r="AH763" s="173"/>
      <c r="AI763" s="173"/>
      <c r="AJ763" s="173"/>
      <c r="AK763" s="173"/>
      <c r="AL763" s="173"/>
      <c r="AM763" s="173"/>
      <c r="AN763" s="173"/>
      <c r="AO763" s="173"/>
      <c r="AP763" s="173"/>
      <c r="AQ763" s="173"/>
      <c r="AR763" s="173"/>
      <c r="AS763" s="172"/>
      <c r="AT763" s="172"/>
      <c r="AU763" s="172"/>
      <c r="AV763" s="172"/>
      <c r="AW763" s="172"/>
      <c r="AX763" s="172"/>
      <c r="AY763" s="172"/>
      <c r="AZ763" s="172"/>
      <c r="BA763" s="172"/>
      <c r="BB763" s="172"/>
      <c r="BC763" s="172"/>
      <c r="BD763" s="172"/>
      <c r="BE763" s="172"/>
      <c r="BF763" s="172"/>
      <c r="BG763" s="172"/>
      <c r="BH763" s="172"/>
      <c r="BI763" s="172"/>
      <c r="BJ763" s="172"/>
      <c r="BK763" s="172"/>
      <c r="BL763" s="172"/>
      <c r="BM763" s="172"/>
      <c r="BN763" s="172"/>
      <c r="BO763" s="172"/>
      <c r="BP763" s="172"/>
      <c r="BQ763" s="172"/>
      <c r="BR763" s="172"/>
      <c r="BS763" s="172"/>
      <c r="BT763" s="172"/>
      <c r="BU763" s="172"/>
      <c r="BV763" s="172"/>
      <c r="BW763" s="172"/>
      <c r="BX763" s="172"/>
      <c r="BY763" s="174"/>
      <c r="BZ763" s="172"/>
      <c r="CA763" s="172"/>
      <c r="CD763" s="194"/>
      <c r="CE763" s="194"/>
      <c r="CF763" s="194"/>
      <c r="CG763" s="194"/>
      <c r="CH763" s="195"/>
      <c r="CI763" s="194"/>
      <c r="CJ763" s="194"/>
      <c r="CK763" s="194"/>
      <c r="CL763" s="196"/>
      <c r="CM763" s="196"/>
      <c r="CN763" s="194"/>
      <c r="CO763" s="197"/>
      <c r="CP763" s="196"/>
      <c r="CQ763" s="196"/>
      <c r="CR763" s="196"/>
      <c r="CS763" s="196"/>
      <c r="CT763" s="196"/>
      <c r="CU763" s="196"/>
      <c r="CV763" s="194"/>
      <c r="CW763" s="194"/>
      <c r="CX763" s="194"/>
      <c r="CY763" s="194"/>
      <c r="CZ763" s="194"/>
      <c r="DA763" s="194"/>
      <c r="DB763" s="194"/>
      <c r="DC763" s="194"/>
      <c r="DD763" s="194"/>
      <c r="DE763" s="194"/>
      <c r="DF763" s="196"/>
      <c r="DG763" s="198"/>
      <c r="DH763" s="194"/>
      <c r="DI763" s="194"/>
    </row>
    <row r="764" spans="1:113" s="24" customFormat="1" hidden="1" x14ac:dyDescent="0.3">
      <c r="A764" s="172"/>
      <c r="B764" s="172"/>
      <c r="C764" s="172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  <c r="AE764" s="173"/>
      <c r="AF764" s="173"/>
      <c r="AG764" s="173"/>
      <c r="AH764" s="173"/>
      <c r="AI764" s="173"/>
      <c r="AJ764" s="173"/>
      <c r="AK764" s="173"/>
      <c r="AL764" s="173"/>
      <c r="AM764" s="173"/>
      <c r="AN764" s="173"/>
      <c r="AO764" s="173"/>
      <c r="AP764" s="173"/>
      <c r="AQ764" s="173"/>
      <c r="AR764" s="173"/>
      <c r="AS764" s="172"/>
      <c r="AT764" s="172"/>
      <c r="AU764" s="172"/>
      <c r="AV764" s="172"/>
      <c r="AW764" s="172"/>
      <c r="AX764" s="172"/>
      <c r="AY764" s="172"/>
      <c r="AZ764" s="172"/>
      <c r="BA764" s="172"/>
      <c r="BB764" s="172"/>
      <c r="BC764" s="172"/>
      <c r="BD764" s="172"/>
      <c r="BE764" s="172"/>
      <c r="BF764" s="172"/>
      <c r="BG764" s="172"/>
      <c r="BH764" s="172"/>
      <c r="BI764" s="172"/>
      <c r="BJ764" s="172"/>
      <c r="BK764" s="172"/>
      <c r="BL764" s="172"/>
      <c r="BM764" s="172"/>
      <c r="BN764" s="172"/>
      <c r="BO764" s="172"/>
      <c r="BP764" s="172"/>
      <c r="BQ764" s="172"/>
      <c r="BR764" s="172"/>
      <c r="BS764" s="172"/>
      <c r="BT764" s="172"/>
      <c r="BU764" s="172"/>
      <c r="BV764" s="172"/>
      <c r="BW764" s="172"/>
      <c r="BX764" s="172"/>
      <c r="BY764" s="174"/>
      <c r="BZ764" s="172"/>
      <c r="CA764" s="172"/>
      <c r="CD764" s="194"/>
      <c r="CE764" s="194"/>
      <c r="CF764" s="194"/>
      <c r="CG764" s="194"/>
      <c r="CH764" s="195"/>
      <c r="CI764" s="194"/>
      <c r="CJ764" s="194"/>
      <c r="CK764" s="194"/>
      <c r="CL764" s="196"/>
      <c r="CM764" s="196"/>
      <c r="CN764" s="194"/>
      <c r="CO764" s="197"/>
      <c r="CP764" s="196"/>
      <c r="CQ764" s="196"/>
      <c r="CR764" s="196"/>
      <c r="CS764" s="196"/>
      <c r="CT764" s="196"/>
      <c r="CU764" s="196"/>
      <c r="CV764" s="194"/>
      <c r="CW764" s="194"/>
      <c r="CX764" s="194"/>
      <c r="CY764" s="194"/>
      <c r="CZ764" s="194"/>
      <c r="DA764" s="194"/>
      <c r="DB764" s="194"/>
      <c r="DC764" s="194"/>
      <c r="DD764" s="194"/>
      <c r="DE764" s="194"/>
      <c r="DF764" s="196"/>
      <c r="DG764" s="198"/>
      <c r="DH764" s="194"/>
      <c r="DI764" s="194"/>
    </row>
    <row r="765" spans="1:113" s="24" customFormat="1" hidden="1" x14ac:dyDescent="0.3">
      <c r="A765" s="172"/>
      <c r="B765" s="172"/>
      <c r="C765" s="172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  <c r="AE765" s="173"/>
      <c r="AF765" s="173"/>
      <c r="AG765" s="173"/>
      <c r="AH765" s="173"/>
      <c r="AI765" s="173"/>
      <c r="AJ765" s="173"/>
      <c r="AK765" s="173"/>
      <c r="AL765" s="173"/>
      <c r="AM765" s="173"/>
      <c r="AN765" s="173"/>
      <c r="AO765" s="173"/>
      <c r="AP765" s="173"/>
      <c r="AQ765" s="173"/>
      <c r="AR765" s="173"/>
      <c r="AS765" s="172"/>
      <c r="AT765" s="172"/>
      <c r="AU765" s="172"/>
      <c r="AV765" s="172"/>
      <c r="AW765" s="172"/>
      <c r="AX765" s="172"/>
      <c r="AY765" s="172"/>
      <c r="AZ765" s="172"/>
      <c r="BA765" s="172"/>
      <c r="BB765" s="172"/>
      <c r="BC765" s="172"/>
      <c r="BD765" s="172"/>
      <c r="BE765" s="172"/>
      <c r="BF765" s="172"/>
      <c r="BG765" s="172"/>
      <c r="BH765" s="172"/>
      <c r="BI765" s="172"/>
      <c r="BJ765" s="172"/>
      <c r="BK765" s="172"/>
      <c r="BL765" s="172"/>
      <c r="BM765" s="172"/>
      <c r="BN765" s="172"/>
      <c r="BO765" s="172"/>
      <c r="BP765" s="172"/>
      <c r="BQ765" s="172"/>
      <c r="BR765" s="172"/>
      <c r="BS765" s="172"/>
      <c r="BT765" s="172"/>
      <c r="BU765" s="172"/>
      <c r="BV765" s="172"/>
      <c r="BW765" s="172"/>
      <c r="BX765" s="172"/>
      <c r="BY765" s="174"/>
      <c r="BZ765" s="172"/>
      <c r="CA765" s="172"/>
      <c r="CD765" s="194"/>
      <c r="CE765" s="194"/>
      <c r="CF765" s="194"/>
      <c r="CG765" s="194"/>
      <c r="CH765" s="195"/>
      <c r="CI765" s="194"/>
      <c r="CJ765" s="194"/>
      <c r="CK765" s="194"/>
      <c r="CL765" s="196"/>
      <c r="CM765" s="196"/>
      <c r="CN765" s="194"/>
      <c r="CO765" s="197"/>
      <c r="CP765" s="196"/>
      <c r="CQ765" s="196"/>
      <c r="CR765" s="196"/>
      <c r="CS765" s="196"/>
      <c r="CT765" s="196"/>
      <c r="CU765" s="196"/>
      <c r="CV765" s="194"/>
      <c r="CW765" s="194"/>
      <c r="CX765" s="194"/>
      <c r="CY765" s="194"/>
      <c r="CZ765" s="194"/>
      <c r="DA765" s="194"/>
      <c r="DB765" s="194"/>
      <c r="DC765" s="194"/>
      <c r="DD765" s="194"/>
      <c r="DE765" s="194"/>
      <c r="DF765" s="196"/>
      <c r="DG765" s="198"/>
      <c r="DH765" s="194"/>
      <c r="DI765" s="194"/>
    </row>
    <row r="766" spans="1:113" s="24" customFormat="1" hidden="1" x14ac:dyDescent="0.3">
      <c r="A766" s="172"/>
      <c r="B766" s="172"/>
      <c r="C766" s="172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  <c r="AE766" s="173"/>
      <c r="AF766" s="173"/>
      <c r="AG766" s="173"/>
      <c r="AH766" s="173"/>
      <c r="AI766" s="173"/>
      <c r="AJ766" s="173"/>
      <c r="AK766" s="173"/>
      <c r="AL766" s="173"/>
      <c r="AM766" s="173"/>
      <c r="AN766" s="173"/>
      <c r="AO766" s="173"/>
      <c r="AP766" s="173"/>
      <c r="AQ766" s="173"/>
      <c r="AR766" s="173"/>
      <c r="AS766" s="172"/>
      <c r="AT766" s="172"/>
      <c r="AU766" s="172"/>
      <c r="AV766" s="172"/>
      <c r="AW766" s="172"/>
      <c r="AX766" s="172"/>
      <c r="AY766" s="172"/>
      <c r="AZ766" s="172"/>
      <c r="BA766" s="172"/>
      <c r="BB766" s="172"/>
      <c r="BC766" s="172"/>
      <c r="BD766" s="172"/>
      <c r="BE766" s="172"/>
      <c r="BF766" s="172"/>
      <c r="BG766" s="172"/>
      <c r="BH766" s="172"/>
      <c r="BI766" s="172"/>
      <c r="BJ766" s="172"/>
      <c r="BK766" s="172"/>
      <c r="BL766" s="172"/>
      <c r="BM766" s="172"/>
      <c r="BN766" s="172"/>
      <c r="BO766" s="172"/>
      <c r="BP766" s="172"/>
      <c r="BQ766" s="172"/>
      <c r="BR766" s="172"/>
      <c r="BS766" s="172"/>
      <c r="BT766" s="172"/>
      <c r="BU766" s="172"/>
      <c r="BV766" s="172"/>
      <c r="BW766" s="172"/>
      <c r="BX766" s="172"/>
      <c r="BY766" s="174"/>
      <c r="BZ766" s="172"/>
      <c r="CA766" s="172"/>
      <c r="CD766" s="194"/>
      <c r="CE766" s="194"/>
      <c r="CF766" s="194"/>
      <c r="CG766" s="194"/>
      <c r="CH766" s="195"/>
      <c r="CI766" s="194"/>
      <c r="CJ766" s="194"/>
      <c r="CK766" s="194"/>
      <c r="CL766" s="196"/>
      <c r="CM766" s="196"/>
      <c r="CN766" s="194"/>
      <c r="CO766" s="197"/>
      <c r="CP766" s="196"/>
      <c r="CQ766" s="196"/>
      <c r="CR766" s="196"/>
      <c r="CS766" s="196"/>
      <c r="CT766" s="196"/>
      <c r="CU766" s="196"/>
      <c r="CV766" s="194"/>
      <c r="CW766" s="194"/>
      <c r="CX766" s="194"/>
      <c r="CY766" s="194"/>
      <c r="CZ766" s="194"/>
      <c r="DA766" s="194"/>
      <c r="DB766" s="194"/>
      <c r="DC766" s="194"/>
      <c r="DD766" s="194"/>
      <c r="DE766" s="194"/>
      <c r="DF766" s="196"/>
      <c r="DG766" s="198"/>
      <c r="DH766" s="194"/>
      <c r="DI766" s="194"/>
    </row>
    <row r="767" spans="1:113" s="24" customFormat="1" hidden="1" x14ac:dyDescent="0.3">
      <c r="A767" s="172"/>
      <c r="B767" s="172"/>
      <c r="C767" s="172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  <c r="AE767" s="173"/>
      <c r="AF767" s="173"/>
      <c r="AG767" s="173"/>
      <c r="AH767" s="173"/>
      <c r="AI767" s="173"/>
      <c r="AJ767" s="173"/>
      <c r="AK767" s="173"/>
      <c r="AL767" s="173"/>
      <c r="AM767" s="173"/>
      <c r="AN767" s="173"/>
      <c r="AO767" s="173"/>
      <c r="AP767" s="173"/>
      <c r="AQ767" s="173"/>
      <c r="AR767" s="173"/>
      <c r="AS767" s="172"/>
      <c r="AT767" s="172"/>
      <c r="AU767" s="172"/>
      <c r="AV767" s="172"/>
      <c r="AW767" s="172"/>
      <c r="AX767" s="172"/>
      <c r="AY767" s="172"/>
      <c r="AZ767" s="172"/>
      <c r="BA767" s="172"/>
      <c r="BB767" s="172"/>
      <c r="BC767" s="172"/>
      <c r="BD767" s="172"/>
      <c r="BE767" s="172"/>
      <c r="BF767" s="172"/>
      <c r="BG767" s="172"/>
      <c r="BH767" s="172"/>
      <c r="BI767" s="172"/>
      <c r="BJ767" s="172"/>
      <c r="BK767" s="172"/>
      <c r="BL767" s="172"/>
      <c r="BM767" s="172"/>
      <c r="BN767" s="172"/>
      <c r="BO767" s="172"/>
      <c r="BP767" s="172"/>
      <c r="BQ767" s="172"/>
      <c r="BR767" s="172"/>
      <c r="BS767" s="172"/>
      <c r="BT767" s="172"/>
      <c r="BU767" s="172"/>
      <c r="BV767" s="172"/>
      <c r="BW767" s="172"/>
      <c r="BX767" s="172"/>
      <c r="BY767" s="174"/>
      <c r="BZ767" s="172"/>
      <c r="CA767" s="172"/>
      <c r="CD767" s="194"/>
      <c r="CE767" s="194"/>
      <c r="CF767" s="194"/>
      <c r="CG767" s="194"/>
      <c r="CH767" s="195"/>
      <c r="CI767" s="194"/>
      <c r="CJ767" s="194"/>
      <c r="CK767" s="194"/>
      <c r="CL767" s="196"/>
      <c r="CM767" s="196"/>
      <c r="CN767" s="194"/>
      <c r="CO767" s="197"/>
      <c r="CP767" s="196"/>
      <c r="CQ767" s="196"/>
      <c r="CR767" s="196"/>
      <c r="CS767" s="196"/>
      <c r="CT767" s="196"/>
      <c r="CU767" s="196"/>
      <c r="CV767" s="194"/>
      <c r="CW767" s="194"/>
      <c r="CX767" s="194"/>
      <c r="CY767" s="194"/>
      <c r="CZ767" s="194"/>
      <c r="DA767" s="194"/>
      <c r="DB767" s="194"/>
      <c r="DC767" s="194"/>
      <c r="DD767" s="194"/>
      <c r="DE767" s="194"/>
      <c r="DF767" s="196"/>
      <c r="DG767" s="198"/>
      <c r="DH767" s="194"/>
      <c r="DI767" s="194"/>
    </row>
    <row r="768" spans="1:113" s="24" customFormat="1" hidden="1" x14ac:dyDescent="0.3">
      <c r="A768" s="172"/>
      <c r="B768" s="172"/>
      <c r="C768" s="172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  <c r="AE768" s="173"/>
      <c r="AF768" s="173"/>
      <c r="AG768" s="173"/>
      <c r="AH768" s="173"/>
      <c r="AI768" s="173"/>
      <c r="AJ768" s="173"/>
      <c r="AK768" s="173"/>
      <c r="AL768" s="173"/>
      <c r="AM768" s="173"/>
      <c r="AN768" s="173"/>
      <c r="AO768" s="173"/>
      <c r="AP768" s="173"/>
      <c r="AQ768" s="173"/>
      <c r="AR768" s="173"/>
      <c r="AS768" s="172"/>
      <c r="AT768" s="172"/>
      <c r="AU768" s="172"/>
      <c r="AV768" s="172"/>
      <c r="AW768" s="172"/>
      <c r="AX768" s="172"/>
      <c r="AY768" s="172"/>
      <c r="AZ768" s="172"/>
      <c r="BA768" s="172"/>
      <c r="BB768" s="172"/>
      <c r="BC768" s="172"/>
      <c r="BD768" s="172"/>
      <c r="BE768" s="172"/>
      <c r="BF768" s="172"/>
      <c r="BG768" s="172"/>
      <c r="BH768" s="172"/>
      <c r="BI768" s="172"/>
      <c r="BJ768" s="172"/>
      <c r="BK768" s="172"/>
      <c r="BL768" s="172"/>
      <c r="BM768" s="172"/>
      <c r="BN768" s="172"/>
      <c r="BO768" s="172"/>
      <c r="BP768" s="172"/>
      <c r="BQ768" s="172"/>
      <c r="BR768" s="172"/>
      <c r="BS768" s="172"/>
      <c r="BT768" s="172"/>
      <c r="BU768" s="172"/>
      <c r="BV768" s="172"/>
      <c r="BW768" s="172"/>
      <c r="BX768" s="172"/>
      <c r="BY768" s="174"/>
      <c r="BZ768" s="172"/>
      <c r="CA768" s="172"/>
      <c r="CD768" s="194"/>
      <c r="CE768" s="194"/>
      <c r="CF768" s="194"/>
      <c r="CG768" s="194"/>
      <c r="CH768" s="195"/>
      <c r="CI768" s="194"/>
      <c r="CJ768" s="194"/>
      <c r="CK768" s="194"/>
      <c r="CL768" s="196"/>
      <c r="CM768" s="196"/>
      <c r="CN768" s="194"/>
      <c r="CO768" s="197"/>
      <c r="CP768" s="196"/>
      <c r="CQ768" s="196"/>
      <c r="CR768" s="196"/>
      <c r="CS768" s="196"/>
      <c r="CT768" s="196"/>
      <c r="CU768" s="196"/>
      <c r="CV768" s="194"/>
      <c r="CW768" s="194"/>
      <c r="CX768" s="194"/>
      <c r="CY768" s="194"/>
      <c r="CZ768" s="194"/>
      <c r="DA768" s="194"/>
      <c r="DB768" s="194"/>
      <c r="DC768" s="194"/>
      <c r="DD768" s="194"/>
      <c r="DE768" s="194"/>
      <c r="DF768" s="196"/>
      <c r="DG768" s="198"/>
      <c r="DH768" s="194"/>
      <c r="DI768" s="194"/>
    </row>
    <row r="769" spans="1:113" s="24" customFormat="1" hidden="1" x14ac:dyDescent="0.3">
      <c r="A769" s="172"/>
      <c r="B769" s="172"/>
      <c r="C769" s="172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  <c r="AE769" s="173"/>
      <c r="AF769" s="173"/>
      <c r="AG769" s="173"/>
      <c r="AH769" s="173"/>
      <c r="AI769" s="173"/>
      <c r="AJ769" s="173"/>
      <c r="AK769" s="173"/>
      <c r="AL769" s="173"/>
      <c r="AM769" s="173"/>
      <c r="AN769" s="173"/>
      <c r="AO769" s="173"/>
      <c r="AP769" s="173"/>
      <c r="AQ769" s="173"/>
      <c r="AR769" s="173"/>
      <c r="AS769" s="172"/>
      <c r="AT769" s="172"/>
      <c r="AU769" s="172"/>
      <c r="AV769" s="172"/>
      <c r="AW769" s="172"/>
      <c r="AX769" s="172"/>
      <c r="AY769" s="172"/>
      <c r="AZ769" s="172"/>
      <c r="BA769" s="172"/>
      <c r="BB769" s="172"/>
      <c r="BC769" s="172"/>
      <c r="BD769" s="172"/>
      <c r="BE769" s="172"/>
      <c r="BF769" s="172"/>
      <c r="BG769" s="172"/>
      <c r="BH769" s="172"/>
      <c r="BI769" s="172"/>
      <c r="BJ769" s="172"/>
      <c r="BK769" s="172"/>
      <c r="BL769" s="172"/>
      <c r="BM769" s="172"/>
      <c r="BN769" s="172"/>
      <c r="BO769" s="172"/>
      <c r="BP769" s="172"/>
      <c r="BQ769" s="172"/>
      <c r="BR769" s="172"/>
      <c r="BS769" s="172"/>
      <c r="BT769" s="172"/>
      <c r="BU769" s="172"/>
      <c r="BV769" s="172"/>
      <c r="BW769" s="172"/>
      <c r="BX769" s="172"/>
      <c r="BY769" s="174"/>
      <c r="BZ769" s="172"/>
      <c r="CA769" s="172"/>
      <c r="CD769" s="194"/>
      <c r="CE769" s="194"/>
      <c r="CF769" s="194"/>
      <c r="CG769" s="194"/>
      <c r="CH769" s="195"/>
      <c r="CI769" s="194"/>
      <c r="CJ769" s="194"/>
      <c r="CK769" s="194"/>
      <c r="CL769" s="196"/>
      <c r="CM769" s="196"/>
      <c r="CN769" s="194"/>
      <c r="CO769" s="197"/>
      <c r="CP769" s="196"/>
      <c r="CQ769" s="196"/>
      <c r="CR769" s="196"/>
      <c r="CS769" s="196"/>
      <c r="CT769" s="196"/>
      <c r="CU769" s="196"/>
      <c r="CV769" s="194"/>
      <c r="CW769" s="194"/>
      <c r="CX769" s="194"/>
      <c r="CY769" s="194"/>
      <c r="CZ769" s="194"/>
      <c r="DA769" s="194"/>
      <c r="DB769" s="194"/>
      <c r="DC769" s="194"/>
      <c r="DD769" s="194"/>
      <c r="DE769" s="194"/>
      <c r="DF769" s="196"/>
      <c r="DG769" s="198"/>
      <c r="DH769" s="194"/>
      <c r="DI769" s="194"/>
    </row>
    <row r="770" spans="1:113" s="24" customFormat="1" hidden="1" x14ac:dyDescent="0.3">
      <c r="A770" s="172"/>
      <c r="B770" s="172"/>
      <c r="C770" s="172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  <c r="AE770" s="173"/>
      <c r="AF770" s="173"/>
      <c r="AG770" s="173"/>
      <c r="AH770" s="173"/>
      <c r="AI770" s="173"/>
      <c r="AJ770" s="173"/>
      <c r="AK770" s="173"/>
      <c r="AL770" s="173"/>
      <c r="AM770" s="173"/>
      <c r="AN770" s="173"/>
      <c r="AO770" s="173"/>
      <c r="AP770" s="173"/>
      <c r="AQ770" s="173"/>
      <c r="AR770" s="173"/>
      <c r="AS770" s="172"/>
      <c r="AT770" s="172"/>
      <c r="AU770" s="172"/>
      <c r="AV770" s="172"/>
      <c r="AW770" s="172"/>
      <c r="AX770" s="172"/>
      <c r="AY770" s="172"/>
      <c r="AZ770" s="172"/>
      <c r="BA770" s="172"/>
      <c r="BB770" s="172"/>
      <c r="BC770" s="172"/>
      <c r="BD770" s="172"/>
      <c r="BE770" s="172"/>
      <c r="BF770" s="172"/>
      <c r="BG770" s="172"/>
      <c r="BH770" s="172"/>
      <c r="BI770" s="172"/>
      <c r="BJ770" s="172"/>
      <c r="BK770" s="172"/>
      <c r="BL770" s="172"/>
      <c r="BM770" s="172"/>
      <c r="BN770" s="172"/>
      <c r="BO770" s="172"/>
      <c r="BP770" s="172"/>
      <c r="BQ770" s="172"/>
      <c r="BR770" s="172"/>
      <c r="BS770" s="172"/>
      <c r="BT770" s="172"/>
      <c r="BU770" s="172"/>
      <c r="BV770" s="172"/>
      <c r="BW770" s="172"/>
      <c r="BX770" s="172"/>
      <c r="BY770" s="174"/>
      <c r="BZ770" s="172"/>
      <c r="CA770" s="172"/>
      <c r="CD770" s="194"/>
      <c r="CE770" s="194"/>
      <c r="CF770" s="194"/>
      <c r="CG770" s="194"/>
      <c r="CH770" s="195"/>
      <c r="CI770" s="194"/>
      <c r="CJ770" s="194"/>
      <c r="CK770" s="194"/>
      <c r="CL770" s="196"/>
      <c r="CM770" s="196"/>
      <c r="CN770" s="194"/>
      <c r="CO770" s="197"/>
      <c r="CP770" s="196"/>
      <c r="CQ770" s="196"/>
      <c r="CR770" s="196"/>
      <c r="CS770" s="196"/>
      <c r="CT770" s="196"/>
      <c r="CU770" s="196"/>
      <c r="CV770" s="194"/>
      <c r="CW770" s="194"/>
      <c r="CX770" s="194"/>
      <c r="CY770" s="194"/>
      <c r="CZ770" s="194"/>
      <c r="DA770" s="194"/>
      <c r="DB770" s="194"/>
      <c r="DC770" s="194"/>
      <c r="DD770" s="194"/>
      <c r="DE770" s="194"/>
      <c r="DF770" s="196"/>
      <c r="DG770" s="198"/>
      <c r="DH770" s="194"/>
      <c r="DI770" s="194"/>
    </row>
    <row r="771" spans="1:113" s="24" customFormat="1" hidden="1" x14ac:dyDescent="0.3">
      <c r="A771" s="172"/>
      <c r="B771" s="172"/>
      <c r="C771" s="172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  <c r="AE771" s="173"/>
      <c r="AF771" s="173"/>
      <c r="AG771" s="173"/>
      <c r="AH771" s="173"/>
      <c r="AI771" s="173"/>
      <c r="AJ771" s="173"/>
      <c r="AK771" s="173"/>
      <c r="AL771" s="173"/>
      <c r="AM771" s="173"/>
      <c r="AN771" s="173"/>
      <c r="AO771" s="173"/>
      <c r="AP771" s="173"/>
      <c r="AQ771" s="173"/>
      <c r="AR771" s="173"/>
      <c r="AS771" s="172"/>
      <c r="AT771" s="172"/>
      <c r="AU771" s="172"/>
      <c r="AV771" s="172"/>
      <c r="AW771" s="172"/>
      <c r="AX771" s="172"/>
      <c r="AY771" s="172"/>
      <c r="AZ771" s="172"/>
      <c r="BA771" s="172"/>
      <c r="BB771" s="172"/>
      <c r="BC771" s="172"/>
      <c r="BD771" s="172"/>
      <c r="BE771" s="172"/>
      <c r="BF771" s="172"/>
      <c r="BG771" s="172"/>
      <c r="BH771" s="172"/>
      <c r="BI771" s="172"/>
      <c r="BJ771" s="172"/>
      <c r="BK771" s="172"/>
      <c r="BL771" s="172"/>
      <c r="BM771" s="172"/>
      <c r="BN771" s="172"/>
      <c r="BO771" s="172"/>
      <c r="BP771" s="172"/>
      <c r="BQ771" s="172"/>
      <c r="BR771" s="172"/>
      <c r="BS771" s="172"/>
      <c r="BT771" s="172"/>
      <c r="BU771" s="172"/>
      <c r="BV771" s="172"/>
      <c r="BW771" s="172"/>
      <c r="BX771" s="172"/>
      <c r="BY771" s="174"/>
      <c r="BZ771" s="172"/>
      <c r="CA771" s="172"/>
      <c r="CD771" s="194"/>
      <c r="CE771" s="194"/>
      <c r="CF771" s="194"/>
      <c r="CG771" s="194"/>
      <c r="CH771" s="195"/>
      <c r="CI771" s="194"/>
      <c r="CJ771" s="194"/>
      <c r="CK771" s="194"/>
      <c r="CL771" s="196"/>
      <c r="CM771" s="196"/>
      <c r="CN771" s="194"/>
      <c r="CO771" s="197"/>
      <c r="CP771" s="196"/>
      <c r="CQ771" s="196"/>
      <c r="CR771" s="196"/>
      <c r="CS771" s="196"/>
      <c r="CT771" s="196"/>
      <c r="CU771" s="196"/>
      <c r="CV771" s="194"/>
      <c r="CW771" s="194"/>
      <c r="CX771" s="194"/>
      <c r="CY771" s="194"/>
      <c r="CZ771" s="194"/>
      <c r="DA771" s="194"/>
      <c r="DB771" s="194"/>
      <c r="DC771" s="194"/>
      <c r="DD771" s="194"/>
      <c r="DE771" s="194"/>
      <c r="DF771" s="196"/>
      <c r="DG771" s="198"/>
      <c r="DH771" s="194"/>
      <c r="DI771" s="194"/>
    </row>
    <row r="772" spans="1:113" s="24" customFormat="1" hidden="1" x14ac:dyDescent="0.3">
      <c r="A772" s="172"/>
      <c r="B772" s="172"/>
      <c r="C772" s="172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  <c r="AE772" s="173"/>
      <c r="AF772" s="173"/>
      <c r="AG772" s="173"/>
      <c r="AH772" s="173"/>
      <c r="AI772" s="173"/>
      <c r="AJ772" s="173"/>
      <c r="AK772" s="173"/>
      <c r="AL772" s="173"/>
      <c r="AM772" s="173"/>
      <c r="AN772" s="173"/>
      <c r="AO772" s="173"/>
      <c r="AP772" s="173"/>
      <c r="AQ772" s="173"/>
      <c r="AR772" s="173"/>
      <c r="AS772" s="172"/>
      <c r="AT772" s="172"/>
      <c r="AU772" s="172"/>
      <c r="AV772" s="172"/>
      <c r="AW772" s="172"/>
      <c r="AX772" s="172"/>
      <c r="AY772" s="172"/>
      <c r="AZ772" s="172"/>
      <c r="BA772" s="172"/>
      <c r="BB772" s="172"/>
      <c r="BC772" s="172"/>
      <c r="BD772" s="172"/>
      <c r="BE772" s="172"/>
      <c r="BF772" s="172"/>
      <c r="BG772" s="172"/>
      <c r="BH772" s="172"/>
      <c r="BI772" s="172"/>
      <c r="BJ772" s="172"/>
      <c r="BK772" s="172"/>
      <c r="BL772" s="172"/>
      <c r="BM772" s="172"/>
      <c r="BN772" s="172"/>
      <c r="BO772" s="172"/>
      <c r="BP772" s="172"/>
      <c r="BQ772" s="172"/>
      <c r="BR772" s="172"/>
      <c r="BS772" s="172"/>
      <c r="BT772" s="172"/>
      <c r="BU772" s="172"/>
      <c r="BV772" s="172"/>
      <c r="BW772" s="172"/>
      <c r="BX772" s="172"/>
      <c r="BY772" s="174"/>
      <c r="BZ772" s="172"/>
      <c r="CA772" s="172"/>
      <c r="CD772" s="194"/>
      <c r="CE772" s="194"/>
      <c r="CF772" s="194"/>
      <c r="CG772" s="194"/>
      <c r="CH772" s="195"/>
      <c r="CI772" s="194"/>
      <c r="CJ772" s="194"/>
      <c r="CK772" s="194"/>
      <c r="CL772" s="196"/>
      <c r="CM772" s="196"/>
      <c r="CN772" s="194"/>
      <c r="CO772" s="197"/>
      <c r="CP772" s="196"/>
      <c r="CQ772" s="196"/>
      <c r="CR772" s="196"/>
      <c r="CS772" s="196"/>
      <c r="CT772" s="196"/>
      <c r="CU772" s="196"/>
      <c r="CV772" s="194"/>
      <c r="CW772" s="194"/>
      <c r="CX772" s="194"/>
      <c r="CY772" s="194"/>
      <c r="CZ772" s="194"/>
      <c r="DA772" s="194"/>
      <c r="DB772" s="194"/>
      <c r="DC772" s="194"/>
      <c r="DD772" s="194"/>
      <c r="DE772" s="194"/>
      <c r="DF772" s="196"/>
      <c r="DG772" s="198"/>
      <c r="DH772" s="194"/>
      <c r="DI772" s="194"/>
    </row>
    <row r="773" spans="1:113" s="24" customFormat="1" hidden="1" x14ac:dyDescent="0.3">
      <c r="A773" s="172"/>
      <c r="B773" s="172"/>
      <c r="C773" s="172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  <c r="AE773" s="173"/>
      <c r="AF773" s="173"/>
      <c r="AG773" s="173"/>
      <c r="AH773" s="173"/>
      <c r="AI773" s="173"/>
      <c r="AJ773" s="173"/>
      <c r="AK773" s="173"/>
      <c r="AL773" s="173"/>
      <c r="AM773" s="173"/>
      <c r="AN773" s="173"/>
      <c r="AO773" s="173"/>
      <c r="AP773" s="173"/>
      <c r="AQ773" s="173"/>
      <c r="AR773" s="173"/>
      <c r="AS773" s="172"/>
      <c r="AT773" s="172"/>
      <c r="AU773" s="172"/>
      <c r="AV773" s="172"/>
      <c r="AW773" s="172"/>
      <c r="AX773" s="172"/>
      <c r="AY773" s="172"/>
      <c r="AZ773" s="172"/>
      <c r="BA773" s="172"/>
      <c r="BB773" s="172"/>
      <c r="BC773" s="172"/>
      <c r="BD773" s="172"/>
      <c r="BE773" s="172"/>
      <c r="BF773" s="172"/>
      <c r="BG773" s="172"/>
      <c r="BH773" s="172"/>
      <c r="BI773" s="172"/>
      <c r="BJ773" s="172"/>
      <c r="BK773" s="172"/>
      <c r="BL773" s="172"/>
      <c r="BM773" s="172"/>
      <c r="BN773" s="172"/>
      <c r="BO773" s="172"/>
      <c r="BP773" s="172"/>
      <c r="BQ773" s="172"/>
      <c r="BR773" s="172"/>
      <c r="BS773" s="172"/>
      <c r="BT773" s="172"/>
      <c r="BU773" s="172"/>
      <c r="BV773" s="172"/>
      <c r="BW773" s="172"/>
      <c r="BX773" s="172"/>
      <c r="BY773" s="174"/>
      <c r="BZ773" s="172"/>
      <c r="CA773" s="172"/>
      <c r="CD773" s="194"/>
      <c r="CE773" s="194"/>
      <c r="CF773" s="194"/>
      <c r="CG773" s="194"/>
      <c r="CH773" s="195"/>
      <c r="CI773" s="194"/>
      <c r="CJ773" s="194"/>
      <c r="CK773" s="194"/>
      <c r="CL773" s="196"/>
      <c r="CM773" s="196"/>
      <c r="CN773" s="194"/>
      <c r="CO773" s="197"/>
      <c r="CP773" s="196"/>
      <c r="CQ773" s="196"/>
      <c r="CR773" s="196"/>
      <c r="CS773" s="196"/>
      <c r="CT773" s="196"/>
      <c r="CU773" s="196"/>
      <c r="CV773" s="194"/>
      <c r="CW773" s="194"/>
      <c r="CX773" s="194"/>
      <c r="CY773" s="194"/>
      <c r="CZ773" s="194"/>
      <c r="DA773" s="194"/>
      <c r="DB773" s="194"/>
      <c r="DC773" s="194"/>
      <c r="DD773" s="194"/>
      <c r="DE773" s="194"/>
      <c r="DF773" s="196"/>
      <c r="DG773" s="198"/>
      <c r="DH773" s="194"/>
      <c r="DI773" s="194"/>
    </row>
    <row r="774" spans="1:113" s="24" customFormat="1" hidden="1" x14ac:dyDescent="0.3">
      <c r="A774" s="172"/>
      <c r="B774" s="172"/>
      <c r="C774" s="172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  <c r="AE774" s="173"/>
      <c r="AF774" s="173"/>
      <c r="AG774" s="173"/>
      <c r="AH774" s="173"/>
      <c r="AI774" s="173"/>
      <c r="AJ774" s="173"/>
      <c r="AK774" s="173"/>
      <c r="AL774" s="173"/>
      <c r="AM774" s="173"/>
      <c r="AN774" s="173"/>
      <c r="AO774" s="173"/>
      <c r="AP774" s="173"/>
      <c r="AQ774" s="173"/>
      <c r="AR774" s="173"/>
      <c r="AS774" s="172"/>
      <c r="AT774" s="172"/>
      <c r="AU774" s="172"/>
      <c r="AV774" s="172"/>
      <c r="AW774" s="172"/>
      <c r="AX774" s="172"/>
      <c r="AY774" s="172"/>
      <c r="AZ774" s="172"/>
      <c r="BA774" s="172"/>
      <c r="BB774" s="172"/>
      <c r="BC774" s="172"/>
      <c r="BD774" s="172"/>
      <c r="BE774" s="172"/>
      <c r="BF774" s="172"/>
      <c r="BG774" s="172"/>
      <c r="BH774" s="172"/>
      <c r="BI774" s="172"/>
      <c r="BJ774" s="172"/>
      <c r="BK774" s="172"/>
      <c r="BL774" s="172"/>
      <c r="BM774" s="172"/>
      <c r="BN774" s="172"/>
      <c r="BO774" s="172"/>
      <c r="BP774" s="172"/>
      <c r="BQ774" s="172"/>
      <c r="BR774" s="172"/>
      <c r="BS774" s="172"/>
      <c r="BT774" s="172"/>
      <c r="BU774" s="172"/>
      <c r="BV774" s="172"/>
      <c r="BW774" s="172"/>
      <c r="BX774" s="172"/>
      <c r="BY774" s="174"/>
      <c r="BZ774" s="172"/>
      <c r="CA774" s="172"/>
      <c r="CD774" s="194"/>
      <c r="CE774" s="194"/>
      <c r="CF774" s="194"/>
      <c r="CG774" s="194"/>
      <c r="CH774" s="195"/>
      <c r="CI774" s="194"/>
      <c r="CJ774" s="194"/>
      <c r="CK774" s="194"/>
      <c r="CL774" s="196"/>
      <c r="CM774" s="196"/>
      <c r="CN774" s="194"/>
      <c r="CO774" s="197"/>
      <c r="CP774" s="196"/>
      <c r="CQ774" s="196"/>
      <c r="CR774" s="196"/>
      <c r="CS774" s="196"/>
      <c r="CT774" s="196"/>
      <c r="CU774" s="196"/>
      <c r="CV774" s="194"/>
      <c r="CW774" s="194"/>
      <c r="CX774" s="194"/>
      <c r="CY774" s="194"/>
      <c r="CZ774" s="194"/>
      <c r="DA774" s="194"/>
      <c r="DB774" s="194"/>
      <c r="DC774" s="194"/>
      <c r="DD774" s="194"/>
      <c r="DE774" s="194"/>
      <c r="DF774" s="196"/>
      <c r="DG774" s="198"/>
      <c r="DH774" s="194"/>
      <c r="DI774" s="194"/>
    </row>
    <row r="775" spans="1:113" s="24" customFormat="1" hidden="1" x14ac:dyDescent="0.3">
      <c r="A775" s="172"/>
      <c r="B775" s="172"/>
      <c r="C775" s="172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  <c r="AE775" s="173"/>
      <c r="AF775" s="173"/>
      <c r="AG775" s="173"/>
      <c r="AH775" s="173"/>
      <c r="AI775" s="173"/>
      <c r="AJ775" s="173"/>
      <c r="AK775" s="173"/>
      <c r="AL775" s="173"/>
      <c r="AM775" s="173"/>
      <c r="AN775" s="173"/>
      <c r="AO775" s="173"/>
      <c r="AP775" s="173"/>
      <c r="AQ775" s="173"/>
      <c r="AR775" s="173"/>
      <c r="AS775" s="172"/>
      <c r="AT775" s="172"/>
      <c r="AU775" s="172"/>
      <c r="AV775" s="172"/>
      <c r="AW775" s="172"/>
      <c r="AX775" s="172"/>
      <c r="AY775" s="172"/>
      <c r="AZ775" s="172"/>
      <c r="BA775" s="172"/>
      <c r="BB775" s="172"/>
      <c r="BC775" s="172"/>
      <c r="BD775" s="172"/>
      <c r="BE775" s="172"/>
      <c r="BF775" s="172"/>
      <c r="BG775" s="172"/>
      <c r="BH775" s="172"/>
      <c r="BI775" s="172"/>
      <c r="BJ775" s="172"/>
      <c r="BK775" s="172"/>
      <c r="BL775" s="172"/>
      <c r="BM775" s="172"/>
      <c r="BN775" s="172"/>
      <c r="BO775" s="172"/>
      <c r="BP775" s="172"/>
      <c r="BQ775" s="172"/>
      <c r="BR775" s="172"/>
      <c r="BS775" s="172"/>
      <c r="BT775" s="172"/>
      <c r="BU775" s="172"/>
      <c r="BV775" s="172"/>
      <c r="BW775" s="172"/>
      <c r="BX775" s="172"/>
      <c r="BY775" s="174"/>
      <c r="BZ775" s="172"/>
      <c r="CA775" s="172"/>
      <c r="CD775" s="194"/>
      <c r="CE775" s="194"/>
      <c r="CF775" s="194"/>
      <c r="CG775" s="194"/>
      <c r="CH775" s="195"/>
      <c r="CI775" s="194"/>
      <c r="CJ775" s="194"/>
      <c r="CK775" s="194"/>
      <c r="CL775" s="196"/>
      <c r="CM775" s="196"/>
      <c r="CN775" s="194"/>
      <c r="CO775" s="197"/>
      <c r="CP775" s="196"/>
      <c r="CQ775" s="196"/>
      <c r="CR775" s="196"/>
      <c r="CS775" s="196"/>
      <c r="CT775" s="196"/>
      <c r="CU775" s="196"/>
      <c r="CV775" s="194"/>
      <c r="CW775" s="194"/>
      <c r="CX775" s="194"/>
      <c r="CY775" s="194"/>
      <c r="CZ775" s="194"/>
      <c r="DA775" s="194"/>
      <c r="DB775" s="194"/>
      <c r="DC775" s="194"/>
      <c r="DD775" s="194"/>
      <c r="DE775" s="194"/>
      <c r="DF775" s="196"/>
      <c r="DG775" s="198"/>
      <c r="DH775" s="194"/>
      <c r="DI775" s="194"/>
    </row>
    <row r="776" spans="1:113" s="24" customFormat="1" hidden="1" x14ac:dyDescent="0.3">
      <c r="A776" s="172"/>
      <c r="B776" s="172"/>
      <c r="C776" s="172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  <c r="AE776" s="173"/>
      <c r="AF776" s="173"/>
      <c r="AG776" s="173"/>
      <c r="AH776" s="173"/>
      <c r="AI776" s="173"/>
      <c r="AJ776" s="173"/>
      <c r="AK776" s="173"/>
      <c r="AL776" s="173"/>
      <c r="AM776" s="173"/>
      <c r="AN776" s="173"/>
      <c r="AO776" s="173"/>
      <c r="AP776" s="173"/>
      <c r="AQ776" s="173"/>
      <c r="AR776" s="173"/>
      <c r="AS776" s="172"/>
      <c r="AT776" s="172"/>
      <c r="AU776" s="172"/>
      <c r="AV776" s="172"/>
      <c r="AW776" s="172"/>
      <c r="AX776" s="172"/>
      <c r="AY776" s="172"/>
      <c r="AZ776" s="172"/>
      <c r="BA776" s="172"/>
      <c r="BB776" s="172"/>
      <c r="BC776" s="172"/>
      <c r="BD776" s="172"/>
      <c r="BE776" s="172"/>
      <c r="BF776" s="172"/>
      <c r="BG776" s="172"/>
      <c r="BH776" s="172"/>
      <c r="BI776" s="172"/>
      <c r="BJ776" s="172"/>
      <c r="BK776" s="172"/>
      <c r="BL776" s="172"/>
      <c r="BM776" s="172"/>
      <c r="BN776" s="172"/>
      <c r="BO776" s="172"/>
      <c r="BP776" s="172"/>
      <c r="BQ776" s="172"/>
      <c r="BR776" s="172"/>
      <c r="BS776" s="172"/>
      <c r="BT776" s="172"/>
      <c r="BU776" s="172"/>
      <c r="BV776" s="172"/>
      <c r="BW776" s="172"/>
      <c r="BX776" s="172"/>
      <c r="BY776" s="174"/>
      <c r="BZ776" s="172"/>
      <c r="CA776" s="172"/>
      <c r="CD776" s="194"/>
      <c r="CE776" s="194"/>
      <c r="CF776" s="194"/>
      <c r="CG776" s="194"/>
      <c r="CH776" s="195"/>
      <c r="CI776" s="194"/>
      <c r="CJ776" s="194"/>
      <c r="CK776" s="194"/>
      <c r="CL776" s="196"/>
      <c r="CM776" s="196"/>
      <c r="CN776" s="194"/>
      <c r="CO776" s="197"/>
      <c r="CP776" s="196"/>
      <c r="CQ776" s="196"/>
      <c r="CR776" s="196"/>
      <c r="CS776" s="196"/>
      <c r="CT776" s="196"/>
      <c r="CU776" s="196"/>
      <c r="CV776" s="194"/>
      <c r="CW776" s="194"/>
      <c r="CX776" s="194"/>
      <c r="CY776" s="194"/>
      <c r="CZ776" s="194"/>
      <c r="DA776" s="194"/>
      <c r="DB776" s="194"/>
      <c r="DC776" s="194"/>
      <c r="DD776" s="194"/>
      <c r="DE776" s="194"/>
      <c r="DF776" s="196"/>
      <c r="DG776" s="198"/>
      <c r="DH776" s="194"/>
      <c r="DI776" s="194"/>
    </row>
    <row r="777" spans="1:113" s="24" customFormat="1" hidden="1" x14ac:dyDescent="0.3">
      <c r="A777" s="172"/>
      <c r="B777" s="172"/>
      <c r="C777" s="172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  <c r="AE777" s="173"/>
      <c r="AF777" s="173"/>
      <c r="AG777" s="173"/>
      <c r="AH777" s="173"/>
      <c r="AI777" s="173"/>
      <c r="AJ777" s="173"/>
      <c r="AK777" s="173"/>
      <c r="AL777" s="173"/>
      <c r="AM777" s="173"/>
      <c r="AN777" s="173"/>
      <c r="AO777" s="173"/>
      <c r="AP777" s="173"/>
      <c r="AQ777" s="173"/>
      <c r="AR777" s="173"/>
      <c r="AS777" s="172"/>
      <c r="AT777" s="172"/>
      <c r="AU777" s="172"/>
      <c r="AV777" s="172"/>
      <c r="AW777" s="172"/>
      <c r="AX777" s="172"/>
      <c r="AY777" s="172"/>
      <c r="AZ777" s="172"/>
      <c r="BA777" s="172"/>
      <c r="BB777" s="172"/>
      <c r="BC777" s="172"/>
      <c r="BD777" s="172"/>
      <c r="BE777" s="172"/>
      <c r="BF777" s="172"/>
      <c r="BG777" s="172"/>
      <c r="BH777" s="172"/>
      <c r="BI777" s="172"/>
      <c r="BJ777" s="172"/>
      <c r="BK777" s="172"/>
      <c r="BL777" s="172"/>
      <c r="BM777" s="172"/>
      <c r="BN777" s="172"/>
      <c r="BO777" s="172"/>
      <c r="BP777" s="172"/>
      <c r="BQ777" s="172"/>
      <c r="BR777" s="172"/>
      <c r="BS777" s="172"/>
      <c r="BT777" s="172"/>
      <c r="BU777" s="172"/>
      <c r="BV777" s="172"/>
      <c r="BW777" s="172"/>
      <c r="BX777" s="172"/>
      <c r="BY777" s="174"/>
      <c r="BZ777" s="172"/>
      <c r="CA777" s="172"/>
      <c r="CD777" s="194"/>
      <c r="CE777" s="194"/>
      <c r="CF777" s="194"/>
      <c r="CG777" s="194"/>
      <c r="CH777" s="195"/>
      <c r="CI777" s="194"/>
      <c r="CJ777" s="194"/>
      <c r="CK777" s="194"/>
      <c r="CL777" s="196"/>
      <c r="CM777" s="196"/>
      <c r="CN777" s="194"/>
      <c r="CO777" s="197"/>
      <c r="CP777" s="196"/>
      <c r="CQ777" s="196"/>
      <c r="CR777" s="196"/>
      <c r="CS777" s="196"/>
      <c r="CT777" s="196"/>
      <c r="CU777" s="196"/>
      <c r="CV777" s="194"/>
      <c r="CW777" s="194"/>
      <c r="CX777" s="194"/>
      <c r="CY777" s="194"/>
      <c r="CZ777" s="194"/>
      <c r="DA777" s="194"/>
      <c r="DB777" s="194"/>
      <c r="DC777" s="194"/>
      <c r="DD777" s="194"/>
      <c r="DE777" s="194"/>
      <c r="DF777" s="196"/>
      <c r="DG777" s="198"/>
      <c r="DH777" s="194"/>
      <c r="DI777" s="194"/>
    </row>
    <row r="778" spans="1:113" s="24" customFormat="1" hidden="1" x14ac:dyDescent="0.3">
      <c r="A778" s="172"/>
      <c r="B778" s="172"/>
      <c r="C778" s="172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  <c r="AE778" s="173"/>
      <c r="AF778" s="173"/>
      <c r="AG778" s="173"/>
      <c r="AH778" s="173"/>
      <c r="AI778" s="173"/>
      <c r="AJ778" s="173"/>
      <c r="AK778" s="173"/>
      <c r="AL778" s="173"/>
      <c r="AM778" s="173"/>
      <c r="AN778" s="173"/>
      <c r="AO778" s="173"/>
      <c r="AP778" s="173"/>
      <c r="AQ778" s="173"/>
      <c r="AR778" s="173"/>
      <c r="AS778" s="172"/>
      <c r="AT778" s="172"/>
      <c r="AU778" s="172"/>
      <c r="AV778" s="172"/>
      <c r="AW778" s="172"/>
      <c r="AX778" s="172"/>
      <c r="AY778" s="172"/>
      <c r="AZ778" s="172"/>
      <c r="BA778" s="172"/>
      <c r="BB778" s="172"/>
      <c r="BC778" s="172"/>
      <c r="BD778" s="172"/>
      <c r="BE778" s="172"/>
      <c r="BF778" s="172"/>
      <c r="BG778" s="172"/>
      <c r="BH778" s="172"/>
      <c r="BI778" s="172"/>
      <c r="BJ778" s="172"/>
      <c r="BK778" s="172"/>
      <c r="BL778" s="172"/>
      <c r="BM778" s="172"/>
      <c r="BN778" s="172"/>
      <c r="BO778" s="172"/>
      <c r="BP778" s="172"/>
      <c r="BQ778" s="172"/>
      <c r="BR778" s="172"/>
      <c r="BS778" s="172"/>
      <c r="BT778" s="172"/>
      <c r="BU778" s="172"/>
      <c r="BV778" s="172"/>
      <c r="BW778" s="172"/>
      <c r="BX778" s="172"/>
      <c r="BY778" s="174"/>
      <c r="BZ778" s="172"/>
      <c r="CA778" s="172"/>
      <c r="CD778" s="194"/>
      <c r="CE778" s="194"/>
      <c r="CF778" s="194"/>
      <c r="CG778" s="194"/>
      <c r="CH778" s="195"/>
      <c r="CI778" s="194"/>
      <c r="CJ778" s="194"/>
      <c r="CK778" s="194"/>
      <c r="CL778" s="196"/>
      <c r="CM778" s="196"/>
      <c r="CN778" s="194"/>
      <c r="CO778" s="197"/>
      <c r="CP778" s="196"/>
      <c r="CQ778" s="196"/>
      <c r="CR778" s="196"/>
      <c r="CS778" s="196"/>
      <c r="CT778" s="196"/>
      <c r="CU778" s="196"/>
      <c r="CV778" s="194"/>
      <c r="CW778" s="194"/>
      <c r="CX778" s="194"/>
      <c r="CY778" s="194"/>
      <c r="CZ778" s="194"/>
      <c r="DA778" s="194"/>
      <c r="DB778" s="194"/>
      <c r="DC778" s="194"/>
      <c r="DD778" s="194"/>
      <c r="DE778" s="194"/>
      <c r="DF778" s="196"/>
      <c r="DG778" s="198"/>
      <c r="DH778" s="194"/>
      <c r="DI778" s="194"/>
    </row>
    <row r="779" spans="1:113" s="24" customFormat="1" hidden="1" x14ac:dyDescent="0.3">
      <c r="A779" s="172"/>
      <c r="B779" s="172"/>
      <c r="C779" s="172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  <c r="AE779" s="173"/>
      <c r="AF779" s="173"/>
      <c r="AG779" s="173"/>
      <c r="AH779" s="173"/>
      <c r="AI779" s="173"/>
      <c r="AJ779" s="173"/>
      <c r="AK779" s="173"/>
      <c r="AL779" s="173"/>
      <c r="AM779" s="173"/>
      <c r="AN779" s="173"/>
      <c r="AO779" s="173"/>
      <c r="AP779" s="173"/>
      <c r="AQ779" s="173"/>
      <c r="AR779" s="173"/>
      <c r="AS779" s="172"/>
      <c r="AT779" s="172"/>
      <c r="AU779" s="172"/>
      <c r="AV779" s="172"/>
      <c r="AW779" s="172"/>
      <c r="AX779" s="172"/>
      <c r="AY779" s="172"/>
      <c r="AZ779" s="172"/>
      <c r="BA779" s="172"/>
      <c r="BB779" s="172"/>
      <c r="BC779" s="172"/>
      <c r="BD779" s="172"/>
      <c r="BE779" s="172"/>
      <c r="BF779" s="172"/>
      <c r="BG779" s="172"/>
      <c r="BH779" s="172"/>
      <c r="BI779" s="172"/>
      <c r="BJ779" s="172"/>
      <c r="BK779" s="172"/>
      <c r="BL779" s="172"/>
      <c r="BM779" s="172"/>
      <c r="BN779" s="172"/>
      <c r="BO779" s="172"/>
      <c r="BP779" s="172"/>
      <c r="BQ779" s="172"/>
      <c r="BR779" s="172"/>
      <c r="BS779" s="172"/>
      <c r="BT779" s="172"/>
      <c r="BU779" s="172"/>
      <c r="BV779" s="172"/>
      <c r="BW779" s="172"/>
      <c r="BX779" s="172"/>
      <c r="BY779" s="174"/>
      <c r="BZ779" s="172"/>
      <c r="CA779" s="172"/>
      <c r="CD779" s="194"/>
      <c r="CE779" s="194"/>
      <c r="CF779" s="194"/>
      <c r="CG779" s="194"/>
      <c r="CH779" s="195"/>
      <c r="CI779" s="194"/>
      <c r="CJ779" s="194"/>
      <c r="CK779" s="194"/>
      <c r="CL779" s="196"/>
      <c r="CM779" s="196"/>
      <c r="CN779" s="194"/>
      <c r="CO779" s="197"/>
      <c r="CP779" s="196"/>
      <c r="CQ779" s="196"/>
      <c r="CR779" s="196"/>
      <c r="CS779" s="196"/>
      <c r="CT779" s="196"/>
      <c r="CU779" s="196"/>
      <c r="CV779" s="194"/>
      <c r="CW779" s="194"/>
      <c r="CX779" s="194"/>
      <c r="CY779" s="194"/>
      <c r="CZ779" s="194"/>
      <c r="DA779" s="194"/>
      <c r="DB779" s="194"/>
      <c r="DC779" s="194"/>
      <c r="DD779" s="194"/>
      <c r="DE779" s="194"/>
      <c r="DF779" s="196"/>
      <c r="DG779" s="198"/>
      <c r="DH779" s="194"/>
      <c r="DI779" s="194"/>
    </row>
    <row r="780" spans="1:113" s="24" customFormat="1" hidden="1" x14ac:dyDescent="0.3">
      <c r="A780" s="172"/>
      <c r="B780" s="172"/>
      <c r="C780" s="172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  <c r="AE780" s="173"/>
      <c r="AF780" s="173"/>
      <c r="AG780" s="173"/>
      <c r="AH780" s="173"/>
      <c r="AI780" s="173"/>
      <c r="AJ780" s="173"/>
      <c r="AK780" s="173"/>
      <c r="AL780" s="173"/>
      <c r="AM780" s="173"/>
      <c r="AN780" s="173"/>
      <c r="AO780" s="173"/>
      <c r="AP780" s="173"/>
      <c r="AQ780" s="173"/>
      <c r="AR780" s="173"/>
      <c r="AS780" s="172"/>
      <c r="AT780" s="172"/>
      <c r="AU780" s="172"/>
      <c r="AV780" s="172"/>
      <c r="AW780" s="172"/>
      <c r="AX780" s="172"/>
      <c r="AY780" s="172"/>
      <c r="AZ780" s="172"/>
      <c r="BA780" s="172"/>
      <c r="BB780" s="172"/>
      <c r="BC780" s="172"/>
      <c r="BD780" s="172"/>
      <c r="BE780" s="172"/>
      <c r="BF780" s="172"/>
      <c r="BG780" s="172"/>
      <c r="BH780" s="172"/>
      <c r="BI780" s="172"/>
      <c r="BJ780" s="172"/>
      <c r="BK780" s="172"/>
      <c r="BL780" s="172"/>
      <c r="BM780" s="172"/>
      <c r="BN780" s="172"/>
      <c r="BO780" s="172"/>
      <c r="BP780" s="172"/>
      <c r="BQ780" s="172"/>
      <c r="BR780" s="172"/>
      <c r="BS780" s="172"/>
      <c r="BT780" s="172"/>
      <c r="BU780" s="172"/>
      <c r="BV780" s="172"/>
      <c r="BW780" s="172"/>
      <c r="BX780" s="172"/>
      <c r="BY780" s="174"/>
      <c r="BZ780" s="172"/>
      <c r="CA780" s="172"/>
      <c r="CD780" s="194"/>
      <c r="CE780" s="194"/>
      <c r="CF780" s="194"/>
      <c r="CG780" s="194"/>
      <c r="CH780" s="195"/>
      <c r="CI780" s="194"/>
      <c r="CJ780" s="194"/>
      <c r="CK780" s="194"/>
      <c r="CL780" s="196"/>
      <c r="CM780" s="196"/>
      <c r="CN780" s="194"/>
      <c r="CO780" s="197"/>
      <c r="CP780" s="196"/>
      <c r="CQ780" s="196"/>
      <c r="CR780" s="196"/>
      <c r="CS780" s="196"/>
      <c r="CT780" s="196"/>
      <c r="CU780" s="196"/>
      <c r="CV780" s="194"/>
      <c r="CW780" s="194"/>
      <c r="CX780" s="194"/>
      <c r="CY780" s="194"/>
      <c r="CZ780" s="194"/>
      <c r="DA780" s="194"/>
      <c r="DB780" s="194"/>
      <c r="DC780" s="194"/>
      <c r="DD780" s="194"/>
      <c r="DE780" s="194"/>
      <c r="DF780" s="196"/>
      <c r="DG780" s="198"/>
      <c r="DH780" s="194"/>
      <c r="DI780" s="194"/>
    </row>
    <row r="781" spans="1:113" s="24" customFormat="1" hidden="1" x14ac:dyDescent="0.3">
      <c r="A781" s="172"/>
      <c r="B781" s="172"/>
      <c r="C781" s="172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  <c r="AE781" s="173"/>
      <c r="AF781" s="173"/>
      <c r="AG781" s="173"/>
      <c r="AH781" s="173"/>
      <c r="AI781" s="173"/>
      <c r="AJ781" s="173"/>
      <c r="AK781" s="173"/>
      <c r="AL781" s="173"/>
      <c r="AM781" s="173"/>
      <c r="AN781" s="173"/>
      <c r="AO781" s="173"/>
      <c r="AP781" s="173"/>
      <c r="AQ781" s="173"/>
      <c r="AR781" s="173"/>
      <c r="AS781" s="172"/>
      <c r="AT781" s="172"/>
      <c r="AU781" s="172"/>
      <c r="AV781" s="172"/>
      <c r="AW781" s="172"/>
      <c r="AX781" s="172"/>
      <c r="AY781" s="172"/>
      <c r="AZ781" s="172"/>
      <c r="BA781" s="172"/>
      <c r="BB781" s="172"/>
      <c r="BC781" s="172"/>
      <c r="BD781" s="172"/>
      <c r="BE781" s="172"/>
      <c r="BF781" s="172"/>
      <c r="BG781" s="172"/>
      <c r="BH781" s="172"/>
      <c r="BI781" s="172"/>
      <c r="BJ781" s="172"/>
      <c r="BK781" s="172"/>
      <c r="BL781" s="172"/>
      <c r="BM781" s="172"/>
      <c r="BN781" s="172"/>
      <c r="BO781" s="172"/>
      <c r="BP781" s="172"/>
      <c r="BQ781" s="172"/>
      <c r="BR781" s="172"/>
      <c r="BS781" s="172"/>
      <c r="BT781" s="172"/>
      <c r="BU781" s="172"/>
      <c r="BV781" s="172"/>
      <c r="BW781" s="172"/>
      <c r="BX781" s="172"/>
      <c r="BY781" s="174"/>
      <c r="BZ781" s="172"/>
      <c r="CA781" s="172"/>
      <c r="CD781" s="194"/>
      <c r="CE781" s="194"/>
      <c r="CF781" s="194"/>
      <c r="CG781" s="194"/>
      <c r="CH781" s="195"/>
      <c r="CI781" s="194"/>
      <c r="CJ781" s="194"/>
      <c r="CK781" s="194"/>
      <c r="CL781" s="196"/>
      <c r="CM781" s="196"/>
      <c r="CN781" s="194"/>
      <c r="CO781" s="197"/>
      <c r="CP781" s="196"/>
      <c r="CQ781" s="196"/>
      <c r="CR781" s="196"/>
      <c r="CS781" s="196"/>
      <c r="CT781" s="196"/>
      <c r="CU781" s="196"/>
      <c r="CV781" s="194"/>
      <c r="CW781" s="194"/>
      <c r="CX781" s="194"/>
      <c r="CY781" s="194"/>
      <c r="CZ781" s="194"/>
      <c r="DA781" s="194"/>
      <c r="DB781" s="194"/>
      <c r="DC781" s="194"/>
      <c r="DD781" s="194"/>
      <c r="DE781" s="194"/>
      <c r="DF781" s="196"/>
      <c r="DG781" s="198"/>
      <c r="DH781" s="194"/>
      <c r="DI781" s="194"/>
    </row>
    <row r="782" spans="1:113" s="24" customFormat="1" hidden="1" x14ac:dyDescent="0.3">
      <c r="A782" s="172"/>
      <c r="B782" s="172"/>
      <c r="C782" s="172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  <c r="AE782" s="173"/>
      <c r="AF782" s="173"/>
      <c r="AG782" s="173"/>
      <c r="AH782" s="173"/>
      <c r="AI782" s="173"/>
      <c r="AJ782" s="173"/>
      <c r="AK782" s="173"/>
      <c r="AL782" s="173"/>
      <c r="AM782" s="173"/>
      <c r="AN782" s="173"/>
      <c r="AO782" s="173"/>
      <c r="AP782" s="173"/>
      <c r="AQ782" s="173"/>
      <c r="AR782" s="173"/>
      <c r="AS782" s="172"/>
      <c r="AT782" s="172"/>
      <c r="AU782" s="172"/>
      <c r="AV782" s="172"/>
      <c r="AW782" s="172"/>
      <c r="AX782" s="172"/>
      <c r="AY782" s="172"/>
      <c r="AZ782" s="172"/>
      <c r="BA782" s="172"/>
      <c r="BB782" s="172"/>
      <c r="BC782" s="172"/>
      <c r="BD782" s="172"/>
      <c r="BE782" s="172"/>
      <c r="BF782" s="172"/>
      <c r="BG782" s="172"/>
      <c r="BH782" s="172"/>
      <c r="BI782" s="172"/>
      <c r="BJ782" s="172"/>
      <c r="BK782" s="172"/>
      <c r="BL782" s="172"/>
      <c r="BM782" s="172"/>
      <c r="BN782" s="172"/>
      <c r="BO782" s="172"/>
      <c r="BP782" s="172"/>
      <c r="BQ782" s="172"/>
      <c r="BR782" s="172"/>
      <c r="BS782" s="172"/>
      <c r="BT782" s="172"/>
      <c r="BU782" s="172"/>
      <c r="BV782" s="172"/>
      <c r="BW782" s="172"/>
      <c r="BX782" s="172"/>
      <c r="BY782" s="174"/>
      <c r="BZ782" s="172"/>
      <c r="CA782" s="172"/>
      <c r="CD782" s="194"/>
      <c r="CE782" s="194"/>
      <c r="CF782" s="194"/>
      <c r="CG782" s="194"/>
      <c r="CH782" s="195"/>
      <c r="CI782" s="194"/>
      <c r="CJ782" s="194"/>
      <c r="CK782" s="194"/>
      <c r="CL782" s="196"/>
      <c r="CM782" s="196"/>
      <c r="CN782" s="194"/>
      <c r="CO782" s="197"/>
      <c r="CP782" s="196"/>
      <c r="CQ782" s="196"/>
      <c r="CR782" s="196"/>
      <c r="CS782" s="196"/>
      <c r="CT782" s="196"/>
      <c r="CU782" s="196"/>
      <c r="CV782" s="194"/>
      <c r="CW782" s="194"/>
      <c r="CX782" s="194"/>
      <c r="CY782" s="194"/>
      <c r="CZ782" s="194"/>
      <c r="DA782" s="194"/>
      <c r="DB782" s="194"/>
      <c r="DC782" s="194"/>
      <c r="DD782" s="194"/>
      <c r="DE782" s="194"/>
      <c r="DF782" s="196"/>
      <c r="DG782" s="198"/>
      <c r="DH782" s="194"/>
      <c r="DI782" s="194"/>
    </row>
    <row r="783" spans="1:113" s="24" customFormat="1" hidden="1" x14ac:dyDescent="0.3">
      <c r="A783" s="172"/>
      <c r="B783" s="172"/>
      <c r="C783" s="172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  <c r="AE783" s="173"/>
      <c r="AF783" s="173"/>
      <c r="AG783" s="173"/>
      <c r="AH783" s="173"/>
      <c r="AI783" s="173"/>
      <c r="AJ783" s="173"/>
      <c r="AK783" s="173"/>
      <c r="AL783" s="173"/>
      <c r="AM783" s="173"/>
      <c r="AN783" s="173"/>
      <c r="AO783" s="173"/>
      <c r="AP783" s="173"/>
      <c r="AQ783" s="173"/>
      <c r="AR783" s="173"/>
      <c r="AS783" s="172"/>
      <c r="AT783" s="172"/>
      <c r="AU783" s="172"/>
      <c r="AV783" s="172"/>
      <c r="AW783" s="172"/>
      <c r="AX783" s="172"/>
      <c r="AY783" s="172"/>
      <c r="AZ783" s="172"/>
      <c r="BA783" s="172"/>
      <c r="BB783" s="172"/>
      <c r="BC783" s="172"/>
      <c r="BD783" s="172"/>
      <c r="BE783" s="172"/>
      <c r="BF783" s="172"/>
      <c r="BG783" s="172"/>
      <c r="BH783" s="172"/>
      <c r="BI783" s="172"/>
      <c r="BJ783" s="172"/>
      <c r="BK783" s="172"/>
      <c r="BL783" s="172"/>
      <c r="BM783" s="172"/>
      <c r="BN783" s="172"/>
      <c r="BO783" s="172"/>
      <c r="BP783" s="172"/>
      <c r="BQ783" s="172"/>
      <c r="BR783" s="172"/>
      <c r="BS783" s="172"/>
      <c r="BT783" s="172"/>
      <c r="BU783" s="172"/>
      <c r="BV783" s="172"/>
      <c r="BW783" s="172"/>
      <c r="BX783" s="172"/>
      <c r="BY783" s="174"/>
      <c r="BZ783" s="172"/>
      <c r="CA783" s="172"/>
      <c r="CD783" s="194"/>
      <c r="CE783" s="194"/>
      <c r="CF783" s="194"/>
      <c r="CG783" s="194"/>
      <c r="CH783" s="195"/>
      <c r="CI783" s="194"/>
      <c r="CJ783" s="194"/>
      <c r="CK783" s="194"/>
      <c r="CL783" s="196"/>
      <c r="CM783" s="196"/>
      <c r="CN783" s="194"/>
      <c r="CO783" s="197"/>
      <c r="CP783" s="196"/>
      <c r="CQ783" s="196"/>
      <c r="CR783" s="196"/>
      <c r="CS783" s="196"/>
      <c r="CT783" s="196"/>
      <c r="CU783" s="196"/>
      <c r="CV783" s="194"/>
      <c r="CW783" s="194"/>
      <c r="CX783" s="194"/>
      <c r="CY783" s="194"/>
      <c r="CZ783" s="194"/>
      <c r="DA783" s="194"/>
      <c r="DB783" s="194"/>
      <c r="DC783" s="194"/>
      <c r="DD783" s="194"/>
      <c r="DE783" s="194"/>
      <c r="DF783" s="196"/>
      <c r="DG783" s="198"/>
      <c r="DH783" s="194"/>
      <c r="DI783" s="194"/>
    </row>
    <row r="784" spans="1:113" s="24" customFormat="1" hidden="1" x14ac:dyDescent="0.3">
      <c r="A784" s="172"/>
      <c r="B784" s="172"/>
      <c r="C784" s="172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  <c r="AE784" s="173"/>
      <c r="AF784" s="173"/>
      <c r="AG784" s="173"/>
      <c r="AH784" s="173"/>
      <c r="AI784" s="173"/>
      <c r="AJ784" s="173"/>
      <c r="AK784" s="173"/>
      <c r="AL784" s="173"/>
      <c r="AM784" s="173"/>
      <c r="AN784" s="173"/>
      <c r="AO784" s="173"/>
      <c r="AP784" s="173"/>
      <c r="AQ784" s="173"/>
      <c r="AR784" s="173"/>
      <c r="AS784" s="172"/>
      <c r="AT784" s="172"/>
      <c r="AU784" s="172"/>
      <c r="AV784" s="172"/>
      <c r="AW784" s="172"/>
      <c r="AX784" s="172"/>
      <c r="AY784" s="172"/>
      <c r="AZ784" s="172"/>
      <c r="BA784" s="172"/>
      <c r="BB784" s="172"/>
      <c r="BC784" s="172"/>
      <c r="BD784" s="172"/>
      <c r="BE784" s="172"/>
      <c r="BF784" s="172"/>
      <c r="BG784" s="172"/>
      <c r="BH784" s="172"/>
      <c r="BI784" s="172"/>
      <c r="BJ784" s="172"/>
      <c r="BK784" s="172"/>
      <c r="BL784" s="172"/>
      <c r="BM784" s="172"/>
      <c r="BN784" s="172"/>
      <c r="BO784" s="172"/>
      <c r="BP784" s="172"/>
      <c r="BQ784" s="172"/>
      <c r="BR784" s="172"/>
      <c r="BS784" s="172"/>
      <c r="BT784" s="172"/>
      <c r="BU784" s="172"/>
      <c r="BV784" s="172"/>
      <c r="BW784" s="172"/>
      <c r="BX784" s="172"/>
      <c r="BY784" s="174"/>
      <c r="BZ784" s="172"/>
      <c r="CA784" s="172"/>
      <c r="CD784" s="194"/>
      <c r="CE784" s="194"/>
      <c r="CF784" s="194"/>
      <c r="CG784" s="194"/>
      <c r="CH784" s="195"/>
      <c r="CI784" s="194"/>
      <c r="CJ784" s="194"/>
      <c r="CK784" s="194"/>
      <c r="CL784" s="196"/>
      <c r="CM784" s="196"/>
      <c r="CN784" s="194"/>
      <c r="CO784" s="197"/>
      <c r="CP784" s="196"/>
      <c r="CQ784" s="196"/>
      <c r="CR784" s="196"/>
      <c r="CS784" s="196"/>
      <c r="CT784" s="196"/>
      <c r="CU784" s="196"/>
      <c r="CV784" s="194"/>
      <c r="CW784" s="194"/>
      <c r="CX784" s="194"/>
      <c r="CY784" s="194"/>
      <c r="CZ784" s="194"/>
      <c r="DA784" s="194"/>
      <c r="DB784" s="194"/>
      <c r="DC784" s="194"/>
      <c r="DD784" s="194"/>
      <c r="DE784" s="194"/>
      <c r="DF784" s="196"/>
      <c r="DG784" s="198"/>
      <c r="DH784" s="194"/>
      <c r="DI784" s="194"/>
    </row>
    <row r="785" spans="1:113" s="24" customFormat="1" hidden="1" x14ac:dyDescent="0.3">
      <c r="A785" s="172"/>
      <c r="B785" s="172"/>
      <c r="C785" s="172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  <c r="AE785" s="173"/>
      <c r="AF785" s="173"/>
      <c r="AG785" s="173"/>
      <c r="AH785" s="173"/>
      <c r="AI785" s="173"/>
      <c r="AJ785" s="173"/>
      <c r="AK785" s="173"/>
      <c r="AL785" s="173"/>
      <c r="AM785" s="173"/>
      <c r="AN785" s="173"/>
      <c r="AO785" s="173"/>
      <c r="AP785" s="173"/>
      <c r="AQ785" s="173"/>
      <c r="AR785" s="173"/>
      <c r="AS785" s="172"/>
      <c r="AT785" s="172"/>
      <c r="AU785" s="172"/>
      <c r="AV785" s="172"/>
      <c r="AW785" s="172"/>
      <c r="AX785" s="172"/>
      <c r="AY785" s="172"/>
      <c r="AZ785" s="172"/>
      <c r="BA785" s="172"/>
      <c r="BB785" s="172"/>
      <c r="BC785" s="172"/>
      <c r="BD785" s="172"/>
      <c r="BE785" s="172"/>
      <c r="BF785" s="172"/>
      <c r="BG785" s="172"/>
      <c r="BH785" s="172"/>
      <c r="BI785" s="172"/>
      <c r="BJ785" s="172"/>
      <c r="BK785" s="172"/>
      <c r="BL785" s="172"/>
      <c r="BM785" s="172"/>
      <c r="BN785" s="172"/>
      <c r="BO785" s="172"/>
      <c r="BP785" s="172"/>
      <c r="BQ785" s="172"/>
      <c r="BR785" s="172"/>
      <c r="BS785" s="172"/>
      <c r="BT785" s="172"/>
      <c r="BU785" s="172"/>
      <c r="BV785" s="172"/>
      <c r="BW785" s="172"/>
      <c r="BX785" s="172"/>
      <c r="BY785" s="174"/>
      <c r="BZ785" s="172"/>
      <c r="CA785" s="172"/>
      <c r="CD785" s="194"/>
      <c r="CE785" s="194"/>
      <c r="CF785" s="194"/>
      <c r="CG785" s="194"/>
      <c r="CH785" s="195"/>
      <c r="CI785" s="194"/>
      <c r="CJ785" s="194"/>
      <c r="CK785" s="194"/>
      <c r="CL785" s="196"/>
      <c r="CM785" s="196"/>
      <c r="CN785" s="194"/>
      <c r="CO785" s="197"/>
      <c r="CP785" s="196"/>
      <c r="CQ785" s="196"/>
      <c r="CR785" s="196"/>
      <c r="CS785" s="196"/>
      <c r="CT785" s="196"/>
      <c r="CU785" s="196"/>
      <c r="CV785" s="194"/>
      <c r="CW785" s="194"/>
      <c r="CX785" s="194"/>
      <c r="CY785" s="194"/>
      <c r="CZ785" s="194"/>
      <c r="DA785" s="194"/>
      <c r="DB785" s="194"/>
      <c r="DC785" s="194"/>
      <c r="DD785" s="194"/>
      <c r="DE785" s="194"/>
      <c r="DF785" s="196"/>
      <c r="DG785" s="198"/>
      <c r="DH785" s="194"/>
      <c r="DI785" s="194"/>
    </row>
    <row r="786" spans="1:113" s="24" customFormat="1" hidden="1" x14ac:dyDescent="0.3">
      <c r="A786" s="172"/>
      <c r="B786" s="172"/>
      <c r="C786" s="172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  <c r="AE786" s="173"/>
      <c r="AF786" s="173"/>
      <c r="AG786" s="173"/>
      <c r="AH786" s="173"/>
      <c r="AI786" s="173"/>
      <c r="AJ786" s="173"/>
      <c r="AK786" s="173"/>
      <c r="AL786" s="173"/>
      <c r="AM786" s="173"/>
      <c r="AN786" s="173"/>
      <c r="AO786" s="173"/>
      <c r="AP786" s="173"/>
      <c r="AQ786" s="173"/>
      <c r="AR786" s="173"/>
      <c r="AS786" s="172"/>
      <c r="AT786" s="172"/>
      <c r="AU786" s="172"/>
      <c r="AV786" s="172"/>
      <c r="AW786" s="172"/>
      <c r="AX786" s="172"/>
      <c r="AY786" s="172"/>
      <c r="AZ786" s="172"/>
      <c r="BA786" s="172"/>
      <c r="BB786" s="172"/>
      <c r="BC786" s="172"/>
      <c r="BD786" s="172"/>
      <c r="BE786" s="172"/>
      <c r="BF786" s="172"/>
      <c r="BG786" s="172"/>
      <c r="BH786" s="172"/>
      <c r="BI786" s="172"/>
      <c r="BJ786" s="172"/>
      <c r="BK786" s="172"/>
      <c r="BL786" s="172"/>
      <c r="BM786" s="172"/>
      <c r="BN786" s="172"/>
      <c r="BO786" s="172"/>
      <c r="BP786" s="172"/>
      <c r="BQ786" s="172"/>
      <c r="BR786" s="172"/>
      <c r="BS786" s="172"/>
      <c r="BT786" s="172"/>
      <c r="BU786" s="172"/>
      <c r="BV786" s="172"/>
      <c r="BW786" s="172"/>
      <c r="BX786" s="172"/>
      <c r="BY786" s="174"/>
      <c r="BZ786" s="172"/>
      <c r="CA786" s="172"/>
      <c r="CD786" s="194"/>
      <c r="CE786" s="194"/>
      <c r="CF786" s="194"/>
      <c r="CG786" s="194"/>
      <c r="CH786" s="195"/>
      <c r="CI786" s="194"/>
      <c r="CJ786" s="194"/>
      <c r="CK786" s="194"/>
      <c r="CL786" s="196"/>
      <c r="CM786" s="196"/>
      <c r="CN786" s="194"/>
      <c r="CO786" s="197"/>
      <c r="CP786" s="196"/>
      <c r="CQ786" s="196"/>
      <c r="CR786" s="196"/>
      <c r="CS786" s="196"/>
      <c r="CT786" s="196"/>
      <c r="CU786" s="196"/>
      <c r="CV786" s="194"/>
      <c r="CW786" s="194"/>
      <c r="CX786" s="194"/>
      <c r="CY786" s="194"/>
      <c r="CZ786" s="194"/>
      <c r="DA786" s="194"/>
      <c r="DB786" s="194"/>
      <c r="DC786" s="194"/>
      <c r="DD786" s="194"/>
      <c r="DE786" s="194"/>
      <c r="DF786" s="196"/>
      <c r="DG786" s="198"/>
      <c r="DH786" s="194"/>
      <c r="DI786" s="194"/>
    </row>
    <row r="787" spans="1:113" s="24" customFormat="1" hidden="1" x14ac:dyDescent="0.3">
      <c r="A787" s="172"/>
      <c r="B787" s="172"/>
      <c r="C787" s="172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  <c r="AE787" s="173"/>
      <c r="AF787" s="173"/>
      <c r="AG787" s="173"/>
      <c r="AH787" s="173"/>
      <c r="AI787" s="173"/>
      <c r="AJ787" s="173"/>
      <c r="AK787" s="173"/>
      <c r="AL787" s="173"/>
      <c r="AM787" s="173"/>
      <c r="AN787" s="173"/>
      <c r="AO787" s="173"/>
      <c r="AP787" s="173"/>
      <c r="AQ787" s="173"/>
      <c r="AR787" s="173"/>
      <c r="AS787" s="172"/>
      <c r="AT787" s="172"/>
      <c r="AU787" s="172"/>
      <c r="AV787" s="172"/>
      <c r="AW787" s="172"/>
      <c r="AX787" s="172"/>
      <c r="AY787" s="172"/>
      <c r="AZ787" s="172"/>
      <c r="BA787" s="172"/>
      <c r="BB787" s="172"/>
      <c r="BC787" s="172"/>
      <c r="BD787" s="172"/>
      <c r="BE787" s="172"/>
      <c r="BF787" s="172"/>
      <c r="BG787" s="172"/>
      <c r="BH787" s="172"/>
      <c r="BI787" s="172"/>
      <c r="BJ787" s="172"/>
      <c r="BK787" s="172"/>
      <c r="BL787" s="172"/>
      <c r="BM787" s="172"/>
      <c r="BN787" s="172"/>
      <c r="BO787" s="172"/>
      <c r="BP787" s="172"/>
      <c r="BQ787" s="172"/>
      <c r="BR787" s="172"/>
      <c r="BS787" s="172"/>
      <c r="BT787" s="172"/>
      <c r="BU787" s="172"/>
      <c r="BV787" s="172"/>
      <c r="BW787" s="172"/>
      <c r="BX787" s="172"/>
      <c r="BY787" s="174"/>
      <c r="BZ787" s="172"/>
      <c r="CA787" s="172"/>
      <c r="CD787" s="194"/>
      <c r="CE787" s="194"/>
      <c r="CF787" s="194"/>
      <c r="CG787" s="194"/>
      <c r="CH787" s="195"/>
      <c r="CI787" s="194"/>
      <c r="CJ787" s="194"/>
      <c r="CK787" s="194"/>
      <c r="CL787" s="196"/>
      <c r="CM787" s="196"/>
      <c r="CN787" s="194"/>
      <c r="CO787" s="197"/>
      <c r="CP787" s="196"/>
      <c r="CQ787" s="196"/>
      <c r="CR787" s="196"/>
      <c r="CS787" s="196"/>
      <c r="CT787" s="196"/>
      <c r="CU787" s="196"/>
      <c r="CV787" s="194"/>
      <c r="CW787" s="194"/>
      <c r="CX787" s="194"/>
      <c r="CY787" s="194"/>
      <c r="CZ787" s="194"/>
      <c r="DA787" s="194"/>
      <c r="DB787" s="194"/>
      <c r="DC787" s="194"/>
      <c r="DD787" s="194"/>
      <c r="DE787" s="194"/>
      <c r="DF787" s="196"/>
      <c r="DG787" s="198"/>
      <c r="DH787" s="194"/>
      <c r="DI787" s="194"/>
    </row>
    <row r="788" spans="1:113" s="24" customFormat="1" hidden="1" x14ac:dyDescent="0.3">
      <c r="A788" s="172"/>
      <c r="B788" s="172"/>
      <c r="C788" s="172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  <c r="AE788" s="173"/>
      <c r="AF788" s="173"/>
      <c r="AG788" s="173"/>
      <c r="AH788" s="173"/>
      <c r="AI788" s="173"/>
      <c r="AJ788" s="173"/>
      <c r="AK788" s="173"/>
      <c r="AL788" s="173"/>
      <c r="AM788" s="173"/>
      <c r="AN788" s="173"/>
      <c r="AO788" s="173"/>
      <c r="AP788" s="173"/>
      <c r="AQ788" s="173"/>
      <c r="AR788" s="173"/>
      <c r="AS788" s="172"/>
      <c r="AT788" s="172"/>
      <c r="AU788" s="172"/>
      <c r="AV788" s="172"/>
      <c r="AW788" s="172"/>
      <c r="AX788" s="172"/>
      <c r="AY788" s="172"/>
      <c r="AZ788" s="172"/>
      <c r="BA788" s="172"/>
      <c r="BB788" s="172"/>
      <c r="BC788" s="172"/>
      <c r="BD788" s="172"/>
      <c r="BE788" s="172"/>
      <c r="BF788" s="172"/>
      <c r="BG788" s="172"/>
      <c r="BH788" s="172"/>
      <c r="BI788" s="172"/>
      <c r="BJ788" s="172"/>
      <c r="BK788" s="172"/>
      <c r="BL788" s="172"/>
      <c r="BM788" s="172"/>
      <c r="BN788" s="172"/>
      <c r="BO788" s="172"/>
      <c r="BP788" s="172"/>
      <c r="BQ788" s="172"/>
      <c r="BR788" s="172"/>
      <c r="BS788" s="172"/>
      <c r="BT788" s="172"/>
      <c r="BU788" s="172"/>
      <c r="BV788" s="172"/>
      <c r="BW788" s="172"/>
      <c r="BX788" s="172"/>
      <c r="BY788" s="174"/>
      <c r="BZ788" s="172"/>
      <c r="CA788" s="172"/>
      <c r="CD788" s="194"/>
      <c r="CE788" s="194"/>
      <c r="CF788" s="194"/>
      <c r="CG788" s="194"/>
      <c r="CH788" s="195"/>
      <c r="CI788" s="194"/>
      <c r="CJ788" s="194"/>
      <c r="CK788" s="194"/>
      <c r="CL788" s="196"/>
      <c r="CM788" s="196"/>
      <c r="CN788" s="194"/>
      <c r="CO788" s="197"/>
      <c r="CP788" s="196"/>
      <c r="CQ788" s="196"/>
      <c r="CR788" s="196"/>
      <c r="CS788" s="196"/>
      <c r="CT788" s="196"/>
      <c r="CU788" s="196"/>
      <c r="CV788" s="194"/>
      <c r="CW788" s="194"/>
      <c r="CX788" s="194"/>
      <c r="CY788" s="194"/>
      <c r="CZ788" s="194"/>
      <c r="DA788" s="194"/>
      <c r="DB788" s="194"/>
      <c r="DC788" s="194"/>
      <c r="DD788" s="194"/>
      <c r="DE788" s="194"/>
      <c r="DF788" s="196"/>
      <c r="DG788" s="198"/>
      <c r="DH788" s="194"/>
      <c r="DI788" s="194"/>
    </row>
    <row r="789" spans="1:113" hidden="1" x14ac:dyDescent="0.3">
      <c r="A789" s="172"/>
      <c r="B789" s="172"/>
      <c r="C789" s="172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  <c r="AE789" s="173"/>
      <c r="AF789" s="173"/>
      <c r="AG789" s="173"/>
      <c r="AH789" s="173"/>
      <c r="AI789" s="173"/>
      <c r="AJ789" s="173"/>
      <c r="AK789" s="173"/>
      <c r="AL789" s="173"/>
      <c r="AM789" s="173"/>
      <c r="AN789" s="173"/>
      <c r="AO789" s="173"/>
      <c r="AP789" s="173"/>
      <c r="AQ789" s="173"/>
      <c r="AR789" s="173"/>
      <c r="AS789" s="172"/>
      <c r="AT789" s="172"/>
      <c r="AU789" s="172"/>
      <c r="AV789" s="172"/>
      <c r="AW789" s="172"/>
      <c r="AX789" s="172"/>
      <c r="AY789" s="172"/>
      <c r="AZ789" s="172"/>
      <c r="BA789" s="172"/>
      <c r="BB789" s="172"/>
      <c r="BC789" s="172"/>
      <c r="BD789" s="172"/>
      <c r="BE789" s="172"/>
      <c r="BF789" s="172"/>
      <c r="BG789" s="172"/>
      <c r="BH789" s="172"/>
      <c r="BI789" s="172"/>
      <c r="BJ789" s="172"/>
      <c r="BK789" s="172"/>
      <c r="BL789" s="172"/>
      <c r="BM789" s="172"/>
      <c r="BN789" s="172"/>
      <c r="BO789" s="172"/>
      <c r="BP789" s="172"/>
      <c r="BQ789" s="172"/>
      <c r="BR789" s="172"/>
      <c r="BS789" s="172"/>
      <c r="BT789" s="172"/>
      <c r="BU789" s="172"/>
      <c r="BV789" s="172"/>
      <c r="BW789" s="172"/>
      <c r="BX789" s="172"/>
      <c r="BY789" s="174"/>
      <c r="BZ789" s="172"/>
      <c r="CA789" s="172"/>
      <c r="CH789" s="195"/>
      <c r="CI789" s="194"/>
    </row>
    <row r="790" spans="1:113" hidden="1" x14ac:dyDescent="0.3">
      <c r="A790" s="172"/>
      <c r="B790" s="172"/>
      <c r="C790" s="172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  <c r="AE790" s="173"/>
      <c r="AF790" s="173"/>
      <c r="AG790" s="173"/>
      <c r="AH790" s="173"/>
      <c r="AI790" s="173"/>
      <c r="AJ790" s="173"/>
      <c r="AK790" s="173"/>
      <c r="AL790" s="173"/>
      <c r="AM790" s="173"/>
      <c r="AN790" s="173"/>
      <c r="AO790" s="173"/>
      <c r="AP790" s="173"/>
      <c r="AQ790" s="173"/>
      <c r="AR790" s="173"/>
      <c r="AS790" s="172"/>
      <c r="AT790" s="172"/>
      <c r="AU790" s="172"/>
      <c r="AV790" s="172"/>
      <c r="AW790" s="172"/>
      <c r="AX790" s="172"/>
      <c r="AY790" s="172"/>
      <c r="AZ790" s="172"/>
      <c r="BA790" s="172"/>
      <c r="BB790" s="172"/>
      <c r="BC790" s="172"/>
      <c r="BD790" s="172"/>
      <c r="BE790" s="172"/>
      <c r="BF790" s="172"/>
      <c r="BG790" s="172"/>
      <c r="BH790" s="172"/>
      <c r="BI790" s="172"/>
      <c r="BJ790" s="172"/>
      <c r="BK790" s="172"/>
      <c r="BL790" s="172"/>
      <c r="BM790" s="172"/>
      <c r="BN790" s="172"/>
      <c r="BO790" s="172"/>
      <c r="BP790" s="172"/>
      <c r="BQ790" s="172"/>
      <c r="BR790" s="172"/>
      <c r="BS790" s="172"/>
      <c r="BT790" s="172"/>
      <c r="BU790" s="172"/>
      <c r="BV790" s="172"/>
      <c r="BW790" s="172"/>
      <c r="BX790" s="172"/>
      <c r="BY790" s="174"/>
      <c r="BZ790" s="172"/>
      <c r="CA790" s="172"/>
    </row>
    <row r="791" spans="1:113" hidden="1" x14ac:dyDescent="0.3">
      <c r="A791" s="172"/>
      <c r="B791" s="172"/>
      <c r="C791" s="172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  <c r="AE791" s="173"/>
      <c r="AF791" s="173"/>
      <c r="AG791" s="173"/>
      <c r="AH791" s="173"/>
      <c r="AI791" s="173"/>
      <c r="AJ791" s="173"/>
      <c r="AK791" s="173"/>
      <c r="AL791" s="173"/>
      <c r="AM791" s="173"/>
      <c r="AN791" s="173"/>
      <c r="AO791" s="173"/>
      <c r="AP791" s="173"/>
      <c r="AQ791" s="173"/>
      <c r="AR791" s="173"/>
      <c r="AS791" s="172"/>
      <c r="AT791" s="172"/>
      <c r="AU791" s="172"/>
      <c r="AV791" s="172"/>
      <c r="AW791" s="172"/>
      <c r="AX791" s="172"/>
      <c r="AY791" s="172"/>
      <c r="AZ791" s="172"/>
      <c r="BA791" s="172"/>
      <c r="BB791" s="172"/>
      <c r="BC791" s="172"/>
      <c r="BD791" s="172"/>
      <c r="BE791" s="172"/>
      <c r="BF791" s="172"/>
      <c r="BG791" s="172"/>
      <c r="BH791" s="172"/>
      <c r="BI791" s="172"/>
      <c r="BJ791" s="172"/>
      <c r="BK791" s="172"/>
      <c r="BL791" s="172"/>
      <c r="BM791" s="172"/>
      <c r="BN791" s="172"/>
      <c r="BO791" s="172"/>
      <c r="BP791" s="172"/>
      <c r="BQ791" s="172"/>
      <c r="BR791" s="172"/>
      <c r="BS791" s="172"/>
      <c r="BT791" s="172"/>
      <c r="BU791" s="172"/>
      <c r="BV791" s="172"/>
      <c r="BW791" s="172"/>
      <c r="BX791" s="172"/>
      <c r="BY791" s="174"/>
      <c r="BZ791" s="172"/>
      <c r="CA791" s="172"/>
    </row>
    <row r="792" spans="1:113" hidden="1" x14ac:dyDescent="0.3">
      <c r="A792" s="172"/>
      <c r="B792" s="172"/>
      <c r="C792" s="172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  <c r="AE792" s="173"/>
      <c r="AF792" s="173"/>
      <c r="AG792" s="173"/>
      <c r="AH792" s="173"/>
      <c r="AI792" s="173"/>
      <c r="AJ792" s="173"/>
      <c r="AK792" s="173"/>
      <c r="AL792" s="173"/>
      <c r="AM792" s="173"/>
      <c r="AN792" s="173"/>
      <c r="AO792" s="173"/>
      <c r="AP792" s="173"/>
      <c r="AQ792" s="173"/>
      <c r="AR792" s="173"/>
      <c r="AS792" s="172"/>
      <c r="AT792" s="172"/>
      <c r="AU792" s="172"/>
      <c r="AV792" s="172"/>
      <c r="AW792" s="172"/>
      <c r="AX792" s="172"/>
      <c r="AY792" s="172"/>
      <c r="AZ792" s="172"/>
      <c r="BA792" s="172"/>
      <c r="BB792" s="172"/>
      <c r="BC792" s="172"/>
      <c r="BD792" s="172"/>
      <c r="BE792" s="172"/>
      <c r="BF792" s="172"/>
      <c r="BG792" s="172"/>
      <c r="BH792" s="172"/>
      <c r="BI792" s="172"/>
      <c r="BJ792" s="172"/>
      <c r="BK792" s="172"/>
      <c r="BL792" s="172"/>
      <c r="BM792" s="172"/>
      <c r="BN792" s="172"/>
      <c r="BO792" s="172"/>
      <c r="BP792" s="172"/>
      <c r="BQ792" s="172"/>
      <c r="BR792" s="172"/>
      <c r="BS792" s="172"/>
      <c r="BT792" s="172"/>
      <c r="BU792" s="172"/>
      <c r="BV792" s="172"/>
      <c r="BW792" s="172"/>
      <c r="BX792" s="172"/>
      <c r="BY792" s="174"/>
      <c r="BZ792" s="172"/>
      <c r="CA792" s="172"/>
    </row>
    <row r="793" spans="1:113" hidden="1" x14ac:dyDescent="0.3">
      <c r="A793" s="172"/>
      <c r="B793" s="172"/>
      <c r="C793" s="172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  <c r="AE793" s="173"/>
      <c r="AF793" s="173"/>
      <c r="AG793" s="173"/>
      <c r="AH793" s="173"/>
      <c r="AI793" s="173"/>
      <c r="AJ793" s="173"/>
      <c r="AK793" s="173"/>
      <c r="AL793" s="173"/>
      <c r="AM793" s="173"/>
      <c r="AN793" s="173"/>
      <c r="AO793" s="173"/>
      <c r="AP793" s="173"/>
      <c r="AQ793" s="173"/>
      <c r="AR793" s="173"/>
      <c r="AS793" s="172"/>
      <c r="AT793" s="172"/>
      <c r="AU793" s="172"/>
      <c r="AV793" s="172"/>
      <c r="AW793" s="172"/>
      <c r="AX793" s="172"/>
      <c r="AY793" s="172"/>
      <c r="AZ793" s="172"/>
      <c r="BA793" s="172"/>
      <c r="BB793" s="172"/>
      <c r="BC793" s="172"/>
      <c r="BD793" s="172"/>
      <c r="BE793" s="172"/>
      <c r="BF793" s="172"/>
      <c r="BG793" s="172"/>
      <c r="BH793" s="172"/>
      <c r="BI793" s="172"/>
      <c r="BJ793" s="172"/>
      <c r="BK793" s="172"/>
      <c r="BL793" s="172"/>
      <c r="BM793" s="172"/>
      <c r="BN793" s="172"/>
      <c r="BO793" s="172"/>
      <c r="BP793" s="172"/>
      <c r="BQ793" s="172"/>
      <c r="BR793" s="172"/>
      <c r="BS793" s="172"/>
      <c r="BT793" s="172"/>
      <c r="BU793" s="172"/>
      <c r="BV793" s="172"/>
      <c r="BW793" s="172"/>
      <c r="BX793" s="172"/>
      <c r="BY793" s="174"/>
      <c r="BZ793" s="172"/>
      <c r="CA793" s="172"/>
    </row>
    <row r="794" spans="1:113" hidden="1" x14ac:dyDescent="0.3">
      <c r="A794" s="172"/>
      <c r="B794" s="172"/>
      <c r="C794" s="172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  <c r="AE794" s="173"/>
      <c r="AF794" s="173"/>
      <c r="AG794" s="173"/>
      <c r="AH794" s="173"/>
      <c r="AI794" s="173"/>
      <c r="AJ794" s="173"/>
      <c r="AK794" s="173"/>
      <c r="AL794" s="173"/>
      <c r="AM794" s="173"/>
      <c r="AN794" s="173"/>
      <c r="AO794" s="173"/>
      <c r="AP794" s="173"/>
      <c r="AQ794" s="173"/>
      <c r="AR794" s="173"/>
      <c r="AS794" s="172"/>
      <c r="AT794" s="172"/>
      <c r="AU794" s="172"/>
      <c r="AV794" s="172"/>
      <c r="AW794" s="172"/>
      <c r="AX794" s="172"/>
      <c r="AY794" s="172"/>
      <c r="AZ794" s="172"/>
      <c r="BA794" s="172"/>
      <c r="BB794" s="172"/>
      <c r="BC794" s="172"/>
      <c r="BD794" s="172"/>
      <c r="BE794" s="172"/>
      <c r="BF794" s="172"/>
      <c r="BG794" s="172"/>
      <c r="BH794" s="172"/>
      <c r="BI794" s="172"/>
      <c r="BJ794" s="172"/>
      <c r="BK794" s="172"/>
      <c r="BL794" s="172"/>
      <c r="BM794" s="172"/>
      <c r="BN794" s="172"/>
      <c r="BO794" s="172"/>
      <c r="BP794" s="172"/>
      <c r="BQ794" s="172"/>
      <c r="BR794" s="172"/>
      <c r="BS794" s="172"/>
      <c r="BT794" s="172"/>
      <c r="BU794" s="172"/>
      <c r="BV794" s="172"/>
      <c r="BW794" s="172"/>
      <c r="BX794" s="172"/>
      <c r="BY794" s="174"/>
      <c r="BZ794" s="172"/>
      <c r="CA794" s="172"/>
    </row>
    <row r="795" spans="1:113" hidden="1" x14ac:dyDescent="0.3">
      <c r="A795" s="172"/>
      <c r="B795" s="172"/>
      <c r="C795" s="172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  <c r="AE795" s="173"/>
      <c r="AF795" s="173"/>
      <c r="AG795" s="173"/>
      <c r="AH795" s="173"/>
      <c r="AI795" s="173"/>
      <c r="AJ795" s="173"/>
      <c r="AK795" s="173"/>
      <c r="AL795" s="173"/>
      <c r="AM795" s="173"/>
      <c r="AN795" s="173"/>
      <c r="AO795" s="173"/>
      <c r="AP795" s="173"/>
      <c r="AQ795" s="173"/>
      <c r="AR795" s="173"/>
      <c r="AS795" s="172"/>
      <c r="AT795" s="172"/>
      <c r="AU795" s="172"/>
      <c r="AV795" s="172"/>
      <c r="AW795" s="172"/>
      <c r="AX795" s="172"/>
      <c r="AY795" s="172"/>
      <c r="AZ795" s="172"/>
      <c r="BA795" s="172"/>
      <c r="BB795" s="172"/>
      <c r="BC795" s="172"/>
      <c r="BD795" s="172"/>
      <c r="BE795" s="172"/>
      <c r="BF795" s="172"/>
      <c r="BG795" s="172"/>
      <c r="BH795" s="172"/>
      <c r="BI795" s="172"/>
      <c r="BJ795" s="172"/>
      <c r="BK795" s="172"/>
      <c r="BL795" s="172"/>
      <c r="BM795" s="172"/>
      <c r="BN795" s="172"/>
      <c r="BO795" s="172"/>
      <c r="BP795" s="172"/>
      <c r="BQ795" s="172"/>
      <c r="BR795" s="172"/>
      <c r="BS795" s="172"/>
      <c r="BT795" s="172"/>
      <c r="BU795" s="172"/>
      <c r="BV795" s="172"/>
      <c r="BW795" s="172"/>
      <c r="BX795" s="172"/>
      <c r="BY795" s="174"/>
      <c r="BZ795" s="172"/>
      <c r="CA795" s="172"/>
    </row>
    <row r="796" spans="1:113" hidden="1" x14ac:dyDescent="0.3">
      <c r="A796" s="172"/>
      <c r="B796" s="172"/>
      <c r="C796" s="172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  <c r="AE796" s="173"/>
      <c r="AF796" s="173"/>
      <c r="AG796" s="173"/>
      <c r="AH796" s="173"/>
      <c r="AI796" s="173"/>
      <c r="AJ796" s="173"/>
      <c r="AK796" s="173"/>
      <c r="AL796" s="173"/>
      <c r="AM796" s="173"/>
      <c r="AN796" s="173"/>
      <c r="AO796" s="173"/>
      <c r="AP796" s="173"/>
      <c r="AQ796" s="173"/>
      <c r="AR796" s="173"/>
      <c r="AS796" s="172"/>
      <c r="AT796" s="172"/>
      <c r="AU796" s="172"/>
      <c r="AV796" s="172"/>
      <c r="AW796" s="172"/>
      <c r="AX796" s="172"/>
      <c r="AY796" s="172"/>
      <c r="AZ796" s="172"/>
      <c r="BA796" s="172"/>
      <c r="BB796" s="172"/>
      <c r="BC796" s="172"/>
      <c r="BD796" s="172"/>
      <c r="BE796" s="172"/>
      <c r="BF796" s="172"/>
      <c r="BG796" s="172"/>
      <c r="BH796" s="172"/>
      <c r="BI796" s="172"/>
      <c r="BJ796" s="172"/>
      <c r="BK796" s="172"/>
      <c r="BL796" s="172"/>
      <c r="BM796" s="172"/>
      <c r="BN796" s="172"/>
      <c r="BO796" s="172"/>
      <c r="BP796" s="172"/>
      <c r="BQ796" s="172"/>
      <c r="BR796" s="172"/>
      <c r="BS796" s="172"/>
      <c r="BT796" s="172"/>
      <c r="BU796" s="172"/>
      <c r="BV796" s="172"/>
      <c r="BW796" s="172"/>
      <c r="BX796" s="172"/>
      <c r="BY796" s="174"/>
      <c r="BZ796" s="172"/>
      <c r="CA796" s="172"/>
    </row>
    <row r="797" spans="1:113" hidden="1" x14ac:dyDescent="0.3">
      <c r="A797" s="172"/>
      <c r="B797" s="172"/>
      <c r="C797" s="172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  <c r="AE797" s="173"/>
      <c r="AF797" s="173"/>
      <c r="AG797" s="173"/>
      <c r="AH797" s="173"/>
      <c r="AI797" s="173"/>
      <c r="AJ797" s="173"/>
      <c r="AK797" s="173"/>
      <c r="AL797" s="173"/>
      <c r="AM797" s="173"/>
      <c r="AN797" s="173"/>
      <c r="AO797" s="173"/>
      <c r="AP797" s="173"/>
      <c r="AQ797" s="173"/>
      <c r="AR797" s="173"/>
      <c r="AS797" s="172"/>
      <c r="AT797" s="172"/>
      <c r="AU797" s="172"/>
      <c r="AV797" s="172"/>
      <c r="AW797" s="172"/>
      <c r="AX797" s="172"/>
      <c r="AY797" s="172"/>
      <c r="AZ797" s="172"/>
      <c r="BA797" s="172"/>
      <c r="BB797" s="172"/>
      <c r="BC797" s="172"/>
      <c r="BD797" s="172"/>
      <c r="BE797" s="172"/>
      <c r="BF797" s="172"/>
      <c r="BG797" s="172"/>
      <c r="BH797" s="172"/>
      <c r="BI797" s="172"/>
      <c r="BJ797" s="172"/>
      <c r="BK797" s="172"/>
      <c r="BL797" s="172"/>
      <c r="BM797" s="172"/>
      <c r="BN797" s="172"/>
      <c r="BO797" s="172"/>
      <c r="BP797" s="172"/>
      <c r="BQ797" s="172"/>
      <c r="BR797" s="172"/>
      <c r="BS797" s="172"/>
      <c r="BT797" s="172"/>
      <c r="BU797" s="172"/>
      <c r="BV797" s="172"/>
      <c r="BW797" s="172"/>
      <c r="BX797" s="172"/>
      <c r="BY797" s="174"/>
      <c r="BZ797" s="172"/>
      <c r="CA797" s="172"/>
    </row>
    <row r="798" spans="1:113" hidden="1" x14ac:dyDescent="0.3">
      <c r="A798" s="172"/>
      <c r="B798" s="172"/>
      <c r="C798" s="172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  <c r="AE798" s="173"/>
      <c r="AF798" s="173"/>
      <c r="AG798" s="173"/>
      <c r="AH798" s="173"/>
      <c r="AI798" s="173"/>
      <c r="AJ798" s="173"/>
      <c r="AK798" s="173"/>
      <c r="AL798" s="173"/>
      <c r="AM798" s="173"/>
      <c r="AN798" s="173"/>
      <c r="AO798" s="173"/>
      <c r="AP798" s="173"/>
      <c r="AQ798" s="173"/>
      <c r="AR798" s="173"/>
      <c r="AS798" s="172"/>
      <c r="AT798" s="172"/>
      <c r="AU798" s="172"/>
      <c r="AV798" s="172"/>
      <c r="AW798" s="172"/>
      <c r="AX798" s="172"/>
      <c r="AY798" s="172"/>
      <c r="AZ798" s="172"/>
      <c r="BA798" s="172"/>
      <c r="BB798" s="172"/>
      <c r="BC798" s="172"/>
      <c r="BD798" s="172"/>
      <c r="BE798" s="172"/>
      <c r="BF798" s="172"/>
      <c r="BG798" s="172"/>
      <c r="BH798" s="172"/>
      <c r="BI798" s="172"/>
      <c r="BJ798" s="172"/>
      <c r="BK798" s="172"/>
      <c r="BL798" s="172"/>
      <c r="BM798" s="172"/>
      <c r="BN798" s="172"/>
      <c r="BO798" s="172"/>
      <c r="BP798" s="172"/>
      <c r="BQ798" s="172"/>
      <c r="BR798" s="172"/>
      <c r="BS798" s="172"/>
      <c r="BT798" s="172"/>
      <c r="BU798" s="172"/>
      <c r="BV798" s="172"/>
      <c r="BW798" s="172"/>
      <c r="BX798" s="172"/>
      <c r="BY798" s="174"/>
      <c r="BZ798" s="172"/>
      <c r="CA798" s="172"/>
    </row>
  </sheetData>
  <mergeCells count="159">
    <mergeCell ref="E14:J14"/>
    <mergeCell ref="D30:AP30"/>
    <mergeCell ref="BQ24:BW24"/>
    <mergeCell ref="BN18:BO18"/>
    <mergeCell ref="BK20:BW20"/>
    <mergeCell ref="K19:T19"/>
    <mergeCell ref="AG15:AP15"/>
    <mergeCell ref="AT15:BC15"/>
    <mergeCell ref="BD15:BM15"/>
    <mergeCell ref="BN15:BW15"/>
    <mergeCell ref="E18:J18"/>
    <mergeCell ref="AB18:AJ18"/>
    <mergeCell ref="D19:J19"/>
    <mergeCell ref="E17:J17"/>
    <mergeCell ref="K16:T16"/>
    <mergeCell ref="K15:T15"/>
    <mergeCell ref="K14:T14"/>
    <mergeCell ref="E15:J15"/>
    <mergeCell ref="E16:J16"/>
    <mergeCell ref="AT22:BC22"/>
    <mergeCell ref="K17:T17"/>
    <mergeCell ref="BD30:BW30"/>
    <mergeCell ref="K18:T18"/>
    <mergeCell ref="F11:J11"/>
    <mergeCell ref="K11:T11"/>
    <mergeCell ref="Z11:AF11"/>
    <mergeCell ref="AG11:AP11"/>
    <mergeCell ref="F12:J12"/>
    <mergeCell ref="K12:T12"/>
    <mergeCell ref="Z12:AF12"/>
    <mergeCell ref="AG12:AP12"/>
    <mergeCell ref="AF6:AI6"/>
    <mergeCell ref="AJ6:AP6"/>
    <mergeCell ref="D8:T8"/>
    <mergeCell ref="Z8:AP8"/>
    <mergeCell ref="D9:J9"/>
    <mergeCell ref="K9:T9"/>
    <mergeCell ref="F10:J10"/>
    <mergeCell ref="K10:T10"/>
    <mergeCell ref="Z10:AF10"/>
    <mergeCell ref="Z9:AF9"/>
    <mergeCell ref="AG9:AP9"/>
    <mergeCell ref="F13:J13"/>
    <mergeCell ref="AA13:AF13"/>
    <mergeCell ref="AA14:AF14"/>
    <mergeCell ref="AT40:BC40"/>
    <mergeCell ref="BD26:BW26"/>
    <mergeCell ref="Z15:AF15"/>
    <mergeCell ref="D24:AC24"/>
    <mergeCell ref="AT25:BC25"/>
    <mergeCell ref="BD25:BM25"/>
    <mergeCell ref="AT23:BC23"/>
    <mergeCell ref="BD23:BJ23"/>
    <mergeCell ref="BK23:BP23"/>
    <mergeCell ref="BQ23:BW23"/>
    <mergeCell ref="BP18:BW18"/>
    <mergeCell ref="BK16:BP16"/>
    <mergeCell ref="BQ16:BW16"/>
    <mergeCell ref="AT29:BC29"/>
    <mergeCell ref="BD29:BL29"/>
    <mergeCell ref="BM29:BW29"/>
    <mergeCell ref="AT30:BC30"/>
    <mergeCell ref="AT24:BC24"/>
    <mergeCell ref="AB17:AJ17"/>
    <mergeCell ref="AK17:AP17"/>
    <mergeCell ref="BD24:BJ24"/>
    <mergeCell ref="D32:AC32"/>
    <mergeCell ref="J33:AO33"/>
    <mergeCell ref="J34:AO34"/>
    <mergeCell ref="AT38:BC38"/>
    <mergeCell ref="BD38:BW38"/>
    <mergeCell ref="C38:R38"/>
    <mergeCell ref="X38:AQ38"/>
    <mergeCell ref="J35:AO35"/>
    <mergeCell ref="D35:H36"/>
    <mergeCell ref="J36:AO36"/>
    <mergeCell ref="D33:H34"/>
    <mergeCell ref="AT31:BC31"/>
    <mergeCell ref="BD31:BW31"/>
    <mergeCell ref="D31:AP31"/>
    <mergeCell ref="BY17:BZ17"/>
    <mergeCell ref="BY18:BZ18"/>
    <mergeCell ref="AT18:BC18"/>
    <mergeCell ref="BD18:BM18"/>
    <mergeCell ref="AK18:AP18"/>
    <mergeCell ref="BY20:BZ20"/>
    <mergeCell ref="AT28:BC28"/>
    <mergeCell ref="BD28:BW28"/>
    <mergeCell ref="AT27:BC27"/>
    <mergeCell ref="BD27:BW27"/>
    <mergeCell ref="AT26:BC26"/>
    <mergeCell ref="AT19:BC20"/>
    <mergeCell ref="BD19:BJ20"/>
    <mergeCell ref="BK19:BP19"/>
    <mergeCell ref="BY19:BZ19"/>
    <mergeCell ref="BP25:BW25"/>
    <mergeCell ref="BN25:BO25"/>
    <mergeCell ref="BK24:BP24"/>
    <mergeCell ref="BD22:BW22"/>
    <mergeCell ref="BQ19:BW19"/>
    <mergeCell ref="BY23:BZ23"/>
    <mergeCell ref="BY10:BZ10"/>
    <mergeCell ref="AU11:BC11"/>
    <mergeCell ref="BD11:BW11"/>
    <mergeCell ref="BY11:BZ11"/>
    <mergeCell ref="AG14:AP14"/>
    <mergeCell ref="AU10:BC10"/>
    <mergeCell ref="BD10:BW10"/>
    <mergeCell ref="BY14:BZ14"/>
    <mergeCell ref="BY15:BZ15"/>
    <mergeCell ref="AT14:BC14"/>
    <mergeCell ref="BD14:BW14"/>
    <mergeCell ref="AG10:AP10"/>
    <mergeCell ref="AU13:BC13"/>
    <mergeCell ref="BY16:BZ16"/>
    <mergeCell ref="AT17:BC17"/>
    <mergeCell ref="BD17:BM17"/>
    <mergeCell ref="AT16:BC16"/>
    <mergeCell ref="BD16:BJ16"/>
    <mergeCell ref="BN17:BO17"/>
    <mergeCell ref="BP17:BW17"/>
    <mergeCell ref="BY8:BZ8"/>
    <mergeCell ref="K13:T13"/>
    <mergeCell ref="AG13:AP13"/>
    <mergeCell ref="AT9:BC9"/>
    <mergeCell ref="BY9:BZ9"/>
    <mergeCell ref="AT8:BC8"/>
    <mergeCell ref="BD8:BJ8"/>
    <mergeCell ref="BK8:BP8"/>
    <mergeCell ref="BQ8:BW8"/>
    <mergeCell ref="BK12:BP12"/>
    <mergeCell ref="BQ12:BW12"/>
    <mergeCell ref="BY12:BZ12"/>
    <mergeCell ref="BD13:BW13"/>
    <mergeCell ref="BY13:BZ13"/>
    <mergeCell ref="AU12:BC12"/>
    <mergeCell ref="BD12:BJ12"/>
    <mergeCell ref="BD9:BW9"/>
    <mergeCell ref="D4:P4"/>
    <mergeCell ref="AT4:BC4"/>
    <mergeCell ref="BD4:BW4"/>
    <mergeCell ref="CW4:CX4"/>
    <mergeCell ref="C1:AQ1"/>
    <mergeCell ref="BY4:BZ4"/>
    <mergeCell ref="AT7:BC7"/>
    <mergeCell ref="BD7:BJ7"/>
    <mergeCell ref="BK7:BP7"/>
    <mergeCell ref="BQ7:BW7"/>
    <mergeCell ref="AT5:BC5"/>
    <mergeCell ref="BD5:BW5"/>
    <mergeCell ref="BY5:BZ5"/>
    <mergeCell ref="CW5:DD5"/>
    <mergeCell ref="AT6:BC6"/>
    <mergeCell ref="BD6:BW6"/>
    <mergeCell ref="BY6:BZ6"/>
    <mergeCell ref="CW3:DG3"/>
    <mergeCell ref="C2:AR2"/>
    <mergeCell ref="AI4:AP4"/>
    <mergeCell ref="AI5:AP5"/>
  </mergeCells>
  <phoneticPr fontId="2" type="noConversion"/>
  <dataValidations count="16">
    <dataValidation type="decimal" allowBlank="1" showInputMessage="1" showErrorMessage="1" errorTitle="수수료 상한 확인" error="수수료 상한 확인" sqref="BL25">
      <formula1>0</formula1>
      <formula2>BX30</formula2>
    </dataValidation>
    <dataValidation type="decimal" allowBlank="1" showInputMessage="1" showErrorMessage="1" errorTitle="수수료 상한 확인" error="수수료 상한 확인" sqref="BM25 BD25:BK25">
      <formula1>0</formula1>
      <formula2>BP25</formula2>
    </dataValidation>
    <dataValidation type="list" allowBlank="1" showInputMessage="1" showErrorMessage="1" sqref="BD24:BJ24">
      <formula1>"할부원금비율,금액입력"</formula1>
    </dataValidation>
    <dataValidation type="list" allowBlank="1" showInputMessage="1" showErrorMessage="1" sqref="BD23:BJ23">
      <formula1>"총구매비용비율,차량가비율,선수금액입력,할부원금입력"</formula1>
    </dataValidation>
    <dataValidation type="list" allowBlank="1" showInputMessage="1" showErrorMessage="1" sqref="BD5:BW5">
      <formula1>Brand</formula1>
    </dataValidation>
    <dataValidation type="list" allowBlank="1" showInputMessage="1" showErrorMessage="1" sqref="BD6:BW6">
      <formula1>INDIRECT($BD$5)</formula1>
    </dataValidation>
    <dataValidation type="list" allowBlank="1" showInputMessage="1" showErrorMessage="1" sqref="BD15:BM15">
      <formula1>"이용자명의"</formula1>
    </dataValidation>
    <dataValidation type="list" allowBlank="1" showInputMessage="1" showErrorMessage="1" sqref="BN15:BW15">
      <formula1>"서울,부산,대구,인천,대전,광주,울산/강원/전남,제주,세종/경북,경기,충남,충북,전북,경남"</formula1>
    </dataValidation>
    <dataValidation type="list" allowBlank="1" showInputMessage="1" showErrorMessage="1" errorTitle="12,24,36,48,60개월만 가능" error="12,24,36,48,60개월만 가능" sqref="BD22:BW22">
      <formula1>"12,24,36,48,60"</formula1>
    </dataValidation>
    <dataValidation type="whole" allowBlank="1" showInputMessage="1" showErrorMessage="1" errorTitle="상한 확인" error="상한 확인" sqref="BD17:BM18">
      <formula1>0</formula1>
      <formula2>BP17</formula2>
    </dataValidation>
    <dataValidation type="list" allowBlank="1" showInputMessage="1" showErrorMessage="1" sqref="BD12:BJ12">
      <formula1>"비율입력,금액입력"</formula1>
    </dataValidation>
    <dataValidation type="list" allowBlank="1" showInputMessage="1" showErrorMessage="1" sqref="BQ7:BW7">
      <formula1>"DB자동연결,승용일반,승용SUV(~5인),승용SUV(7~10인),승합(11~15인),화물(1000cc 미만),화물(0.6톤 미만),화물(0.6~1톤 미만),화물(1~2.5톤 미만),화물(2.5~4.6톤 미만),화물(4.6톤 이상)"</formula1>
    </dataValidation>
    <dataValidation type="list" allowBlank="1" showInputMessage="1" showErrorMessage="1" sqref="BD19:BJ20">
      <formula1>"자동반영,비율입력,감면액입력,금액입력"</formula1>
    </dataValidation>
    <dataValidation type="list" allowBlank="1" showInputMessage="1" showErrorMessage="1" sqref="BD26:BW26">
      <formula1>"100%,50%,20%"</formula1>
    </dataValidation>
    <dataValidation type="list" allowBlank="1" showInputMessage="1" showErrorMessage="1" sqref="BD28:BW28">
      <formula1>부가서비스</formula1>
    </dataValidation>
    <dataValidation type="list" allowBlank="1" showInputMessage="1" showErrorMessage="1" sqref="BY5:BZ5">
      <formula1>제휴사</formula1>
    </dataValidation>
  </dataValidations>
  <printOptions horizontalCentered="1" verticalCentered="1"/>
  <pageMargins left="0.23622047244094491" right="0.15748031496062992" top="0.74803149606299213" bottom="0.59055118110236227" header="0" footer="0"/>
  <pageSetup paperSize="9" scale="125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5" r:id="rId4" name="Check Box 3">
              <controlPr locked="0" defaultSize="0" autoFill="0" autoLine="0" autoPict="0">
                <anchor moveWithCells="1" sizeWithCells="1">
                  <from>
                    <xdr:col>76</xdr:col>
                    <xdr:colOff>0</xdr:colOff>
                    <xdr:row>6</xdr:row>
                    <xdr:rowOff>19050</xdr:rowOff>
                  </from>
                  <to>
                    <xdr:col>76</xdr:col>
                    <xdr:colOff>266700</xdr:colOff>
                    <xdr:row>6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decimal" allowBlank="1" showInputMessage="1" showErrorMessage="1" errorTitle="상한 확인" error="상한 확인">
          <x14:formula1>
            <xm:f>0</xm:f>
          </x14:formula1>
          <x14:formula2>
            <xm:f>견적관리자용!T37</xm:f>
          </x14:formula2>
          <xm:sqref>BD16:BJ16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0000"/>
  </sheetPr>
  <dimension ref="A1"/>
  <sheetViews>
    <sheetView view="pageBreakPreview" zoomScale="145" zoomScaleNormal="100" zoomScaleSheetLayoutView="145" workbookViewId="0">
      <selection activeCell="L20" sqref="L20"/>
    </sheetView>
  </sheetViews>
  <sheetFormatPr defaultRowHeight="16.5" x14ac:dyDescent="0.3"/>
  <sheetData/>
  <phoneticPr fontId="2" type="noConversion"/>
  <pageMargins left="0.7" right="0.7" top="0.75" bottom="0.75" header="0.3" footer="0.3"/>
  <pageSetup paperSize="9" scale="89" orientation="portrait" verticalDpi="0" r:id="rId1"/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C2:AD79"/>
  <sheetViews>
    <sheetView showGridLines="0" topLeftCell="A10" zoomScale="70" zoomScaleNormal="70" workbookViewId="0">
      <selection activeCell="L49" sqref="L49"/>
    </sheetView>
  </sheetViews>
  <sheetFormatPr defaultColWidth="9" defaultRowHeight="13.5" x14ac:dyDescent="0.3"/>
  <cols>
    <col min="1" max="1" width="4.375" style="10" customWidth="1"/>
    <col min="2" max="4" width="2.625" style="10" customWidth="1"/>
    <col min="5" max="5" width="18.625" style="10" customWidth="1"/>
    <col min="6" max="6" width="12.5" style="368" customWidth="1"/>
    <col min="7" max="10" width="9.625" style="368" customWidth="1"/>
    <col min="11" max="11" width="2.625" style="368" customWidth="1"/>
    <col min="12" max="12" width="18.625" style="10" customWidth="1"/>
    <col min="13" max="13" width="10.75" style="368" customWidth="1"/>
    <col min="14" max="17" width="9.625" style="368" customWidth="1"/>
    <col min="18" max="18" width="2.625" style="368" customWidth="1"/>
    <col min="19" max="19" width="20.625" style="368" customWidth="1"/>
    <col min="20" max="20" width="13.5" style="368" customWidth="1"/>
    <col min="21" max="22" width="2.25" style="368" customWidth="1"/>
    <col min="23" max="23" width="2.625" style="368" customWidth="1"/>
    <col min="24" max="26" width="9.625" style="369" customWidth="1"/>
    <col min="27" max="28" width="9.625" style="11" customWidth="1"/>
    <col min="29" max="30" width="2.625" style="11" customWidth="1"/>
    <col min="31" max="48" width="9.625" style="10" customWidth="1"/>
    <col min="49" max="16384" width="9" style="10"/>
  </cols>
  <sheetData>
    <row r="2" spans="4:28" ht="18" customHeight="1" x14ac:dyDescent="0.3"/>
    <row r="3" spans="4:28" ht="8.25" customHeight="1" x14ac:dyDescent="0.3"/>
    <row r="4" spans="4:28" ht="22.5" customHeight="1" x14ac:dyDescent="0.3">
      <c r="D4" s="1008" t="s">
        <v>29</v>
      </c>
      <c r="E4" s="1008"/>
      <c r="F4" s="1008"/>
      <c r="G4" s="1008"/>
      <c r="H4" s="1009"/>
      <c r="I4" s="1009"/>
      <c r="J4" s="1009"/>
      <c r="K4" s="1009"/>
      <c r="L4" s="1009"/>
      <c r="M4" s="1009"/>
      <c r="N4" s="1009"/>
      <c r="O4" s="1009"/>
      <c r="P4" s="1009"/>
      <c r="Q4" s="1009"/>
      <c r="R4" s="1009"/>
      <c r="S4" s="1009"/>
      <c r="T4" s="1009"/>
      <c r="U4" s="1009"/>
      <c r="V4" s="1009"/>
    </row>
    <row r="5" spans="4:28" ht="8.25" customHeight="1" x14ac:dyDescent="0.3"/>
    <row r="6" spans="4:28" ht="15" customHeight="1" thickBot="1" x14ac:dyDescent="0.35">
      <c r="D6" s="409"/>
      <c r="E6" s="409"/>
      <c r="F6" s="370"/>
      <c r="G6" s="370"/>
      <c r="H6" s="370"/>
      <c r="I6" s="370"/>
      <c r="J6" s="370"/>
      <c r="K6" s="370"/>
      <c r="L6" s="409"/>
      <c r="M6" s="370"/>
      <c r="N6" s="370"/>
      <c r="O6" s="370"/>
      <c r="P6" s="370"/>
      <c r="Q6" s="370"/>
      <c r="R6" s="370"/>
      <c r="S6" s="370"/>
      <c r="T6" s="370"/>
      <c r="U6" s="370"/>
      <c r="V6" s="370"/>
    </row>
    <row r="7" spans="4:28" ht="15" customHeight="1" x14ac:dyDescent="0.3">
      <c r="D7" s="409"/>
      <c r="E7" s="1010" t="s">
        <v>1</v>
      </c>
      <c r="F7" s="1012" t="s">
        <v>9</v>
      </c>
      <c r="G7" s="1013"/>
      <c r="H7" s="1012" t="s">
        <v>10</v>
      </c>
      <c r="I7" s="1014"/>
      <c r="J7" s="1015" t="s">
        <v>344</v>
      </c>
      <c r="K7" s="370"/>
      <c r="L7" s="1010" t="s">
        <v>17</v>
      </c>
      <c r="M7" s="1012" t="s">
        <v>9</v>
      </c>
      <c r="N7" s="1013"/>
      <c r="O7" s="1012" t="s">
        <v>10</v>
      </c>
      <c r="P7" s="1014"/>
      <c r="Q7" s="1015" t="s">
        <v>26</v>
      </c>
      <c r="R7" s="370"/>
      <c r="S7" s="371" t="s">
        <v>57</v>
      </c>
      <c r="T7" s="372"/>
      <c r="U7" s="373"/>
      <c r="V7" s="370"/>
    </row>
    <row r="8" spans="4:28" ht="15" customHeight="1" x14ac:dyDescent="0.3">
      <c r="D8" s="409"/>
      <c r="E8" s="1011"/>
      <c r="F8" s="374" t="s">
        <v>12</v>
      </c>
      <c r="G8" s="375" t="s">
        <v>14</v>
      </c>
      <c r="H8" s="374" t="s">
        <v>11</v>
      </c>
      <c r="I8" s="375" t="s">
        <v>13</v>
      </c>
      <c r="J8" s="1016"/>
      <c r="K8" s="370"/>
      <c r="L8" s="1011"/>
      <c r="M8" s="374" t="s">
        <v>12</v>
      </c>
      <c r="N8" s="376" t="s">
        <v>14</v>
      </c>
      <c r="O8" s="377" t="s">
        <v>11</v>
      </c>
      <c r="P8" s="378" t="s">
        <v>13</v>
      </c>
      <c r="Q8" s="1016"/>
      <c r="R8" s="370"/>
      <c r="S8" s="379" t="s">
        <v>86</v>
      </c>
      <c r="T8" s="372"/>
      <c r="U8" s="373"/>
      <c r="V8" s="370"/>
    </row>
    <row r="9" spans="4:28" ht="15" customHeight="1" x14ac:dyDescent="0.3">
      <c r="D9" s="409"/>
      <c r="E9" s="380" t="s">
        <v>560</v>
      </c>
      <c r="F9" s="381">
        <v>4.8000000000000001E-2</v>
      </c>
      <c r="G9" s="381">
        <v>0.1</v>
      </c>
      <c r="H9" s="381">
        <v>0.1</v>
      </c>
      <c r="I9" s="381">
        <v>0.1</v>
      </c>
      <c r="J9" s="382">
        <v>0.1</v>
      </c>
      <c r="K9" s="370"/>
      <c r="L9" s="380" t="s">
        <v>2</v>
      </c>
      <c r="M9" s="1017" t="s">
        <v>6</v>
      </c>
      <c r="N9" s="1018"/>
      <c r="O9" s="1017" t="s">
        <v>6</v>
      </c>
      <c r="P9" s="1018"/>
      <c r="Q9" s="383" t="s">
        <v>6</v>
      </c>
      <c r="R9" s="370"/>
      <c r="S9" s="384" t="s">
        <v>59</v>
      </c>
      <c r="T9" s="5"/>
      <c r="U9" s="385"/>
      <c r="V9" s="370"/>
    </row>
    <row r="10" spans="4:28" ht="15" customHeight="1" x14ac:dyDescent="0.3">
      <c r="D10" s="409"/>
      <c r="E10" s="386" t="s">
        <v>1401</v>
      </c>
      <c r="F10" s="381">
        <v>4.8000000000000001E-2</v>
      </c>
      <c r="G10" s="381">
        <v>0.1</v>
      </c>
      <c r="H10" s="381">
        <v>0.1</v>
      </c>
      <c r="I10" s="381">
        <v>0.1</v>
      </c>
      <c r="J10" s="382">
        <v>0.1</v>
      </c>
      <c r="K10" s="370"/>
      <c r="L10" s="390" t="s">
        <v>3</v>
      </c>
      <c r="M10" s="391" t="s">
        <v>8</v>
      </c>
      <c r="N10" s="392" t="s">
        <v>8</v>
      </c>
      <c r="O10" s="393" t="s">
        <v>8</v>
      </c>
      <c r="P10" s="394" t="s">
        <v>8</v>
      </c>
      <c r="Q10" s="395" t="s">
        <v>7</v>
      </c>
      <c r="R10" s="370"/>
      <c r="S10" s="384" t="s">
        <v>289</v>
      </c>
      <c r="T10" s="5"/>
      <c r="U10" s="385"/>
      <c r="V10" s="370"/>
      <c r="X10" s="396" t="s">
        <v>31</v>
      </c>
    </row>
    <row r="11" spans="4:28" ht="15" customHeight="1" x14ac:dyDescent="0.3">
      <c r="D11" s="409"/>
      <c r="E11" s="390" t="s">
        <v>561</v>
      </c>
      <c r="F11" s="381">
        <v>4.8000000000000001E-2</v>
      </c>
      <c r="G11" s="381">
        <v>0.1</v>
      </c>
      <c r="H11" s="381">
        <v>0.1</v>
      </c>
      <c r="I11" s="381">
        <v>0.1</v>
      </c>
      <c r="J11" s="382">
        <v>0.1</v>
      </c>
      <c r="K11" s="370"/>
      <c r="L11" s="390" t="s">
        <v>4</v>
      </c>
      <c r="M11" s="397">
        <f>+IF(OR(운용리스!$BY$5="한성자동차"),#REF!,IF(운용리스!$BY$5="KCC오토",$G$55,IF(운용리스!$BY$5="진모터스",$G$57,IF(운용리스!$BY$5="고진모터스",$G$58,IF(운용리스!$BY$5="유카로오토모빌",$G$59,IF(운용리스!$BY$5="태안모터스",$G$60,IF(운용리스!$BY$5="한서모터스",$G$61,IF(운용리스!$BY$5="클라쎄오토",$G$62,IF(운용리스!$BY$5="아우토플라츠",$G$63,IF(운용리스!$BY$5="마이스터모터스",$G$64,IF(운용리스!$BY$5="케이씨씨모터스",$G$65,IF(운용리스!$BY$5="케이씨씨오토모빌",$G$66,IF(운용리스!$BY$5="아우토슈타트",$G$67,IF(운용리스!$BY$5="렉스모터스",$G$69,IF(운용리스!$BY$5="씨엘모터스",$G$70,IF(운용리스!$BY$5="프리미어모터스",$G$71,IF(운용리스!$BY$5="더파크모터스",$G$72,IF(운용리스!$BY$5="선인자동차",$G$73,IF(운용리스!$BY$5="디에스케이",$G$74,0%)))))))))))))))))))</f>
        <v>0</v>
      </c>
      <c r="N11" s="398">
        <f>+IF(OR(운용리스!$BY$5="한성자동차"),#REF!,IF(운용리스!$BY$5="KCC오토",$G$55,IF(운용리스!$BY$5="진모터스",$G$57,IF(운용리스!$BY$5="고진모터스",$G$58,IF(운용리스!$BY$5="유카로오토모빌",$G$59,IF(운용리스!$BY$5="태안모터스",$G$60,IF(운용리스!$BY$5="한서모터스",$G$61,IF(운용리스!$BY$5="클라쎄오토",$G$62,IF(운용리스!$BY$5="아우토플라츠",$G$63,IF(운용리스!$BY$5="마이스터모터스",$G$64,IF(운용리스!$BY$5="케이씨씨모터스",$G$65,IF(운용리스!$BY$5="케이씨씨오토모빌",$G$66,IF(운용리스!$BY$5="아우토슈타트",$G$67,IF(운용리스!$BY$5="렉스모터스",$G$69,IF(운용리스!$BY$5="씨엘모터스",$G$70,IF(운용리스!$BY$5="프리미어모터스",$G$71,IF(운용리스!$BY$5="더파크모터스",$G$72,IF(운용리스!$BY$5="선인자동차",$G$73,IF(운용리스!$BY$5="디에스케이",$G$74,0%)))))))))))))))))))</f>
        <v>0</v>
      </c>
      <c r="O11" s="397">
        <f>+IF(OR(금융리스!$BY$5="한성자동차"),#REF!,IF(금융리스!$BY$5="KCC오토",$H$55,IF(금융리스!$BY$5="진모터스",$H$57,IF(금융리스!$BY$5="고진모터스",$H$58,IF(금융리스!$BY$5="유카로오토모빌",$H$59,IF(금융리스!$BY$5="태안모터스",$H$60,IF(금융리스!$BY$5="한서모터스",$H$61,IF(금융리스!$BY$5="클라쎄오토",$H$62,IF(금융리스!$BY$5="아우토플라츠",$H$63,IF(금융리스!$BY$5="마이스터모터스",$H$64,IF(금융리스!$BY$5="케이씨씨모터스",$H$65,IF(금융리스!$BY$5="케이씨씨오토모빌",$H$66,IF(금융리스!$BY$5="아우토슈타트",$H$67,IF(금융리스!$BY$5="렉스모터스",$H$69,IF(금융리스!$BY$5="씨엘모터스",$H$70,IF(금융리스!$BY$5="프리미어모터스",$H$71,IF(금융리스!$BY$5="더파크모터스",$H$72,IF(금융리스!$BY$5="선인자동차",$H$73,IF(금융리스!$BY$5="디에스케이",$H$74,0%)))))))))))))))))))</f>
        <v>0</v>
      </c>
      <c r="P11" s="398">
        <f>+IF(OR(금융리스!$BY$5="한성자동차"),#REF!,IF(금융리스!$BY$5="KCC오토",$H$55,IF(금융리스!$BY$5="진모터스",$H$57,IF(금융리스!$BY$5="고진모터스",$H$58,IF(금융리스!$BY$5="유카로오토모빌",$H$59,IF(금융리스!$BY$5="태안모터스",$H$60,IF(금융리스!$BY$5="한서모터스",$H$61,IF(금융리스!$BY$5="클라쎄오토",$H$62,IF(금융리스!$BY$5="아우토플라츠",$H$63,IF(금융리스!$BY$5="마이스터모터스",$H$64,IF(금융리스!$BY$5="케이씨씨모터스",$H$65,IF(금융리스!$BY$5="케이씨씨오토모빌",$H$66,IF(금융리스!$BY$5="아우토슈타트",$H$67,IF(금융리스!$BY$5="렉스모터스",$H$69,IF(금융리스!$BY$5="씨엘모터스",$H$70,IF(금융리스!$BY$5="프리미어모터스",$H$71,IF(금융리스!$BY$5="더파크모터스",$H$72,IF(금융리스!$BY$5="선인자동차",$H$73,IF(금융리스!$BY$5="디에스케이",$H$74,0%)))))))))))))))))))</f>
        <v>0</v>
      </c>
      <c r="Q11" s="399">
        <f>+IF(OR(할부오토론!$BY$5="한성자동차"),#REF!,IF(할부오토론!$BY$5="KCC오토",$I$55,IF(할부오토론!$BY$5="진모터스",$I$57,IF(할부오토론!$BY$5="고진모터스",$I$58,IF(할부오토론!$BY$5="유카로오토모빌",$I$59,IF(할부오토론!$BY$5="태안모터스",$I$60,IF(할부오토론!$BY$5="한서모터스",$I$61,IF(할부오토론!$BY$5="클라쎄오토",$I$62,IF(할부오토론!$BY$5="아우토플라츠",$I$63,IF(할부오토론!$BY$5="마이스터모터스",$I$64,IF(할부오토론!$BY$5="케이씨씨모터스",$I$65,IF(할부오토론!$BY$5="케이씨씨오토모빌",$I$66,IF(할부오토론!$BY$5="아우토슈타트",$I$67,IF(할부오토론!$BY$5="렉스모터스",$I$69,IF(할부오토론!$BY$5="씨엘모터스",$I$70,IF(할부오토론!$BY$5="프리미어모터스",$I$71,IF(할부오토론!$BY$5="더파크모터스",$I$72,IF(할부오토론!$BY$5="선인자동차",$I$73,IF(할부오토론!$BY$5="디에스케이",$I$74,0%)))))))))))))))))))</f>
        <v>0</v>
      </c>
      <c r="R11" s="370"/>
      <c r="S11" s="384" t="s">
        <v>87</v>
      </c>
      <c r="T11" s="5"/>
      <c r="U11" s="385"/>
      <c r="V11" s="370"/>
      <c r="X11" s="400" t="b">
        <f>IF(OR(M10="요율",M10="요율+금액"),TRUE,"")</f>
        <v>1</v>
      </c>
      <c r="Y11" s="400" t="b">
        <f>IF(OR(N10="요율",N10="요율+금액"),TRUE,"")</f>
        <v>1</v>
      </c>
      <c r="Z11" s="400" t="b">
        <f>IF(OR(O10="요율",O10="요율+금액"),TRUE,"")</f>
        <v>1</v>
      </c>
      <c r="AA11" s="400" t="b">
        <f>IF(OR(P10="요율",P10="요율+금액"),TRUE,"")</f>
        <v>1</v>
      </c>
      <c r="AB11" s="400" t="b">
        <f>IF(OR(Q10="요율",Q10="요율+금액"),TRUE,"")</f>
        <v>1</v>
      </c>
    </row>
    <row r="12" spans="4:28" ht="15" customHeight="1" thickBot="1" x14ac:dyDescent="0.35">
      <c r="D12" s="409"/>
      <c r="E12" s="390" t="s">
        <v>0</v>
      </c>
      <c r="F12" s="381">
        <v>4.8000000000000001E-2</v>
      </c>
      <c r="G12" s="381">
        <v>0.1</v>
      </c>
      <c r="H12" s="381">
        <v>0.1</v>
      </c>
      <c r="I12" s="381">
        <v>0.1</v>
      </c>
      <c r="J12" s="382">
        <v>0.1</v>
      </c>
      <c r="K12" s="370"/>
      <c r="L12" s="401" t="s">
        <v>5</v>
      </c>
      <c r="M12" s="402">
        <v>0</v>
      </c>
      <c r="N12" s="403">
        <v>0</v>
      </c>
      <c r="O12" s="404">
        <v>0</v>
      </c>
      <c r="P12" s="405">
        <v>0</v>
      </c>
      <c r="Q12" s="406">
        <v>0</v>
      </c>
      <c r="R12" s="370"/>
      <c r="S12" s="384" t="s">
        <v>97</v>
      </c>
      <c r="T12" s="5"/>
      <c r="U12" s="385"/>
      <c r="V12" s="370"/>
      <c r="X12" s="400" t="str">
        <f>IF(OR(M10="금액",M10="요율+금액"),TRUE,"")</f>
        <v/>
      </c>
      <c r="Y12" s="400" t="str">
        <f>IF(OR(N10="금액",N10="요율+금액"),TRUE,"")</f>
        <v/>
      </c>
      <c r="Z12" s="400" t="str">
        <f>IF(OR(O10="금액",O10="요율+금액"),TRUE,"")</f>
        <v/>
      </c>
      <c r="AA12" s="400" t="str">
        <f>IF(OR(P10="금액",P10="요율+금액"),TRUE,"")</f>
        <v/>
      </c>
      <c r="AB12" s="400" t="b">
        <f>IF(OR(Q10="금액",Q10="요율+금액"),TRUE,"")</f>
        <v>1</v>
      </c>
    </row>
    <row r="13" spans="4:28" ht="15" customHeight="1" x14ac:dyDescent="0.3">
      <c r="D13" s="409"/>
      <c r="E13" s="386" t="s">
        <v>562</v>
      </c>
      <c r="F13" s="381">
        <v>4.8000000000000001E-2</v>
      </c>
      <c r="G13" s="381">
        <v>0.1</v>
      </c>
      <c r="H13" s="381">
        <v>0.1</v>
      </c>
      <c r="I13" s="381">
        <v>0.1</v>
      </c>
      <c r="J13" s="382">
        <v>0.1</v>
      </c>
      <c r="K13" s="370"/>
      <c r="L13" s="407" t="s">
        <v>28</v>
      </c>
      <c r="M13" s="385"/>
      <c r="N13" s="385"/>
      <c r="O13" s="385"/>
      <c r="P13" s="385"/>
      <c r="Q13" s="385"/>
      <c r="R13" s="370"/>
      <c r="S13" s="384" t="s">
        <v>88</v>
      </c>
      <c r="T13" s="5"/>
      <c r="U13" s="385"/>
      <c r="V13" s="370"/>
      <c r="X13" s="408"/>
      <c r="Y13" s="408"/>
      <c r="Z13" s="408"/>
      <c r="AA13" s="408"/>
      <c r="AB13" s="408"/>
    </row>
    <row r="14" spans="4:28" ht="15" customHeight="1" x14ac:dyDescent="0.3">
      <c r="D14" s="409"/>
      <c r="E14" s="390" t="s">
        <v>563</v>
      </c>
      <c r="F14" s="381">
        <v>4.8000000000000001E-2</v>
      </c>
      <c r="G14" s="381">
        <v>0.1</v>
      </c>
      <c r="H14" s="381">
        <v>0.1</v>
      </c>
      <c r="I14" s="381">
        <v>0.1</v>
      </c>
      <c r="J14" s="382">
        <v>0.1</v>
      </c>
      <c r="K14" s="370"/>
      <c r="L14" s="409"/>
      <c r="M14" s="385"/>
      <c r="N14" s="385"/>
      <c r="O14" s="385"/>
      <c r="P14" s="385"/>
      <c r="Q14" s="385"/>
      <c r="R14" s="370"/>
      <c r="S14" s="384" t="s">
        <v>89</v>
      </c>
      <c r="T14" s="5"/>
      <c r="U14" s="385"/>
      <c r="V14" s="370"/>
      <c r="X14" s="410"/>
      <c r="Y14" s="410"/>
      <c r="Z14" s="410"/>
      <c r="AA14" s="410"/>
      <c r="AB14" s="410"/>
    </row>
    <row r="15" spans="4:28" ht="15" customHeight="1" x14ac:dyDescent="0.3">
      <c r="D15" s="409"/>
      <c r="E15" s="386" t="s">
        <v>564</v>
      </c>
      <c r="F15" s="381">
        <v>4.8000000000000001E-2</v>
      </c>
      <c r="G15" s="381">
        <v>0.1</v>
      </c>
      <c r="H15" s="381">
        <v>0.1</v>
      </c>
      <c r="I15" s="381">
        <v>0.1</v>
      </c>
      <c r="J15" s="382">
        <v>0.1</v>
      </c>
      <c r="K15" s="370"/>
      <c r="L15" s="1022" t="s">
        <v>251</v>
      </c>
      <c r="M15" s="1035" t="s">
        <v>9</v>
      </c>
      <c r="N15" s="1036"/>
      <c r="O15" s="1035" t="s">
        <v>10</v>
      </c>
      <c r="P15" s="1037"/>
      <c r="Q15" s="1045" t="s">
        <v>26</v>
      </c>
      <c r="R15" s="370"/>
      <c r="S15" s="384" t="s">
        <v>90</v>
      </c>
      <c r="T15" s="5"/>
      <c r="U15" s="385"/>
      <c r="V15" s="370"/>
    </row>
    <row r="16" spans="4:28" ht="15" customHeight="1" x14ac:dyDescent="0.3">
      <c r="D16" s="409"/>
      <c r="E16" s="390" t="s">
        <v>565</v>
      </c>
      <c r="F16" s="381">
        <v>4.8000000000000001E-2</v>
      </c>
      <c r="G16" s="381">
        <v>0.1</v>
      </c>
      <c r="H16" s="381">
        <v>0.1</v>
      </c>
      <c r="I16" s="381">
        <v>0.1</v>
      </c>
      <c r="J16" s="382">
        <v>0.1</v>
      </c>
      <c r="K16" s="370"/>
      <c r="L16" s="1023"/>
      <c r="M16" s="374" t="s">
        <v>12</v>
      </c>
      <c r="N16" s="376" t="s">
        <v>14</v>
      </c>
      <c r="O16" s="377" t="s">
        <v>11</v>
      </c>
      <c r="P16" s="378" t="s">
        <v>13</v>
      </c>
      <c r="Q16" s="1046"/>
      <c r="R16" s="370"/>
      <c r="S16" s="384" t="s">
        <v>91</v>
      </c>
      <c r="T16" s="5"/>
      <c r="U16" s="385"/>
      <c r="V16" s="370"/>
    </row>
    <row r="17" spans="4:28" ht="15" customHeight="1" x14ac:dyDescent="0.3">
      <c r="D17" s="409"/>
      <c r="E17" s="386" t="s">
        <v>567</v>
      </c>
      <c r="F17" s="381">
        <v>4.8000000000000001E-2</v>
      </c>
      <c r="G17" s="381">
        <v>0.1</v>
      </c>
      <c r="H17" s="381">
        <v>0.1</v>
      </c>
      <c r="I17" s="381">
        <v>0.1</v>
      </c>
      <c r="J17" s="382">
        <v>0.1</v>
      </c>
      <c r="K17" s="370"/>
      <c r="L17" s="411" t="s">
        <v>2</v>
      </c>
      <c r="M17" s="1017" t="s">
        <v>15</v>
      </c>
      <c r="N17" s="1018"/>
      <c r="O17" s="1017" t="s">
        <v>6</v>
      </c>
      <c r="P17" s="1018"/>
      <c r="Q17" s="412" t="s">
        <v>6</v>
      </c>
      <c r="R17" s="370"/>
      <c r="S17" s="413" t="s">
        <v>92</v>
      </c>
      <c r="T17" s="5"/>
      <c r="U17" s="385"/>
      <c r="V17" s="370"/>
    </row>
    <row r="18" spans="4:28" ht="15" customHeight="1" x14ac:dyDescent="0.3">
      <c r="D18" s="409"/>
      <c r="E18" s="390" t="s">
        <v>569</v>
      </c>
      <c r="F18" s="381">
        <v>4.8000000000000001E-2</v>
      </c>
      <c r="G18" s="381">
        <v>0.1</v>
      </c>
      <c r="H18" s="381">
        <v>0.1</v>
      </c>
      <c r="I18" s="381">
        <v>0.1</v>
      </c>
      <c r="J18" s="382">
        <v>0.1</v>
      </c>
      <c r="K18" s="370"/>
      <c r="L18" s="414" t="s">
        <v>3</v>
      </c>
      <c r="M18" s="391" t="s">
        <v>7</v>
      </c>
      <c r="N18" s="392" t="s">
        <v>8</v>
      </c>
      <c r="O18" s="393" t="s">
        <v>8</v>
      </c>
      <c r="P18" s="394" t="s">
        <v>7</v>
      </c>
      <c r="Q18" s="394" t="s">
        <v>7</v>
      </c>
      <c r="R18" s="370"/>
      <c r="S18" s="5"/>
      <c r="T18" s="5"/>
      <c r="U18" s="385"/>
      <c r="V18" s="370"/>
      <c r="X18" s="396" t="s">
        <v>30</v>
      </c>
    </row>
    <row r="19" spans="4:28" ht="15" customHeight="1" x14ac:dyDescent="0.3">
      <c r="D19" s="409"/>
      <c r="E19" s="386" t="s">
        <v>312</v>
      </c>
      <c r="F19" s="381">
        <v>4.8000000000000001E-2</v>
      </c>
      <c r="G19" s="381">
        <v>0.1</v>
      </c>
      <c r="H19" s="381">
        <v>0.1</v>
      </c>
      <c r="I19" s="381">
        <v>0.1</v>
      </c>
      <c r="J19" s="382">
        <v>0.1</v>
      </c>
      <c r="K19" s="370"/>
      <c r="L19" s="414" t="s">
        <v>4</v>
      </c>
      <c r="M19" s="397">
        <v>0</v>
      </c>
      <c r="N19" s="415">
        <v>0</v>
      </c>
      <c r="O19" s="416">
        <v>0</v>
      </c>
      <c r="P19" s="398">
        <v>0</v>
      </c>
      <c r="Q19" s="417">
        <v>0</v>
      </c>
      <c r="R19" s="370"/>
      <c r="S19" s="5"/>
      <c r="T19" s="5"/>
      <c r="U19" s="385"/>
      <c r="V19" s="370"/>
      <c r="X19" s="400" t="b">
        <f>IF(OR(M18="요율",M18="요율+금액"),TRUE,"")</f>
        <v>1</v>
      </c>
      <c r="Y19" s="400" t="b">
        <f>IF(OR(N18="요율",N18="요율+금액"),TRUE,"")</f>
        <v>1</v>
      </c>
      <c r="Z19" s="400" t="b">
        <f>IF(OR(O18="요율",O18="요율+금액"),TRUE,"")</f>
        <v>1</v>
      </c>
      <c r="AA19" s="400" t="b">
        <f>IF(OR(P18="요율",P18="요율+금액"),TRUE,"")</f>
        <v>1</v>
      </c>
      <c r="AB19" s="400" t="b">
        <f>IF(OR(Q18="요율",Q18="요율+금액"),TRUE,"")</f>
        <v>1</v>
      </c>
    </row>
    <row r="20" spans="4:28" ht="15" customHeight="1" x14ac:dyDescent="0.3">
      <c r="D20" s="409"/>
      <c r="E20" s="390" t="s">
        <v>572</v>
      </c>
      <c r="F20" s="381">
        <v>4.8000000000000001E-2</v>
      </c>
      <c r="G20" s="381">
        <v>0.1</v>
      </c>
      <c r="H20" s="381">
        <v>0.1</v>
      </c>
      <c r="I20" s="381">
        <v>0.1</v>
      </c>
      <c r="J20" s="382">
        <v>0.1</v>
      </c>
      <c r="K20" s="370"/>
      <c r="L20" s="418" t="s">
        <v>5</v>
      </c>
      <c r="M20" s="419">
        <v>0</v>
      </c>
      <c r="N20" s="420">
        <v>0</v>
      </c>
      <c r="O20" s="421">
        <v>0</v>
      </c>
      <c r="P20" s="422">
        <v>0</v>
      </c>
      <c r="Q20" s="423">
        <v>0</v>
      </c>
      <c r="R20" s="370"/>
      <c r="S20" s="1040" t="s">
        <v>320</v>
      </c>
      <c r="T20" s="1041"/>
      <c r="U20" s="385"/>
      <c r="V20" s="370"/>
      <c r="X20" s="400" t="b">
        <f>IF(OR(M18="금액",M18="요율+금액"),TRUE,"")</f>
        <v>1</v>
      </c>
      <c r="Y20" s="400" t="str">
        <f>IF(OR(N18="금액",N18="요율+금액"),TRUE,"")</f>
        <v/>
      </c>
      <c r="Z20" s="400" t="str">
        <f>IF(OR(O18="금액",O18="요율+금액"),TRUE,"")</f>
        <v/>
      </c>
      <c r="AA20" s="400" t="b">
        <f>IF(OR(P18="금액",P18="요율+금액"),TRUE,"")</f>
        <v>1</v>
      </c>
      <c r="AB20" s="400" t="b">
        <f>IF(OR(Q18="금액",Q18="요율+금액"),TRUE,"")</f>
        <v>1</v>
      </c>
    </row>
    <row r="21" spans="4:28" ht="15" customHeight="1" x14ac:dyDescent="0.3">
      <c r="D21" s="409"/>
      <c r="E21" s="386" t="s">
        <v>314</v>
      </c>
      <c r="F21" s="381">
        <v>4.8000000000000001E-2</v>
      </c>
      <c r="G21" s="381">
        <v>0.1</v>
      </c>
      <c r="H21" s="381">
        <v>0.1</v>
      </c>
      <c r="I21" s="381">
        <v>0.1</v>
      </c>
      <c r="J21" s="382">
        <v>0.1</v>
      </c>
      <c r="K21" s="370"/>
      <c r="L21" s="407" t="s">
        <v>19</v>
      </c>
      <c r="M21" s="385"/>
      <c r="N21" s="385"/>
      <c r="O21" s="385"/>
      <c r="P21" s="385"/>
      <c r="Q21" s="385"/>
      <c r="R21" s="370"/>
      <c r="S21" s="424" t="s">
        <v>216</v>
      </c>
      <c r="T21" s="425">
        <v>0.5</v>
      </c>
      <c r="U21" s="370"/>
      <c r="V21" s="370"/>
      <c r="X21" s="408"/>
      <c r="Y21" s="408"/>
      <c r="Z21" s="408"/>
      <c r="AA21" s="408"/>
      <c r="AB21" s="408"/>
    </row>
    <row r="22" spans="4:28" ht="15" customHeight="1" thickBot="1" x14ac:dyDescent="0.35">
      <c r="D22" s="409"/>
      <c r="E22" s="390" t="s">
        <v>574</v>
      </c>
      <c r="F22" s="381">
        <v>4.8000000000000001E-2</v>
      </c>
      <c r="G22" s="381">
        <v>0.1</v>
      </c>
      <c r="H22" s="381">
        <v>0.1</v>
      </c>
      <c r="I22" s="381">
        <v>0.1</v>
      </c>
      <c r="J22" s="382">
        <v>0.1</v>
      </c>
      <c r="K22" s="370"/>
      <c r="L22" s="1"/>
      <c r="M22" s="2"/>
      <c r="N22" s="2"/>
      <c r="O22" s="2"/>
      <c r="P22" s="2"/>
      <c r="Q22" s="2"/>
      <c r="R22" s="3"/>
      <c r="S22" s="426" t="s">
        <v>217</v>
      </c>
      <c r="T22" s="427">
        <v>1</v>
      </c>
      <c r="U22" s="3"/>
      <c r="V22" s="3"/>
      <c r="W22" s="428"/>
      <c r="X22" s="410"/>
      <c r="Y22" s="410"/>
      <c r="Z22" s="410"/>
      <c r="AA22" s="410"/>
      <c r="AB22" s="410"/>
    </row>
    <row r="23" spans="4:28" ht="15" customHeight="1" thickBot="1" x14ac:dyDescent="0.35">
      <c r="D23" s="409"/>
      <c r="E23" s="390" t="s">
        <v>573</v>
      </c>
      <c r="F23" s="381">
        <v>4.8000000000000001E-2</v>
      </c>
      <c r="G23" s="381">
        <v>0.1</v>
      </c>
      <c r="H23" s="381">
        <v>0.1</v>
      </c>
      <c r="I23" s="381">
        <v>0.1</v>
      </c>
      <c r="J23" s="382">
        <v>0.1</v>
      </c>
      <c r="K23" s="370"/>
      <c r="L23" s="1024" t="s">
        <v>39</v>
      </c>
      <c r="M23" s="1025"/>
      <c r="N23" s="2"/>
      <c r="O23" s="1026" t="s">
        <v>21</v>
      </c>
      <c r="P23" s="1027"/>
      <c r="Q23" s="1028"/>
      <c r="R23" s="3"/>
      <c r="S23" s="429" t="s">
        <v>231</v>
      </c>
      <c r="T23" s="430">
        <v>0</v>
      </c>
      <c r="U23" s="370"/>
      <c r="V23" s="3"/>
      <c r="W23" s="428"/>
    </row>
    <row r="24" spans="4:28" ht="15" customHeight="1" thickTop="1" x14ac:dyDescent="0.3">
      <c r="D24" s="409"/>
      <c r="E24" s="386" t="s">
        <v>598</v>
      </c>
      <c r="F24" s="381">
        <v>4.8000000000000001E-2</v>
      </c>
      <c r="G24" s="381">
        <v>0.1</v>
      </c>
      <c r="H24" s="381">
        <v>0.1</v>
      </c>
      <c r="I24" s="381">
        <v>0.1</v>
      </c>
      <c r="J24" s="382">
        <v>0.1</v>
      </c>
      <c r="K24" s="370"/>
      <c r="L24" s="431" t="s">
        <v>9</v>
      </c>
      <c r="M24" s="432" t="s">
        <v>20</v>
      </c>
      <c r="N24" s="2"/>
      <c r="O24" s="1029" t="s">
        <v>214</v>
      </c>
      <c r="P24" s="1030"/>
      <c r="Q24" s="433" t="s">
        <v>6</v>
      </c>
      <c r="R24" s="3"/>
      <c r="S24" s="370"/>
      <c r="T24" s="370"/>
      <c r="U24" s="370"/>
      <c r="V24" s="3"/>
      <c r="W24" s="428"/>
    </row>
    <row r="25" spans="4:28" ht="15" customHeight="1" x14ac:dyDescent="0.3">
      <c r="D25" s="409"/>
      <c r="E25" s="390" t="s">
        <v>568</v>
      </c>
      <c r="F25" s="381">
        <v>4.8000000000000001E-2</v>
      </c>
      <c r="G25" s="381">
        <v>0.1</v>
      </c>
      <c r="H25" s="381">
        <v>0.1</v>
      </c>
      <c r="I25" s="381">
        <v>0.1</v>
      </c>
      <c r="J25" s="382">
        <v>0.1</v>
      </c>
      <c r="K25" s="370"/>
      <c r="L25" s="434" t="s">
        <v>323</v>
      </c>
      <c r="M25" s="435">
        <v>0</v>
      </c>
      <c r="N25" s="4"/>
      <c r="O25" s="1031" t="s">
        <v>22</v>
      </c>
      <c r="P25" s="1032"/>
      <c r="Q25" s="433" t="s">
        <v>6</v>
      </c>
      <c r="R25" s="3"/>
      <c r="S25" s="1038" t="s">
        <v>42</v>
      </c>
      <c r="T25" s="1039"/>
      <c r="U25" s="436"/>
      <c r="V25" s="3"/>
      <c r="W25" s="428"/>
    </row>
    <row r="26" spans="4:28" ht="15" customHeight="1" x14ac:dyDescent="0.3">
      <c r="D26" s="409"/>
      <c r="E26" s="386" t="s">
        <v>570</v>
      </c>
      <c r="F26" s="381">
        <v>4.8000000000000001E-2</v>
      </c>
      <c r="G26" s="381">
        <v>0.1</v>
      </c>
      <c r="H26" s="381">
        <v>0.1</v>
      </c>
      <c r="I26" s="381">
        <v>0.1</v>
      </c>
      <c r="J26" s="382">
        <v>0.1</v>
      </c>
      <c r="K26" s="370"/>
      <c r="L26" s="434"/>
      <c r="M26" s="437">
        <f>+운용리스!$K$14*견적관리자용!N26</f>
        <v>0</v>
      </c>
      <c r="N26" s="296"/>
      <c r="O26" s="1042" t="s">
        <v>27</v>
      </c>
      <c r="P26" s="1043"/>
      <c r="Q26" s="433" t="s">
        <v>6</v>
      </c>
      <c r="R26" s="3"/>
      <c r="S26" s="438" t="s">
        <v>215</v>
      </c>
      <c r="T26" s="439">
        <v>1</v>
      </c>
      <c r="U26" s="440"/>
      <c r="V26" s="3"/>
      <c r="W26" s="428"/>
    </row>
    <row r="27" spans="4:28" ht="15" customHeight="1" x14ac:dyDescent="0.3">
      <c r="D27" s="409"/>
      <c r="E27" s="390" t="s">
        <v>319</v>
      </c>
      <c r="F27" s="381">
        <v>4.8000000000000001E-2</v>
      </c>
      <c r="G27" s="381">
        <v>0.1</v>
      </c>
      <c r="H27" s="381">
        <v>0.1</v>
      </c>
      <c r="I27" s="381">
        <v>0.1</v>
      </c>
      <c r="J27" s="382">
        <v>0.1</v>
      </c>
      <c r="K27" s="370"/>
      <c r="L27" s="434"/>
      <c r="M27" s="437">
        <f>+운용리스!$K$14*견적관리자용!N27</f>
        <v>0</v>
      </c>
      <c r="N27" s="296"/>
      <c r="O27" s="1044"/>
      <c r="P27" s="1044"/>
      <c r="Q27" s="6"/>
      <c r="R27" s="3"/>
      <c r="S27" s="3"/>
      <c r="T27" s="3"/>
      <c r="U27" s="3"/>
      <c r="V27" s="3"/>
      <c r="W27" s="428"/>
    </row>
    <row r="28" spans="4:28" ht="15" customHeight="1" x14ac:dyDescent="0.3">
      <c r="D28" s="409"/>
      <c r="E28" s="390" t="s">
        <v>345</v>
      </c>
      <c r="F28" s="381">
        <v>4.8000000000000001E-2</v>
      </c>
      <c r="G28" s="381">
        <v>0.1</v>
      </c>
      <c r="H28" s="381">
        <v>0.1</v>
      </c>
      <c r="I28" s="381">
        <v>0.1</v>
      </c>
      <c r="J28" s="382">
        <v>0.1</v>
      </c>
      <c r="K28" s="370"/>
      <c r="L28" s="434"/>
      <c r="M28" s="437"/>
      <c r="N28" s="3"/>
      <c r="O28" s="1026" t="s">
        <v>23</v>
      </c>
      <c r="P28" s="1027"/>
      <c r="Q28" s="1028"/>
      <c r="R28" s="3"/>
      <c r="S28" s="3"/>
      <c r="T28" s="3"/>
      <c r="U28" s="3"/>
      <c r="V28" s="3"/>
      <c r="W28" s="428"/>
    </row>
    <row r="29" spans="4:28" ht="15" customHeight="1" x14ac:dyDescent="0.3">
      <c r="D29" s="409"/>
      <c r="E29" s="390" t="s">
        <v>566</v>
      </c>
      <c r="F29" s="381">
        <v>4.8000000000000001E-2</v>
      </c>
      <c r="G29" s="381">
        <v>0.1</v>
      </c>
      <c r="H29" s="381">
        <v>0.1</v>
      </c>
      <c r="I29" s="381">
        <v>0.1</v>
      </c>
      <c r="J29" s="382">
        <v>0.1</v>
      </c>
      <c r="K29" s="370"/>
      <c r="L29" s="434"/>
      <c r="M29" s="437"/>
      <c r="N29" s="3"/>
      <c r="O29" s="1033"/>
      <c r="P29" s="1034"/>
      <c r="Q29" s="442"/>
      <c r="R29" s="443"/>
      <c r="S29" s="3"/>
      <c r="T29" s="3"/>
      <c r="U29" s="3"/>
      <c r="V29" s="3"/>
      <c r="W29" s="428"/>
    </row>
    <row r="30" spans="4:28" ht="15" customHeight="1" thickBot="1" x14ac:dyDescent="0.35">
      <c r="D30" s="409"/>
      <c r="E30" s="390" t="s">
        <v>571</v>
      </c>
      <c r="F30" s="381">
        <v>4.8000000000000001E-2</v>
      </c>
      <c r="G30" s="381">
        <v>0.1</v>
      </c>
      <c r="H30" s="381">
        <v>0.1</v>
      </c>
      <c r="I30" s="381">
        <v>0.1</v>
      </c>
      <c r="J30" s="382">
        <v>0.1</v>
      </c>
      <c r="K30" s="370"/>
      <c r="L30" s="8"/>
      <c r="M30" s="13"/>
      <c r="N30" s="5"/>
      <c r="O30" s="1042" t="s">
        <v>24</v>
      </c>
      <c r="P30" s="1043"/>
      <c r="Q30" s="444" t="s">
        <v>331</v>
      </c>
      <c r="R30" s="443" t="s">
        <v>38</v>
      </c>
      <c r="S30" s="3"/>
      <c r="T30" s="3"/>
      <c r="U30" s="3"/>
      <c r="V30" s="3"/>
      <c r="W30" s="428"/>
    </row>
    <row r="31" spans="4:28" ht="15" customHeight="1" thickTop="1" x14ac:dyDescent="0.3">
      <c r="D31" s="409"/>
      <c r="E31" s="390" t="s">
        <v>659</v>
      </c>
      <c r="F31" s="381">
        <v>4.8000000000000001E-2</v>
      </c>
      <c r="G31" s="381">
        <v>0.1</v>
      </c>
      <c r="H31" s="381">
        <v>0.1</v>
      </c>
      <c r="I31" s="381">
        <v>0.1</v>
      </c>
      <c r="J31" s="382">
        <v>0.1</v>
      </c>
      <c r="K31" s="370"/>
      <c r="L31" s="446" t="s">
        <v>10</v>
      </c>
      <c r="M31" s="447" t="s">
        <v>20</v>
      </c>
      <c r="N31" s="5"/>
      <c r="O31" s="1050"/>
      <c r="P31" s="1050"/>
      <c r="Q31" s="448"/>
      <c r="R31" s="443"/>
      <c r="S31" s="3"/>
      <c r="T31" s="3"/>
      <c r="U31" s="3"/>
      <c r="V31" s="3"/>
      <c r="W31" s="428"/>
    </row>
    <row r="32" spans="4:28" ht="15" customHeight="1" x14ac:dyDescent="0.3">
      <c r="D32" s="409"/>
      <c r="E32" s="390" t="s">
        <v>655</v>
      </c>
      <c r="F32" s="381">
        <v>4.8000000000000001E-2</v>
      </c>
      <c r="G32" s="381">
        <v>0.1</v>
      </c>
      <c r="H32" s="381">
        <v>0.1</v>
      </c>
      <c r="I32" s="381">
        <v>0.1</v>
      </c>
      <c r="J32" s="382">
        <v>0.1</v>
      </c>
      <c r="K32" s="370"/>
      <c r="L32" s="434" t="s">
        <v>323</v>
      </c>
      <c r="M32" s="435">
        <v>0</v>
      </c>
      <c r="N32" s="5"/>
      <c r="O32" s="1057"/>
      <c r="P32" s="1057"/>
      <c r="Q32" s="440"/>
      <c r="R32" s="443"/>
      <c r="S32" s="436"/>
      <c r="T32" s="370"/>
      <c r="U32" s="436"/>
      <c r="V32" s="3"/>
      <c r="W32" s="428"/>
    </row>
    <row r="33" spans="4:27" ht="15" customHeight="1" x14ac:dyDescent="0.3">
      <c r="D33" s="409"/>
      <c r="E33" s="390" t="s">
        <v>1109</v>
      </c>
      <c r="F33" s="381">
        <v>4.8000000000000001E-2</v>
      </c>
      <c r="G33" s="381">
        <v>6.5000000000000002E-2</v>
      </c>
      <c r="H33" s="381">
        <v>6.5000000000000002E-2</v>
      </c>
      <c r="I33" s="381">
        <v>6.5000000000000002E-2</v>
      </c>
      <c r="J33" s="382">
        <v>6.5000000000000002E-2</v>
      </c>
      <c r="K33" s="370"/>
      <c r="L33" s="434"/>
      <c r="M33" s="437">
        <f>+금융리스!$K$14*견적관리자용!N33</f>
        <v>0</v>
      </c>
      <c r="N33" s="296"/>
      <c r="O33" s="409"/>
      <c r="P33" s="409"/>
      <c r="Q33" s="409"/>
      <c r="R33" s="3"/>
      <c r="S33" s="449"/>
      <c r="T33" s="370"/>
      <c r="U33" s="450"/>
      <c r="V33" s="3"/>
      <c r="W33" s="428"/>
    </row>
    <row r="34" spans="4:27" ht="15" customHeight="1" x14ac:dyDescent="0.3">
      <c r="D34" s="409"/>
      <c r="E34" s="390"/>
      <c r="F34" s="388"/>
      <c r="G34" s="445"/>
      <c r="H34" s="387"/>
      <c r="I34" s="441"/>
      <c r="J34" s="389"/>
      <c r="K34" s="370"/>
      <c r="L34" s="434"/>
      <c r="M34" s="437">
        <f>+금융리스!$K$14*견적관리자용!N34</f>
        <v>0</v>
      </c>
      <c r="N34" s="296"/>
      <c r="O34" s="1026" t="s">
        <v>25</v>
      </c>
      <c r="P34" s="1027"/>
      <c r="Q34" s="1028"/>
      <c r="R34" s="3"/>
      <c r="S34" s="1038" t="s">
        <v>65</v>
      </c>
      <c r="T34" s="1039"/>
      <c r="U34" s="450"/>
      <c r="V34" s="3"/>
      <c r="W34" s="428"/>
    </row>
    <row r="35" spans="4:27" ht="15" customHeight="1" x14ac:dyDescent="0.3">
      <c r="D35" s="409"/>
      <c r="E35" s="390"/>
      <c r="F35" s="388"/>
      <c r="G35" s="445"/>
      <c r="H35" s="387"/>
      <c r="I35" s="441"/>
      <c r="J35" s="389"/>
      <c r="K35" s="370"/>
      <c r="L35" s="434"/>
      <c r="M35" s="437"/>
      <c r="N35" s="5"/>
      <c r="O35" s="1055">
        <v>12</v>
      </c>
      <c r="P35" s="1056"/>
      <c r="Q35" s="451">
        <v>0.5</v>
      </c>
      <c r="R35" s="452"/>
      <c r="S35" s="453" t="s">
        <v>66</v>
      </c>
      <c r="T35" s="454">
        <v>0</v>
      </c>
      <c r="U35" s="450"/>
      <c r="V35" s="3"/>
      <c r="W35" s="428"/>
    </row>
    <row r="36" spans="4:27" ht="15" customHeight="1" thickBot="1" x14ac:dyDescent="0.35">
      <c r="D36" s="409"/>
      <c r="E36" s="401"/>
      <c r="F36" s="455"/>
      <c r="G36" s="456"/>
      <c r="H36" s="457"/>
      <c r="I36" s="458"/>
      <c r="J36" s="459"/>
      <c r="K36" s="370"/>
      <c r="L36" s="434"/>
      <c r="M36" s="437"/>
      <c r="N36" s="5"/>
      <c r="O36" s="1051">
        <v>24</v>
      </c>
      <c r="P36" s="1052"/>
      <c r="Q36" s="451">
        <v>0.4</v>
      </c>
      <c r="R36" s="452"/>
      <c r="S36" s="426" t="s">
        <v>67</v>
      </c>
      <c r="T36" s="460">
        <v>500000</v>
      </c>
      <c r="U36" s="450"/>
      <c r="V36" s="3"/>
      <c r="W36" s="428"/>
      <c r="Y36" s="461"/>
    </row>
    <row r="37" spans="4:27" ht="15" customHeight="1" thickBot="1" x14ac:dyDescent="0.35">
      <c r="D37" s="409"/>
      <c r="E37" s="409"/>
      <c r="F37" s="370"/>
      <c r="G37" s="370"/>
      <c r="H37" s="370"/>
      <c r="I37" s="370"/>
      <c r="J37" s="370"/>
      <c r="K37" s="370"/>
      <c r="L37" s="9"/>
      <c r="M37" s="14"/>
      <c r="N37" s="3"/>
      <c r="O37" s="1051">
        <v>36</v>
      </c>
      <c r="P37" s="1052"/>
      <c r="Q37" s="451">
        <v>0.3</v>
      </c>
      <c r="R37" s="452"/>
      <c r="S37" s="429" t="s">
        <v>69</v>
      </c>
      <c r="T37" s="430">
        <v>0.18</v>
      </c>
      <c r="U37" s="450"/>
      <c r="V37" s="3"/>
      <c r="W37" s="428"/>
      <c r="Y37" s="461"/>
    </row>
    <row r="38" spans="4:27" ht="15" customHeight="1" thickTop="1" x14ac:dyDescent="0.3">
      <c r="D38" s="409"/>
      <c r="E38" s="1010" t="s">
        <v>16</v>
      </c>
      <c r="F38" s="1019" t="s">
        <v>9</v>
      </c>
      <c r="G38" s="1020"/>
      <c r="H38" s="1021"/>
      <c r="I38" s="1021"/>
      <c r="J38" s="1021"/>
      <c r="K38" s="370"/>
      <c r="L38" s="431" t="s">
        <v>26</v>
      </c>
      <c r="M38" s="432" t="s">
        <v>20</v>
      </c>
      <c r="N38" s="2"/>
      <c r="O38" s="1051">
        <v>48</v>
      </c>
      <c r="P38" s="1052"/>
      <c r="Q38" s="451">
        <v>0.2</v>
      </c>
      <c r="R38" s="452"/>
      <c r="S38" s="3"/>
      <c r="T38" s="3"/>
      <c r="U38" s="3"/>
      <c r="V38" s="3"/>
      <c r="W38" s="428"/>
    </row>
    <row r="39" spans="4:27" ht="15" customHeight="1" x14ac:dyDescent="0.3">
      <c r="D39" s="409"/>
      <c r="E39" s="1011"/>
      <c r="F39" s="462" t="s">
        <v>12</v>
      </c>
      <c r="G39" s="463" t="s">
        <v>14</v>
      </c>
      <c r="H39" s="464"/>
      <c r="I39" s="464"/>
      <c r="J39" s="1021"/>
      <c r="K39" s="370"/>
      <c r="L39" s="434" t="s">
        <v>323</v>
      </c>
      <c r="M39" s="435">
        <v>0</v>
      </c>
      <c r="N39" s="464"/>
      <c r="O39" s="1053">
        <v>60</v>
      </c>
      <c r="P39" s="1054"/>
      <c r="Q39" s="465">
        <v>0.15</v>
      </c>
      <c r="R39" s="452"/>
      <c r="S39" s="12"/>
      <c r="T39" s="12"/>
      <c r="U39" s="3"/>
      <c r="V39" s="3"/>
      <c r="W39" s="428"/>
    </row>
    <row r="40" spans="4:27" ht="15" customHeight="1" x14ac:dyDescent="0.3">
      <c r="D40" s="409"/>
      <c r="E40" s="466" t="s">
        <v>156</v>
      </c>
      <c r="F40" s="467">
        <f>12%*1.1</f>
        <v>0.13200000000000001</v>
      </c>
      <c r="G40" s="468">
        <f>12%*1.1</f>
        <v>0.13200000000000001</v>
      </c>
      <c r="H40" s="5"/>
      <c r="I40" s="5"/>
      <c r="J40" s="5"/>
      <c r="K40" s="370"/>
      <c r="L40" s="434"/>
      <c r="M40" s="437" t="e">
        <f>+할부오토론!$K$18*견적관리자용!N40</f>
        <v>#VALUE!</v>
      </c>
      <c r="N40" s="296"/>
      <c r="O40" s="1050"/>
      <c r="P40" s="1050"/>
      <c r="Q40" s="5"/>
      <c r="R40" s="3"/>
      <c r="S40" s="370"/>
      <c r="T40" s="370"/>
      <c r="U40" s="436"/>
      <c r="V40" s="3"/>
      <c r="W40" s="428"/>
    </row>
    <row r="41" spans="4:27" ht="15" customHeight="1" thickBot="1" x14ac:dyDescent="0.35">
      <c r="D41" s="409"/>
      <c r="E41" s="469" t="s">
        <v>157</v>
      </c>
      <c r="F41" s="470">
        <f>12%*1.1</f>
        <v>0.13200000000000001</v>
      </c>
      <c r="G41" s="471">
        <f>12%*1.1</f>
        <v>0.13200000000000001</v>
      </c>
      <c r="H41" s="5"/>
      <c r="I41" s="5"/>
      <c r="J41" s="5"/>
      <c r="K41" s="370"/>
      <c r="L41" s="434"/>
      <c r="M41" s="437" t="e">
        <f>+할부오토론!$K$18*견적관리자용!N41</f>
        <v>#VALUE!</v>
      </c>
      <c r="N41" s="296"/>
      <c r="O41" s="371" t="s">
        <v>154</v>
      </c>
      <c r="P41" s="12"/>
      <c r="Q41" s="12"/>
      <c r="R41" s="3"/>
      <c r="S41" s="370"/>
      <c r="T41" s="370"/>
      <c r="U41" s="3"/>
      <c r="V41" s="3"/>
      <c r="W41" s="428"/>
      <c r="X41" s="472"/>
      <c r="Y41" s="410"/>
      <c r="Z41" s="410"/>
    </row>
    <row r="42" spans="4:27" ht="15" customHeight="1" x14ac:dyDescent="0.3">
      <c r="D42" s="409"/>
      <c r="E42" s="407" t="s">
        <v>253</v>
      </c>
      <c r="F42" s="385"/>
      <c r="G42" s="385"/>
      <c r="H42" s="385"/>
      <c r="I42" s="385"/>
      <c r="J42" s="385"/>
      <c r="K42" s="370"/>
      <c r="L42" s="434"/>
      <c r="M42" s="437"/>
      <c r="N42" s="5"/>
      <c r="O42" s="473">
        <v>35000</v>
      </c>
      <c r="P42" s="474"/>
      <c r="Q42" s="474"/>
      <c r="R42" s="3"/>
      <c r="S42" s="370"/>
      <c r="T42" s="370"/>
      <c r="U42" s="3"/>
      <c r="V42" s="3"/>
      <c r="W42" s="428"/>
      <c r="X42" s="475"/>
      <c r="Y42" s="449"/>
      <c r="Z42" s="449"/>
      <c r="AA42" s="449"/>
    </row>
    <row r="43" spans="4:27" ht="15" customHeight="1" x14ac:dyDescent="0.3">
      <c r="D43" s="409"/>
      <c r="E43" s="407" t="s">
        <v>18</v>
      </c>
      <c r="F43" s="385"/>
      <c r="G43" s="385"/>
      <c r="H43" s="385"/>
      <c r="I43" s="385"/>
      <c r="J43" s="385"/>
      <c r="K43" s="370"/>
      <c r="L43" s="434"/>
      <c r="M43" s="437"/>
      <c r="N43" s="5"/>
      <c r="O43" s="473">
        <v>30000</v>
      </c>
      <c r="P43" s="474"/>
      <c r="Q43" s="474"/>
      <c r="R43" s="3"/>
      <c r="S43" s="370"/>
      <c r="T43" s="370"/>
      <c r="U43" s="440"/>
      <c r="V43" s="3"/>
      <c r="W43" s="428"/>
      <c r="X43" s="475"/>
      <c r="Y43" s="449"/>
      <c r="Z43" s="449"/>
      <c r="AA43" s="449"/>
    </row>
    <row r="44" spans="4:27" ht="15" customHeight="1" thickBot="1" x14ac:dyDescent="0.35">
      <c r="D44" s="409"/>
      <c r="E44" s="407"/>
      <c r="F44" s="385"/>
      <c r="G44" s="385"/>
      <c r="H44" s="385"/>
      <c r="I44" s="385"/>
      <c r="J44" s="385"/>
      <c r="K44" s="370"/>
      <c r="L44" s="7"/>
      <c r="M44" s="15"/>
      <c r="N44" s="5"/>
      <c r="O44" s="473">
        <v>20000</v>
      </c>
      <c r="P44" s="474"/>
      <c r="Q44" s="474"/>
      <c r="R44" s="3"/>
      <c r="S44" s="370"/>
      <c r="T44" s="370"/>
      <c r="U44" s="3"/>
      <c r="V44" s="3"/>
      <c r="W44" s="428"/>
      <c r="X44" s="475"/>
      <c r="Y44" s="449"/>
      <c r="Z44" s="449"/>
      <c r="AA44" s="449"/>
    </row>
    <row r="45" spans="4:27" ht="15" customHeight="1" x14ac:dyDescent="0.3">
      <c r="D45" s="409"/>
      <c r="E45" s="407"/>
      <c r="F45" s="385"/>
      <c r="G45" s="385"/>
      <c r="H45" s="385"/>
      <c r="I45" s="385"/>
      <c r="J45" s="385"/>
      <c r="K45" s="370"/>
      <c r="L45" s="476" t="s">
        <v>41</v>
      </c>
      <c r="M45" s="5"/>
      <c r="N45" s="5"/>
      <c r="O45" s="473">
        <v>10000</v>
      </c>
      <c r="P45" s="474"/>
      <c r="Q45" s="474"/>
      <c r="R45" s="3"/>
      <c r="S45" s="370"/>
      <c r="T45" s="370"/>
      <c r="U45" s="448"/>
      <c r="V45" s="3"/>
      <c r="W45" s="428"/>
      <c r="X45" s="475"/>
      <c r="Y45" s="449"/>
      <c r="Z45" s="449"/>
      <c r="AA45" s="449"/>
    </row>
    <row r="46" spans="4:27" ht="15" customHeight="1" x14ac:dyDescent="0.3">
      <c r="D46" s="409"/>
      <c r="E46" s="477" t="s">
        <v>228</v>
      </c>
      <c r="F46" s="478" t="s">
        <v>371</v>
      </c>
      <c r="G46" s="1047" t="s">
        <v>372</v>
      </c>
      <c r="H46" s="1048"/>
      <c r="I46" s="1047" t="s">
        <v>631</v>
      </c>
      <c r="J46" s="1049"/>
      <c r="K46" s="370"/>
      <c r="L46" s="407" t="s">
        <v>40</v>
      </c>
      <c r="M46" s="370"/>
      <c r="N46" s="370"/>
      <c r="O46" s="479"/>
      <c r="P46" s="474"/>
      <c r="Q46" s="474"/>
      <c r="R46" s="370"/>
      <c r="S46" s="370"/>
      <c r="T46" s="370"/>
      <c r="U46" s="370"/>
      <c r="V46" s="370"/>
      <c r="X46" s="475"/>
      <c r="Y46" s="449"/>
      <c r="Z46" s="449"/>
      <c r="AA46" s="449"/>
    </row>
    <row r="47" spans="4:27" ht="15" customHeight="1" x14ac:dyDescent="0.3">
      <c r="D47" s="409"/>
      <c r="E47" s="407"/>
      <c r="F47" s="370"/>
      <c r="G47" s="370"/>
      <c r="H47" s="370"/>
      <c r="I47" s="370"/>
      <c r="J47" s="370"/>
      <c r="K47" s="370"/>
      <c r="L47" s="407"/>
      <c r="M47" s="370"/>
      <c r="N47" s="370"/>
      <c r="O47" s="480"/>
      <c r="P47" s="474"/>
      <c r="Q47" s="474"/>
      <c r="R47" s="370"/>
      <c r="S47" s="370"/>
      <c r="T47" s="370"/>
      <c r="U47" s="436"/>
      <c r="V47" s="370"/>
      <c r="X47" s="475"/>
      <c r="Y47" s="449"/>
      <c r="Z47" s="449"/>
      <c r="AA47" s="449"/>
    </row>
    <row r="48" spans="4:27" ht="15" customHeight="1" x14ac:dyDescent="0.3">
      <c r="D48" s="409"/>
      <c r="E48" s="409"/>
      <c r="F48" s="370"/>
      <c r="G48" s="370"/>
      <c r="H48" s="370"/>
      <c r="I48" s="370"/>
      <c r="J48" s="370"/>
      <c r="K48" s="370"/>
      <c r="L48" s="409"/>
      <c r="M48" s="370"/>
      <c r="N48" s="370"/>
      <c r="O48" s="370"/>
      <c r="P48" s="370"/>
      <c r="Q48" s="370"/>
      <c r="R48" s="370"/>
      <c r="S48" s="370"/>
      <c r="T48" s="370"/>
      <c r="U48" s="370"/>
      <c r="V48" s="370"/>
    </row>
    <row r="49" spans="3:22" ht="15" customHeight="1" x14ac:dyDescent="0.3">
      <c r="D49" s="409"/>
      <c r="E49" s="409"/>
      <c r="F49" s="370"/>
      <c r="G49" s="370"/>
      <c r="H49" s="370"/>
      <c r="I49" s="370"/>
      <c r="J49" s="370"/>
      <c r="K49" s="370"/>
      <c r="L49" s="409"/>
      <c r="M49" s="370"/>
      <c r="N49" s="370"/>
      <c r="O49" s="370"/>
      <c r="P49" s="370"/>
      <c r="Q49" s="370"/>
      <c r="R49" s="370"/>
      <c r="S49" s="370"/>
      <c r="T49" s="370"/>
      <c r="U49" s="370"/>
      <c r="V49" s="370"/>
    </row>
    <row r="50" spans="3:22" ht="9" customHeight="1" x14ac:dyDescent="0.3"/>
    <row r="51" spans="3:22" ht="15" customHeight="1" x14ac:dyDescent="0.3">
      <c r="F51" s="368" t="s">
        <v>668</v>
      </c>
      <c r="G51" s="368" t="b">
        <f>운용리스!CE8</f>
        <v>0</v>
      </c>
      <c r="H51" s="368" t="b">
        <f>금융리스!CE8</f>
        <v>0</v>
      </c>
      <c r="I51" s="368" t="b">
        <f>할부오토론!CE7</f>
        <v>0</v>
      </c>
    </row>
    <row r="53" spans="3:22" x14ac:dyDescent="0.3">
      <c r="G53" s="368" t="s">
        <v>338</v>
      </c>
      <c r="H53" s="368" t="s">
        <v>339</v>
      </c>
      <c r="I53" s="368" t="s">
        <v>340</v>
      </c>
      <c r="J53" s="481" t="s">
        <v>342</v>
      </c>
    </row>
    <row r="54" spans="3:22" x14ac:dyDescent="0.3">
      <c r="F54" s="482" t="s">
        <v>322</v>
      </c>
      <c r="J54" s="481"/>
      <c r="K54" s="481"/>
      <c r="L54" s="10" t="s">
        <v>341</v>
      </c>
      <c r="M54" s="481" t="s">
        <v>346</v>
      </c>
      <c r="N54" s="481" t="s">
        <v>347</v>
      </c>
      <c r="O54" s="481" t="s">
        <v>348</v>
      </c>
      <c r="P54" s="481" t="s">
        <v>349</v>
      </c>
      <c r="Q54" s="481" t="s">
        <v>350</v>
      </c>
      <c r="R54" s="481"/>
      <c r="S54" s="483" t="s">
        <v>351</v>
      </c>
    </row>
    <row r="55" spans="3:22" x14ac:dyDescent="0.3">
      <c r="C55" s="544" t="s">
        <v>635</v>
      </c>
      <c r="E55" s="10" t="s">
        <v>321</v>
      </c>
      <c r="F55" s="482" t="s">
        <v>632</v>
      </c>
      <c r="G55" s="308">
        <v>1.0999999999999999E-2</v>
      </c>
      <c r="H55" s="308">
        <v>5.4999999999999997E-3</v>
      </c>
      <c r="I55" s="308">
        <v>5.4999999999999997E-3</v>
      </c>
      <c r="L55" s="10" t="s">
        <v>335</v>
      </c>
      <c r="M55" s="308">
        <v>0</v>
      </c>
      <c r="N55" s="308">
        <v>0</v>
      </c>
      <c r="O55" s="308">
        <v>0</v>
      </c>
      <c r="P55" s="308">
        <v>0</v>
      </c>
      <c r="Q55" s="308">
        <v>0</v>
      </c>
      <c r="R55" s="308"/>
      <c r="S55" s="484">
        <v>0</v>
      </c>
    </row>
    <row r="56" spans="3:22" x14ac:dyDescent="0.3">
      <c r="C56" s="545" t="s">
        <v>641</v>
      </c>
      <c r="F56" s="550" t="s">
        <v>665</v>
      </c>
      <c r="G56" s="551">
        <v>0</v>
      </c>
      <c r="H56" s="551">
        <v>0</v>
      </c>
      <c r="I56" s="551">
        <v>0</v>
      </c>
      <c r="L56" s="10" t="s">
        <v>336</v>
      </c>
      <c r="M56" s="308">
        <v>0</v>
      </c>
      <c r="N56" s="308">
        <v>0</v>
      </c>
      <c r="O56" s="308">
        <v>0</v>
      </c>
      <c r="P56" s="308">
        <v>0</v>
      </c>
      <c r="Q56" s="308">
        <v>0</v>
      </c>
      <c r="R56" s="308"/>
      <c r="S56" s="484">
        <v>0</v>
      </c>
    </row>
    <row r="57" spans="3:22" x14ac:dyDescent="0.3">
      <c r="C57" s="544"/>
      <c r="F57" s="550"/>
      <c r="G57" s="551"/>
      <c r="H57" s="551"/>
      <c r="I57" s="551"/>
      <c r="M57" s="308">
        <v>0</v>
      </c>
      <c r="N57" s="308">
        <v>0</v>
      </c>
      <c r="O57" s="308">
        <v>0</v>
      </c>
      <c r="P57" s="308">
        <v>0</v>
      </c>
      <c r="Q57" s="308">
        <v>0</v>
      </c>
      <c r="R57" s="308"/>
      <c r="S57" s="484">
        <v>0</v>
      </c>
    </row>
    <row r="58" spans="3:22" x14ac:dyDescent="0.3">
      <c r="F58" s="482"/>
      <c r="G58" s="308"/>
      <c r="H58" s="308"/>
      <c r="I58" s="308"/>
      <c r="L58" s="10" t="s">
        <v>337</v>
      </c>
      <c r="M58" s="308">
        <v>0</v>
      </c>
      <c r="N58" s="308">
        <v>0</v>
      </c>
      <c r="O58" s="308">
        <v>0</v>
      </c>
      <c r="P58" s="308">
        <v>0</v>
      </c>
      <c r="Q58" s="308">
        <v>0</v>
      </c>
      <c r="R58" s="308"/>
      <c r="S58" s="484">
        <v>0</v>
      </c>
    </row>
    <row r="59" spans="3:22" x14ac:dyDescent="0.3">
      <c r="F59" s="485"/>
      <c r="G59" s="308"/>
      <c r="H59" s="308"/>
      <c r="I59" s="308"/>
    </row>
    <row r="60" spans="3:22" x14ac:dyDescent="0.3">
      <c r="F60" s="485"/>
      <c r="G60" s="308"/>
      <c r="H60" s="308"/>
      <c r="I60" s="308"/>
    </row>
    <row r="61" spans="3:22" x14ac:dyDescent="0.3">
      <c r="F61" s="485"/>
      <c r="G61" s="308"/>
      <c r="H61" s="308"/>
      <c r="I61" s="308"/>
    </row>
    <row r="62" spans="3:22" x14ac:dyDescent="0.3">
      <c r="F62" s="485"/>
      <c r="G62" s="308"/>
      <c r="H62" s="308"/>
      <c r="I62" s="308"/>
    </row>
    <row r="63" spans="3:22" x14ac:dyDescent="0.3">
      <c r="F63" s="485"/>
      <c r="G63" s="308"/>
      <c r="H63" s="308"/>
      <c r="I63" s="308"/>
    </row>
    <row r="64" spans="3:22" x14ac:dyDescent="0.3">
      <c r="F64" s="485"/>
      <c r="G64" s="308"/>
      <c r="H64" s="308"/>
      <c r="I64" s="308"/>
    </row>
    <row r="65" spans="6:9" x14ac:dyDescent="0.3">
      <c r="F65" s="485"/>
      <c r="G65" s="308"/>
      <c r="H65" s="308"/>
      <c r="I65" s="308"/>
    </row>
    <row r="66" spans="6:9" x14ac:dyDescent="0.3">
      <c r="F66" s="485"/>
      <c r="G66" s="308"/>
      <c r="H66" s="308"/>
      <c r="I66" s="308"/>
    </row>
    <row r="67" spans="6:9" x14ac:dyDescent="0.3">
      <c r="F67" s="485"/>
      <c r="G67" s="308"/>
      <c r="H67" s="308"/>
      <c r="I67" s="308"/>
    </row>
    <row r="68" spans="6:9" x14ac:dyDescent="0.3">
      <c r="F68" s="485"/>
      <c r="G68" s="308"/>
      <c r="H68" s="308"/>
      <c r="I68" s="308"/>
    </row>
    <row r="69" spans="6:9" x14ac:dyDescent="0.3">
      <c r="F69" s="485"/>
      <c r="G69" s="308"/>
      <c r="H69" s="308"/>
      <c r="I69" s="308"/>
    </row>
    <row r="70" spans="6:9" x14ac:dyDescent="0.3">
      <c r="F70" s="485"/>
      <c r="G70" s="308"/>
      <c r="H70" s="308"/>
      <c r="I70" s="308"/>
    </row>
    <row r="71" spans="6:9" x14ac:dyDescent="0.3">
      <c r="F71" s="485"/>
      <c r="G71" s="308"/>
      <c r="H71" s="308"/>
      <c r="I71" s="308"/>
    </row>
    <row r="72" spans="6:9" x14ac:dyDescent="0.3">
      <c r="F72" s="485"/>
      <c r="G72" s="308"/>
      <c r="H72" s="308"/>
      <c r="I72" s="308"/>
    </row>
    <row r="73" spans="6:9" x14ac:dyDescent="0.3">
      <c r="F73" s="485"/>
      <c r="G73" s="308"/>
      <c r="H73" s="308"/>
      <c r="I73" s="308"/>
    </row>
    <row r="74" spans="6:9" x14ac:dyDescent="0.3">
      <c r="F74" s="485"/>
      <c r="G74" s="308"/>
      <c r="H74" s="308"/>
      <c r="I74" s="308"/>
    </row>
    <row r="75" spans="6:9" x14ac:dyDescent="0.3">
      <c r="F75" s="485"/>
      <c r="G75" s="308"/>
      <c r="H75" s="308"/>
      <c r="I75" s="308"/>
    </row>
    <row r="76" spans="6:9" x14ac:dyDescent="0.3">
      <c r="F76" s="485"/>
      <c r="G76" s="308"/>
      <c r="H76" s="308"/>
      <c r="I76" s="308"/>
    </row>
    <row r="77" spans="6:9" x14ac:dyDescent="0.3">
      <c r="F77" s="485"/>
      <c r="G77" s="308"/>
      <c r="H77" s="308"/>
      <c r="I77" s="308"/>
    </row>
    <row r="78" spans="6:9" x14ac:dyDescent="0.3">
      <c r="F78" s="485"/>
    </row>
    <row r="79" spans="6:9" x14ac:dyDescent="0.3">
      <c r="F79" s="294"/>
    </row>
  </sheetData>
  <mergeCells count="45">
    <mergeCell ref="S34:T34"/>
    <mergeCell ref="G46:H46"/>
    <mergeCell ref="I46:J46"/>
    <mergeCell ref="O30:P30"/>
    <mergeCell ref="O31:P31"/>
    <mergeCell ref="O38:P38"/>
    <mergeCell ref="O37:P37"/>
    <mergeCell ref="O36:P36"/>
    <mergeCell ref="O40:P40"/>
    <mergeCell ref="O39:P39"/>
    <mergeCell ref="O35:P35"/>
    <mergeCell ref="O34:Q34"/>
    <mergeCell ref="O32:P32"/>
    <mergeCell ref="O15:P15"/>
    <mergeCell ref="S25:T25"/>
    <mergeCell ref="S20:T20"/>
    <mergeCell ref="O26:P26"/>
    <mergeCell ref="O27:P27"/>
    <mergeCell ref="Q15:Q16"/>
    <mergeCell ref="M9:N9"/>
    <mergeCell ref="O9:P9"/>
    <mergeCell ref="M17:N17"/>
    <mergeCell ref="O17:P17"/>
    <mergeCell ref="E38:E39"/>
    <mergeCell ref="F38:G38"/>
    <mergeCell ref="H38:I38"/>
    <mergeCell ref="J38:J39"/>
    <mergeCell ref="L15:L16"/>
    <mergeCell ref="L23:M23"/>
    <mergeCell ref="O28:Q28"/>
    <mergeCell ref="O24:P24"/>
    <mergeCell ref="O25:P25"/>
    <mergeCell ref="O23:Q23"/>
    <mergeCell ref="O29:P29"/>
    <mergeCell ref="M15:N15"/>
    <mergeCell ref="D4:G4"/>
    <mergeCell ref="H4:V4"/>
    <mergeCell ref="L7:L8"/>
    <mergeCell ref="M7:N7"/>
    <mergeCell ref="O7:P7"/>
    <mergeCell ref="Q7:Q8"/>
    <mergeCell ref="E7:E8"/>
    <mergeCell ref="F7:G7"/>
    <mergeCell ref="H7:I7"/>
    <mergeCell ref="J7:J8"/>
  </mergeCells>
  <phoneticPr fontId="2" type="noConversion"/>
  <conditionalFormatting sqref="M12">
    <cfRule type="expression" dxfId="98" priority="49">
      <formula>$X$12</formula>
    </cfRule>
  </conditionalFormatting>
  <conditionalFormatting sqref="N12">
    <cfRule type="expression" dxfId="97" priority="47">
      <formula>$Y$12</formula>
    </cfRule>
  </conditionalFormatting>
  <conditionalFormatting sqref="O12">
    <cfRule type="expression" dxfId="96" priority="45">
      <formula>$Z$12</formula>
    </cfRule>
  </conditionalFormatting>
  <conditionalFormatting sqref="P12">
    <cfRule type="expression" dxfId="95" priority="43">
      <formula>$AA$12</formula>
    </cfRule>
  </conditionalFormatting>
  <conditionalFormatting sqref="Q12">
    <cfRule type="expression" dxfId="94" priority="41">
      <formula>$AB$12</formula>
    </cfRule>
  </conditionalFormatting>
  <conditionalFormatting sqref="M19">
    <cfRule type="expression" dxfId="93" priority="30">
      <formula>$X$19</formula>
    </cfRule>
  </conditionalFormatting>
  <conditionalFormatting sqref="M20">
    <cfRule type="expression" dxfId="92" priority="29">
      <formula>$X$20</formula>
    </cfRule>
  </conditionalFormatting>
  <conditionalFormatting sqref="N19">
    <cfRule type="expression" dxfId="91" priority="28">
      <formula>$Y$19</formula>
    </cfRule>
  </conditionalFormatting>
  <conditionalFormatting sqref="N20">
    <cfRule type="expression" dxfId="90" priority="27">
      <formula>$Y$20</formula>
    </cfRule>
  </conditionalFormatting>
  <conditionalFormatting sqref="O19">
    <cfRule type="expression" dxfId="89" priority="26">
      <formula>$Z$19</formula>
    </cfRule>
  </conditionalFormatting>
  <conditionalFormatting sqref="O20">
    <cfRule type="expression" dxfId="88" priority="25">
      <formula>$Z$20</formula>
    </cfRule>
  </conditionalFormatting>
  <conditionalFormatting sqref="P19">
    <cfRule type="expression" dxfId="87" priority="24">
      <formula>$AA$19</formula>
    </cfRule>
  </conditionalFormatting>
  <conditionalFormatting sqref="P20">
    <cfRule type="expression" dxfId="86" priority="23">
      <formula>$AA$20</formula>
    </cfRule>
  </conditionalFormatting>
  <conditionalFormatting sqref="Q19">
    <cfRule type="expression" dxfId="85" priority="22">
      <formula>$AB$19</formula>
    </cfRule>
  </conditionalFormatting>
  <conditionalFormatting sqref="Q20">
    <cfRule type="expression" dxfId="84" priority="21">
      <formula>$AB$20</formula>
    </cfRule>
  </conditionalFormatting>
  <conditionalFormatting sqref="M11:N11">
    <cfRule type="expression" dxfId="83" priority="5">
      <formula>$X$11</formula>
    </cfRule>
  </conditionalFormatting>
  <conditionalFormatting sqref="O11:P11">
    <cfRule type="expression" dxfId="82" priority="4">
      <formula>$X$11</formula>
    </cfRule>
  </conditionalFormatting>
  <conditionalFormatting sqref="Q11">
    <cfRule type="expression" dxfId="81" priority="3">
      <formula>$X$11</formula>
    </cfRule>
  </conditionalFormatting>
  <dataValidations disablePrompts="1" count="5">
    <dataValidation type="list" allowBlank="1" showInputMessage="1" showErrorMessage="1" sqref="Q24:Q26 Q9 M9 O9 M17 O17 Q17">
      <formula1>"반영,미반영"</formula1>
    </dataValidation>
    <dataValidation type="list" allowBlank="1" showInputMessage="1" showErrorMessage="1" sqref="M10:Q10 M18:Q18">
      <formula1>"요율,금액,요율+금액"</formula1>
    </dataValidation>
    <dataValidation type="list" allowBlank="1" showInputMessage="1" showErrorMessage="1" sqref="U45">
      <formula1>"표시,미표시"</formula1>
    </dataValidation>
    <dataValidation type="list" allowBlank="1" showInputMessage="1" showErrorMessage="1" sqref="Q30">
      <formula1>"모두가능,모두불가,DB적용"</formula1>
    </dataValidation>
    <dataValidation type="list" allowBlank="1" showInputMessage="1" showErrorMessage="1" sqref="S26">
      <formula1>"취득원가의,차량가의"</formula1>
    </dataValidation>
  </dataValidations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AL655"/>
  <sheetViews>
    <sheetView showGridLines="0" zoomScaleNormal="100" workbookViewId="0">
      <pane ySplit="5" topLeftCell="A6" activePane="bottomLeft" state="frozen"/>
      <selection pane="bottomLeft" activeCell="I20" sqref="I20"/>
    </sheetView>
  </sheetViews>
  <sheetFormatPr defaultColWidth="9" defaultRowHeight="13.5" x14ac:dyDescent="0.3"/>
  <cols>
    <col min="1" max="3" width="2.625" style="295" customWidth="1"/>
    <col min="4" max="4" width="4.875" style="295" customWidth="1"/>
    <col min="5" max="5" width="16.5" style="293" customWidth="1"/>
    <col min="6" max="6" width="34.25" style="298" customWidth="1"/>
    <col min="7" max="7" width="10.125" style="294" customWidth="1"/>
    <col min="8" max="8" width="12.5" style="295" customWidth="1"/>
    <col min="9" max="9" width="14.625" style="294" customWidth="1"/>
    <col min="10" max="14" width="9" style="487" customWidth="1"/>
    <col min="15" max="15" width="10.125" style="294" customWidth="1"/>
    <col min="16" max="16" width="14.5" style="295" customWidth="1"/>
    <col min="17" max="17" width="15.5" style="295" customWidth="1"/>
    <col min="18" max="18" width="10.875" style="295" customWidth="1"/>
    <col min="19" max="24" width="9" style="295" customWidth="1"/>
    <col min="25" max="25" width="9" style="500" customWidth="1"/>
    <col min="26" max="38" width="9" style="295" customWidth="1"/>
    <col min="39" max="16384" width="9" style="295"/>
  </cols>
  <sheetData>
    <row r="1" spans="2:38" ht="28.5" customHeight="1" x14ac:dyDescent="0.3">
      <c r="D1" s="486"/>
      <c r="J1" s="491" t="s">
        <v>332</v>
      </c>
      <c r="P1" s="299"/>
      <c r="Z1" s="526"/>
      <c r="AA1" s="526"/>
      <c r="AB1" s="526"/>
      <c r="AC1" s="526"/>
      <c r="AD1" s="526"/>
    </row>
    <row r="3" spans="2:38" s="488" customFormat="1" x14ac:dyDescent="0.3">
      <c r="F3" s="492">
        <v>1</v>
      </c>
      <c r="G3" s="489">
        <v>2</v>
      </c>
      <c r="H3" s="488">
        <v>3</v>
      </c>
      <c r="I3" s="489">
        <v>4</v>
      </c>
      <c r="J3" s="490">
        <v>5</v>
      </c>
      <c r="K3" s="490">
        <v>6</v>
      </c>
      <c r="L3" s="490">
        <v>7</v>
      </c>
      <c r="M3" s="490">
        <v>8</v>
      </c>
      <c r="N3" s="490">
        <v>9</v>
      </c>
      <c r="O3" s="489">
        <v>10</v>
      </c>
      <c r="P3" s="488">
        <v>11</v>
      </c>
      <c r="Q3" s="488">
        <v>12</v>
      </c>
      <c r="R3" s="488">
        <v>13</v>
      </c>
      <c r="S3" s="488">
        <v>14</v>
      </c>
      <c r="T3" s="488">
        <v>15</v>
      </c>
      <c r="U3" s="488">
        <v>16</v>
      </c>
      <c r="V3" s="488">
        <v>17</v>
      </c>
      <c r="W3" s="488">
        <v>18</v>
      </c>
      <c r="X3" s="488">
        <v>19</v>
      </c>
      <c r="Y3" s="525">
        <v>20</v>
      </c>
      <c r="Z3" s="488">
        <v>21</v>
      </c>
      <c r="AA3" s="488">
        <v>22</v>
      </c>
      <c r="AB3" s="488">
        <v>23</v>
      </c>
      <c r="AC3" s="488">
        <v>24</v>
      </c>
      <c r="AD3" s="488">
        <v>25</v>
      </c>
      <c r="AE3" s="488">
        <v>26</v>
      </c>
      <c r="AF3" s="488">
        <v>27</v>
      </c>
      <c r="AG3" s="488">
        <v>28</v>
      </c>
      <c r="AH3" s="488">
        <v>29</v>
      </c>
      <c r="AI3" s="488">
        <v>30</v>
      </c>
      <c r="AJ3" s="488">
        <v>31</v>
      </c>
      <c r="AK3" s="488">
        <v>32</v>
      </c>
      <c r="AL3" s="488">
        <v>33</v>
      </c>
    </row>
    <row r="4" spans="2:38" x14ac:dyDescent="0.3">
      <c r="K4" s="525"/>
      <c r="R4" s="295">
        <f>운용리스!AG15</f>
        <v>20000</v>
      </c>
      <c r="T4" s="295" t="s">
        <v>623</v>
      </c>
      <c r="U4" s="524">
        <v>30000</v>
      </c>
      <c r="Y4" s="500" t="s">
        <v>624</v>
      </c>
      <c r="Z4" s="295">
        <v>20000</v>
      </c>
      <c r="AA4" s="295">
        <v>48</v>
      </c>
      <c r="AE4" s="295" t="s">
        <v>626</v>
      </c>
    </row>
    <row r="5" spans="2:38" ht="15" customHeight="1" x14ac:dyDescent="0.3">
      <c r="B5" s="498"/>
      <c r="C5" s="498"/>
      <c r="D5" s="495" t="s">
        <v>32</v>
      </c>
      <c r="E5" s="497" t="s">
        <v>33</v>
      </c>
      <c r="F5" s="497" t="s">
        <v>37</v>
      </c>
      <c r="G5" s="496" t="s">
        <v>35</v>
      </c>
      <c r="H5" s="497" t="s">
        <v>34</v>
      </c>
      <c r="I5" s="496" t="s">
        <v>36</v>
      </c>
      <c r="J5" s="499">
        <v>12</v>
      </c>
      <c r="K5" s="499">
        <v>24</v>
      </c>
      <c r="L5" s="499">
        <v>36</v>
      </c>
      <c r="M5" s="499">
        <v>48</v>
      </c>
      <c r="N5" s="499">
        <v>60</v>
      </c>
      <c r="O5" s="496" t="s">
        <v>584</v>
      </c>
      <c r="P5" s="497" t="s">
        <v>79</v>
      </c>
      <c r="Q5" s="497" t="s">
        <v>330</v>
      </c>
      <c r="R5" s="497" t="s">
        <v>583</v>
      </c>
      <c r="S5" s="637" t="s">
        <v>1199</v>
      </c>
      <c r="T5" s="638">
        <v>12</v>
      </c>
      <c r="U5" s="638">
        <v>24</v>
      </c>
      <c r="V5" s="638">
        <v>36</v>
      </c>
      <c r="W5" s="638">
        <v>48</v>
      </c>
      <c r="X5" s="638">
        <v>60</v>
      </c>
      <c r="Y5" s="552" t="s">
        <v>1330</v>
      </c>
      <c r="Z5" s="499">
        <v>12</v>
      </c>
      <c r="AA5" s="499">
        <v>24</v>
      </c>
      <c r="AB5" s="499">
        <v>36</v>
      </c>
      <c r="AC5" s="499">
        <v>48</v>
      </c>
      <c r="AD5" s="499">
        <v>60</v>
      </c>
      <c r="AE5" s="641" t="s">
        <v>1360</v>
      </c>
      <c r="AF5" s="642" t="s">
        <v>578</v>
      </c>
      <c r="AG5" s="642" t="s">
        <v>579</v>
      </c>
      <c r="AH5" s="642" t="s">
        <v>580</v>
      </c>
      <c r="AI5" s="642" t="s">
        <v>581</v>
      </c>
      <c r="AJ5" s="642" t="s">
        <v>582</v>
      </c>
      <c r="AK5" s="499" t="s">
        <v>715</v>
      </c>
      <c r="AL5" s="499" t="s">
        <v>716</v>
      </c>
    </row>
    <row r="6" spans="2:38" x14ac:dyDescent="0.3">
      <c r="E6" s="293" t="s">
        <v>681</v>
      </c>
      <c r="F6" s="604" t="s">
        <v>425</v>
      </c>
      <c r="G6" s="294">
        <v>1984</v>
      </c>
      <c r="H6" s="295" t="s">
        <v>45</v>
      </c>
      <c r="I6" s="294">
        <v>42320000</v>
      </c>
      <c r="P6" s="295" t="s">
        <v>576</v>
      </c>
      <c r="R6" s="500">
        <v>0</v>
      </c>
      <c r="S6" s="639" t="s">
        <v>1292</v>
      </c>
      <c r="T6" s="640"/>
      <c r="U6" s="640"/>
      <c r="V6" s="640"/>
      <c r="W6" s="640"/>
      <c r="X6" s="640"/>
      <c r="Y6" s="553"/>
      <c r="Z6" s="527" t="str">
        <f>IFERROR(INDEX(잔가map!$C$14:$AR$18,MATCH(차량DB!$Z$5,잔가map!$B$14:$B$18,0),MATCH(차량DB!Y6,잔가map!$C$13:$AR$13,0)),"")</f>
        <v/>
      </c>
      <c r="AA6" s="527" t="str">
        <f>IFERROR(INDEX(잔가map!$C$14:$AR$18,MATCH(차량DB!$AA$5,잔가map!$B$14:$B$18,0),MATCH(차량DB!Y6,잔가map!$C$13:$AR$13,0)),"")</f>
        <v/>
      </c>
      <c r="AB6" s="527" t="str">
        <f>IFERROR(INDEX(잔가map!$C$14:$AR$18,MATCH(차량DB!$AB$5,잔가map!$B$14:$B$18,0),MATCH(차량DB!Y6,잔가map!$C$13:$AR$13,0)),"")</f>
        <v/>
      </c>
      <c r="AC6" s="527" t="str">
        <f>IFERROR(INDEX(잔가map!$C$14:$AR$18,MATCH(차량DB!$AC$5,잔가map!$B$14:$B$18,0),MATCH(차량DB!Y6,잔가map!$C$13:$AR$13,0)),"")</f>
        <v/>
      </c>
      <c r="AD6" s="527" t="str">
        <f>IFERROR(INDEX(잔가map!$C$14:$AR$18,MATCH(차량DB!$AD$5,잔가map!$B$14:$B$18,0),MATCH(차량DB!Y6,잔가map!$C$13:$AR$13,0)),"")</f>
        <v/>
      </c>
      <c r="AE6" s="643"/>
      <c r="AF6" s="644"/>
      <c r="AG6" s="644"/>
      <c r="AH6" s="644"/>
      <c r="AI6" s="644"/>
      <c r="AJ6" s="644"/>
      <c r="AK6" s="547"/>
      <c r="AL6" s="575"/>
    </row>
    <row r="7" spans="2:38" x14ac:dyDescent="0.3">
      <c r="E7" s="293" t="s">
        <v>561</v>
      </c>
      <c r="F7" s="604" t="s">
        <v>746</v>
      </c>
      <c r="G7" s="294">
        <v>1984</v>
      </c>
      <c r="H7" s="295" t="s">
        <v>45</v>
      </c>
      <c r="I7" s="294">
        <v>46400000</v>
      </c>
      <c r="P7" s="295" t="s">
        <v>576</v>
      </c>
      <c r="R7" s="500">
        <v>0</v>
      </c>
      <c r="S7" s="639" t="s">
        <v>1281</v>
      </c>
      <c r="T7" s="640"/>
      <c r="U7" s="640"/>
      <c r="V7" s="640"/>
      <c r="W7" s="640"/>
      <c r="X7" s="640"/>
      <c r="Y7" s="553"/>
      <c r="Z7" s="527" t="str">
        <f>IFERROR(INDEX(잔가map!$C$14:$AR$18,MATCH(차량DB!$Z$5,잔가map!$B$14:$B$18,0),MATCH(차량DB!Y7,잔가map!$C$13:$AR$13,0)),"")</f>
        <v/>
      </c>
      <c r="AA7" s="527" t="str">
        <f>IFERROR(INDEX(잔가map!$C$14:$AR$18,MATCH(차량DB!$AA$5,잔가map!$B$14:$B$18,0),MATCH(차량DB!Y7,잔가map!$C$13:$AR$13,0)),"")</f>
        <v/>
      </c>
      <c r="AB7" s="527" t="str">
        <f>IFERROR(INDEX(잔가map!$C$14:$AR$18,MATCH(차량DB!$AB$5,잔가map!$B$14:$B$18,0),MATCH(차량DB!Y7,잔가map!$C$13:$AR$13,0)),"")</f>
        <v/>
      </c>
      <c r="AC7" s="527" t="str">
        <f>IFERROR(INDEX(잔가map!$C$14:$AR$18,MATCH(차량DB!$AC$5,잔가map!$B$14:$B$18,0),MATCH(차량DB!Y7,잔가map!$C$13:$AR$13,0)),"")</f>
        <v/>
      </c>
      <c r="AD7" s="527" t="str">
        <f>IFERROR(INDEX(잔가map!$C$14:$AR$18,MATCH(차량DB!$AD$5,잔가map!$B$14:$B$18,0),MATCH(차량DB!Y7,잔가map!$C$13:$AR$13,0)),"")</f>
        <v/>
      </c>
      <c r="AE7" s="643"/>
      <c r="AF7" s="644"/>
      <c r="AG7" s="644"/>
      <c r="AH7" s="644"/>
      <c r="AI7" s="644"/>
      <c r="AJ7" s="644"/>
      <c r="AK7" s="547"/>
      <c r="AL7" s="575"/>
    </row>
    <row r="8" spans="2:38" x14ac:dyDescent="0.3">
      <c r="E8" s="293" t="s">
        <v>561</v>
      </c>
      <c r="F8" s="604" t="s">
        <v>307</v>
      </c>
      <c r="G8" s="294">
        <v>1984</v>
      </c>
      <c r="H8" s="295" t="s">
        <v>45</v>
      </c>
      <c r="I8" s="294">
        <v>54540000</v>
      </c>
      <c r="P8" s="295" t="s">
        <v>576</v>
      </c>
      <c r="R8" s="500">
        <v>0</v>
      </c>
      <c r="S8" s="639" t="s">
        <v>1282</v>
      </c>
      <c r="T8" s="640"/>
      <c r="U8" s="640"/>
      <c r="V8" s="640"/>
      <c r="W8" s="640"/>
      <c r="X8" s="640"/>
      <c r="Y8" s="553"/>
      <c r="Z8" s="527" t="str">
        <f>IFERROR(INDEX(잔가map!$C$14:$AR$18,MATCH(차량DB!$Z$5,잔가map!$B$14:$B$18,0),MATCH(차량DB!Y8,잔가map!$C$13:$AR$13,0)),"")</f>
        <v/>
      </c>
      <c r="AA8" s="527" t="str">
        <f>IFERROR(INDEX(잔가map!$C$14:$AR$18,MATCH(차량DB!$AA$5,잔가map!$B$14:$B$18,0),MATCH(차량DB!Y8,잔가map!$C$13:$AR$13,0)),"")</f>
        <v/>
      </c>
      <c r="AB8" s="527" t="str">
        <f>IFERROR(INDEX(잔가map!$C$14:$AR$18,MATCH(차량DB!$AB$5,잔가map!$B$14:$B$18,0),MATCH(차량DB!Y8,잔가map!$C$13:$AR$13,0)),"")</f>
        <v/>
      </c>
      <c r="AC8" s="527" t="str">
        <f>IFERROR(INDEX(잔가map!$C$14:$AR$18,MATCH(차량DB!$AC$5,잔가map!$B$14:$B$18,0),MATCH(차량DB!Y8,잔가map!$C$13:$AR$13,0)),"")</f>
        <v/>
      </c>
      <c r="AD8" s="527" t="str">
        <f>IFERROR(INDEX(잔가map!$C$14:$AR$18,MATCH(차량DB!$AD$5,잔가map!$B$14:$B$18,0),MATCH(차량DB!Y8,잔가map!$C$13:$AR$13,0)),"")</f>
        <v/>
      </c>
      <c r="AE8" s="643"/>
      <c r="AF8" s="644"/>
      <c r="AG8" s="644"/>
      <c r="AH8" s="644"/>
      <c r="AI8" s="644"/>
      <c r="AJ8" s="644"/>
      <c r="AK8" s="547"/>
      <c r="AL8" s="576"/>
    </row>
    <row r="9" spans="2:38" x14ac:dyDescent="0.3">
      <c r="E9" s="293" t="s">
        <v>561</v>
      </c>
      <c r="F9" s="604" t="s">
        <v>765</v>
      </c>
      <c r="G9" s="294">
        <v>1984</v>
      </c>
      <c r="H9" s="295" t="s">
        <v>45</v>
      </c>
      <c r="I9" s="294">
        <v>61370000</v>
      </c>
      <c r="P9" s="295" t="s">
        <v>576</v>
      </c>
      <c r="R9" s="500"/>
      <c r="S9" s="639"/>
      <c r="T9" s="640"/>
      <c r="U9" s="640"/>
      <c r="V9" s="640"/>
      <c r="W9" s="640"/>
      <c r="X9" s="640"/>
      <c r="Y9" s="553"/>
      <c r="Z9" s="527" t="str">
        <f>IFERROR(INDEX(잔가map!$C$14:$AR$18,MATCH(차량DB!$Z$5,잔가map!$B$14:$B$18,0),MATCH(차량DB!Y9,잔가map!$C$13:$AR$13,0)),"")</f>
        <v/>
      </c>
      <c r="AA9" s="527" t="str">
        <f>IFERROR(INDEX(잔가map!$C$14:$AR$18,MATCH(차량DB!$AA$5,잔가map!$B$14:$B$18,0),MATCH(차량DB!Y9,잔가map!$C$13:$AR$13,0)),"")</f>
        <v/>
      </c>
      <c r="AB9" s="527" t="str">
        <f>IFERROR(INDEX(잔가map!$C$14:$AR$18,MATCH(차량DB!$AB$5,잔가map!$B$14:$B$18,0),MATCH(차량DB!Y9,잔가map!$C$13:$AR$13,0)),"")</f>
        <v/>
      </c>
      <c r="AC9" s="527" t="str">
        <f>IFERROR(INDEX(잔가map!$C$14:$AR$18,MATCH(차량DB!$AC$5,잔가map!$B$14:$B$18,0),MATCH(차량DB!Y9,잔가map!$C$13:$AR$13,0)),"")</f>
        <v/>
      </c>
      <c r="AD9" s="527" t="str">
        <f>IFERROR(INDEX(잔가map!$C$14:$AR$18,MATCH(차량DB!$AD$5,잔가map!$B$14:$B$18,0),MATCH(차량DB!Y9,잔가map!$C$13:$AR$13,0)),"")</f>
        <v/>
      </c>
      <c r="AE9" s="643"/>
      <c r="AF9" s="644"/>
      <c r="AG9" s="644"/>
      <c r="AH9" s="644"/>
      <c r="AI9" s="644"/>
      <c r="AJ9" s="644"/>
      <c r="AK9" s="547"/>
      <c r="AL9" s="576"/>
    </row>
    <row r="10" spans="2:38" x14ac:dyDescent="0.3">
      <c r="E10" s="293" t="s">
        <v>558</v>
      </c>
      <c r="F10" s="605" t="s">
        <v>308</v>
      </c>
      <c r="G10" s="294">
        <v>1984</v>
      </c>
      <c r="H10" s="295" t="s">
        <v>45</v>
      </c>
      <c r="I10" s="294">
        <v>60140000</v>
      </c>
      <c r="P10" s="295" t="s">
        <v>576</v>
      </c>
      <c r="R10" s="500">
        <v>0</v>
      </c>
      <c r="S10" s="639" t="s">
        <v>1281</v>
      </c>
      <c r="T10" s="640"/>
      <c r="U10" s="640"/>
      <c r="V10" s="640"/>
      <c r="W10" s="640"/>
      <c r="X10" s="640"/>
      <c r="Y10" s="553"/>
      <c r="Z10" s="527" t="str">
        <f>IFERROR(INDEX(잔가map!$C$14:$AR$18,MATCH(차량DB!$Z$5,잔가map!$B$14:$B$18,0),MATCH(차량DB!Y10,잔가map!$C$13:$AR$13,0)),"")</f>
        <v/>
      </c>
      <c r="AA10" s="527" t="str">
        <f>IFERROR(INDEX(잔가map!$C$14:$AR$18,MATCH(차량DB!$AA$5,잔가map!$B$14:$B$18,0),MATCH(차량DB!Y10,잔가map!$C$13:$AR$13,0)),"")</f>
        <v/>
      </c>
      <c r="AB10" s="527" t="str">
        <f>IFERROR(INDEX(잔가map!$C$14:$AR$18,MATCH(차량DB!$AB$5,잔가map!$B$14:$B$18,0),MATCH(차량DB!Y10,잔가map!$C$13:$AR$13,0)),"")</f>
        <v/>
      </c>
      <c r="AC10" s="527" t="str">
        <f>IFERROR(INDEX(잔가map!$C$14:$AR$18,MATCH(차량DB!$AC$5,잔가map!$B$14:$B$18,0),MATCH(차량DB!Y10,잔가map!$C$13:$AR$13,0)),"")</f>
        <v/>
      </c>
      <c r="AD10" s="527" t="str">
        <f>IFERROR(INDEX(잔가map!$C$14:$AR$18,MATCH(차량DB!$AD$5,잔가map!$B$14:$B$18,0),MATCH(차량DB!Y10,잔가map!$C$13:$AR$13,0)),"")</f>
        <v/>
      </c>
      <c r="AE10" s="643"/>
      <c r="AF10" s="644"/>
      <c r="AG10" s="644"/>
      <c r="AH10" s="644"/>
      <c r="AI10" s="644"/>
      <c r="AJ10" s="644"/>
      <c r="AK10" s="547"/>
      <c r="AL10" s="576"/>
    </row>
    <row r="11" spans="2:38" x14ac:dyDescent="0.3">
      <c r="E11" s="293" t="s">
        <v>558</v>
      </c>
      <c r="F11" s="605" t="s">
        <v>618</v>
      </c>
      <c r="G11" s="294">
        <v>1968</v>
      </c>
      <c r="H11" s="295" t="s">
        <v>45</v>
      </c>
      <c r="I11" s="294">
        <v>60750000</v>
      </c>
      <c r="P11" s="295" t="s">
        <v>576</v>
      </c>
      <c r="R11" s="500">
        <v>0</v>
      </c>
      <c r="S11" s="639" t="s">
        <v>1281</v>
      </c>
      <c r="T11" s="640"/>
      <c r="U11" s="640"/>
      <c r="V11" s="640"/>
      <c r="W11" s="640"/>
      <c r="X11" s="640"/>
      <c r="Y11" s="553"/>
      <c r="Z11" s="527" t="str">
        <f>IFERROR(INDEX(잔가map!$C$14:$AR$18,MATCH(차량DB!$Z$5,잔가map!$B$14:$B$18,0),MATCH(차량DB!Y11,잔가map!$C$13:$AR$13,0)),"")</f>
        <v/>
      </c>
      <c r="AA11" s="527" t="str">
        <f>IFERROR(INDEX(잔가map!$C$14:$AR$18,MATCH(차량DB!$AA$5,잔가map!$B$14:$B$18,0),MATCH(차량DB!Y11,잔가map!$C$13:$AR$13,0)),"")</f>
        <v/>
      </c>
      <c r="AB11" s="527" t="str">
        <f>IFERROR(INDEX(잔가map!$C$14:$AR$18,MATCH(차량DB!$AB$5,잔가map!$B$14:$B$18,0),MATCH(차량DB!Y11,잔가map!$C$13:$AR$13,0)),"")</f>
        <v/>
      </c>
      <c r="AC11" s="527" t="str">
        <f>IFERROR(INDEX(잔가map!$C$14:$AR$18,MATCH(차량DB!$AC$5,잔가map!$B$14:$B$18,0),MATCH(차량DB!Y11,잔가map!$C$13:$AR$13,0)),"")</f>
        <v/>
      </c>
      <c r="AD11" s="527" t="str">
        <f>IFERROR(INDEX(잔가map!$C$14:$AR$18,MATCH(차량DB!$AD$5,잔가map!$B$14:$B$18,0),MATCH(차량DB!Y11,잔가map!$C$13:$AR$13,0)),"")</f>
        <v/>
      </c>
      <c r="AE11" s="643"/>
      <c r="AF11" s="644"/>
      <c r="AG11" s="644"/>
      <c r="AH11" s="644"/>
      <c r="AI11" s="644"/>
      <c r="AJ11" s="644"/>
      <c r="AK11" s="547"/>
      <c r="AL11" s="576"/>
    </row>
    <row r="12" spans="2:38" x14ac:dyDescent="0.3">
      <c r="E12" s="293" t="s">
        <v>558</v>
      </c>
      <c r="F12" s="604" t="s">
        <v>426</v>
      </c>
      <c r="G12" s="294">
        <v>1968</v>
      </c>
      <c r="H12" s="295" t="s">
        <v>45</v>
      </c>
      <c r="I12" s="294">
        <v>66760000</v>
      </c>
      <c r="P12" s="295" t="s">
        <v>576</v>
      </c>
      <c r="R12" s="500">
        <v>0</v>
      </c>
      <c r="S12" s="639" t="s">
        <v>1291</v>
      </c>
      <c r="T12" s="640"/>
      <c r="U12" s="640"/>
      <c r="V12" s="640"/>
      <c r="W12" s="640"/>
      <c r="X12" s="640"/>
      <c r="Y12" s="553"/>
      <c r="Z12" s="527" t="str">
        <f>IFERROR(INDEX(잔가map!$C$14:$AR$18,MATCH(차량DB!$Z$5,잔가map!$B$14:$B$18,0),MATCH(차량DB!Y12,잔가map!$C$13:$AR$13,0)),"")</f>
        <v/>
      </c>
      <c r="AA12" s="527" t="str">
        <f>IFERROR(INDEX(잔가map!$C$14:$AR$18,MATCH(차량DB!$AA$5,잔가map!$B$14:$B$18,0),MATCH(차량DB!Y12,잔가map!$C$13:$AR$13,0)),"")</f>
        <v/>
      </c>
      <c r="AB12" s="527" t="str">
        <f>IFERROR(INDEX(잔가map!$C$14:$AR$18,MATCH(차량DB!$AB$5,잔가map!$B$14:$B$18,0),MATCH(차량DB!Y12,잔가map!$C$13:$AR$13,0)),"")</f>
        <v/>
      </c>
      <c r="AC12" s="527" t="str">
        <f>IFERROR(INDEX(잔가map!$C$14:$AR$18,MATCH(차량DB!$AC$5,잔가map!$B$14:$B$18,0),MATCH(차량DB!Y12,잔가map!$C$13:$AR$13,0)),"")</f>
        <v/>
      </c>
      <c r="AD12" s="527" t="str">
        <f>IFERROR(INDEX(잔가map!$C$14:$AR$18,MATCH(차량DB!$AD$5,잔가map!$B$14:$B$18,0),MATCH(차량DB!Y12,잔가map!$C$13:$AR$13,0)),"")</f>
        <v/>
      </c>
      <c r="AE12" s="643"/>
      <c r="AF12" s="644"/>
      <c r="AG12" s="644"/>
      <c r="AH12" s="644"/>
      <c r="AI12" s="644"/>
      <c r="AJ12" s="644"/>
      <c r="AK12" s="547"/>
      <c r="AL12" s="576"/>
    </row>
    <row r="13" spans="2:38" x14ac:dyDescent="0.3">
      <c r="E13" s="293" t="s">
        <v>558</v>
      </c>
      <c r="F13" s="604" t="s">
        <v>756</v>
      </c>
      <c r="G13" s="294">
        <v>1984</v>
      </c>
      <c r="H13" s="295" t="s">
        <v>45</v>
      </c>
      <c r="I13" s="294">
        <v>67780000</v>
      </c>
      <c r="P13" s="295" t="s">
        <v>576</v>
      </c>
      <c r="R13" s="500">
        <v>0</v>
      </c>
      <c r="S13" s="639" t="s">
        <v>1291</v>
      </c>
      <c r="T13" s="640"/>
      <c r="U13" s="640"/>
      <c r="V13" s="640"/>
      <c r="W13" s="640"/>
      <c r="X13" s="640"/>
      <c r="Y13" s="553"/>
      <c r="Z13" s="527" t="str">
        <f>IFERROR(INDEX(잔가map!$C$14:$AR$18,MATCH(차량DB!$Z$5,잔가map!$B$14:$B$18,0),MATCH(차량DB!Y13,잔가map!$C$13:$AR$13,0)),"")</f>
        <v/>
      </c>
      <c r="AA13" s="527" t="str">
        <f>IFERROR(INDEX(잔가map!$C$14:$AR$18,MATCH(차량DB!$AA$5,잔가map!$B$14:$B$18,0),MATCH(차량DB!Y13,잔가map!$C$13:$AR$13,0)),"")</f>
        <v/>
      </c>
      <c r="AB13" s="527" t="str">
        <f>IFERROR(INDEX(잔가map!$C$14:$AR$18,MATCH(차량DB!$AB$5,잔가map!$B$14:$B$18,0),MATCH(차량DB!Y13,잔가map!$C$13:$AR$13,0)),"")</f>
        <v/>
      </c>
      <c r="AC13" s="527" t="str">
        <f>IFERROR(INDEX(잔가map!$C$14:$AR$18,MATCH(차량DB!$AC$5,잔가map!$B$14:$B$18,0),MATCH(차량DB!Y13,잔가map!$C$13:$AR$13,0)),"")</f>
        <v/>
      </c>
      <c r="AD13" s="527" t="str">
        <f>IFERROR(INDEX(잔가map!$C$14:$AR$18,MATCH(차량DB!$AD$5,잔가map!$B$14:$B$18,0),MATCH(차량DB!Y13,잔가map!$C$13:$AR$13,0)),"")</f>
        <v/>
      </c>
      <c r="AE13" s="643"/>
      <c r="AF13" s="644"/>
      <c r="AG13" s="644"/>
      <c r="AH13" s="644"/>
      <c r="AI13" s="644"/>
      <c r="AJ13" s="644"/>
      <c r="AK13" s="547"/>
      <c r="AL13" s="576"/>
    </row>
    <row r="14" spans="2:38" x14ac:dyDescent="0.3">
      <c r="E14" s="293" t="s">
        <v>558</v>
      </c>
      <c r="F14" s="605" t="s">
        <v>661</v>
      </c>
      <c r="G14" s="294">
        <v>2995</v>
      </c>
      <c r="H14" s="295" t="s">
        <v>45</v>
      </c>
      <c r="I14" s="294">
        <v>84080000</v>
      </c>
      <c r="P14" s="295" t="s">
        <v>576</v>
      </c>
      <c r="R14" s="500">
        <v>0</v>
      </c>
      <c r="S14" s="639"/>
      <c r="T14" s="640"/>
      <c r="U14" s="640"/>
      <c r="V14" s="640"/>
      <c r="W14" s="640"/>
      <c r="X14" s="640"/>
      <c r="Y14" s="553"/>
      <c r="Z14" s="527" t="str">
        <f>IFERROR(INDEX(잔가map!$C$14:$AR$18,MATCH(차량DB!$Z$5,잔가map!$B$14:$B$18,0),MATCH(차량DB!Y14,잔가map!$C$13:$AR$13,0)),"")</f>
        <v/>
      </c>
      <c r="AA14" s="527" t="str">
        <f>IFERROR(INDEX(잔가map!$C$14:$AR$18,MATCH(차량DB!$AA$5,잔가map!$B$14:$B$18,0),MATCH(차량DB!Y14,잔가map!$C$13:$AR$13,0)),"")</f>
        <v/>
      </c>
      <c r="AB14" s="527" t="str">
        <f>IFERROR(INDEX(잔가map!$C$14:$AR$18,MATCH(차량DB!$AB$5,잔가map!$B$14:$B$18,0),MATCH(차량DB!Y14,잔가map!$C$13:$AR$13,0)),"")</f>
        <v/>
      </c>
      <c r="AC14" s="527" t="str">
        <f>IFERROR(INDEX(잔가map!$C$14:$AR$18,MATCH(차량DB!$AC$5,잔가map!$B$14:$B$18,0),MATCH(차량DB!Y14,잔가map!$C$13:$AR$13,0)),"")</f>
        <v/>
      </c>
      <c r="AD14" s="527" t="str">
        <f>IFERROR(INDEX(잔가map!$C$14:$AR$18,MATCH(차량DB!$AD$5,잔가map!$B$14:$B$18,0),MATCH(차량DB!Y14,잔가map!$C$13:$AR$13,0)),"")</f>
        <v/>
      </c>
      <c r="AE14" s="643"/>
      <c r="AF14" s="644"/>
      <c r="AG14" s="644"/>
      <c r="AH14" s="644"/>
      <c r="AI14" s="644"/>
      <c r="AJ14" s="644"/>
      <c r="AK14" s="547"/>
      <c r="AL14" s="576"/>
    </row>
    <row r="15" spans="2:38" x14ac:dyDescent="0.3">
      <c r="E15" s="293" t="s">
        <v>558</v>
      </c>
      <c r="F15" s="604" t="s">
        <v>682</v>
      </c>
      <c r="G15" s="294">
        <v>1984</v>
      </c>
      <c r="H15" s="295" t="s">
        <v>45</v>
      </c>
      <c r="I15" s="294">
        <v>60950000</v>
      </c>
      <c r="P15" s="295" t="s">
        <v>576</v>
      </c>
      <c r="R15" s="500">
        <v>0</v>
      </c>
      <c r="S15" s="639" t="s">
        <v>1299</v>
      </c>
      <c r="T15" s="640"/>
      <c r="U15" s="640"/>
      <c r="V15" s="640"/>
      <c r="W15" s="640"/>
      <c r="X15" s="640"/>
      <c r="Y15" s="553"/>
      <c r="Z15" s="527" t="str">
        <f>IFERROR(INDEX(잔가map!$C$14:$AR$18,MATCH(차량DB!$Z$5,잔가map!$B$14:$B$18,0),MATCH(차량DB!Y15,잔가map!$C$13:$AR$13,0)),"")</f>
        <v/>
      </c>
      <c r="AA15" s="527" t="str">
        <f>IFERROR(INDEX(잔가map!$C$14:$AR$18,MATCH(차량DB!$AA$5,잔가map!$B$14:$B$18,0),MATCH(차량DB!Y15,잔가map!$C$13:$AR$13,0)),"")</f>
        <v/>
      </c>
      <c r="AB15" s="527" t="str">
        <f>IFERROR(INDEX(잔가map!$C$14:$AR$18,MATCH(차량DB!$AB$5,잔가map!$B$14:$B$18,0),MATCH(차량DB!Y15,잔가map!$C$13:$AR$13,0)),"")</f>
        <v/>
      </c>
      <c r="AC15" s="527" t="str">
        <f>IFERROR(INDEX(잔가map!$C$14:$AR$18,MATCH(차량DB!$AC$5,잔가map!$B$14:$B$18,0),MATCH(차량DB!Y15,잔가map!$C$13:$AR$13,0)),"")</f>
        <v/>
      </c>
      <c r="AD15" s="527" t="str">
        <f>IFERROR(INDEX(잔가map!$C$14:$AR$18,MATCH(차량DB!$AD$5,잔가map!$B$14:$B$18,0),MATCH(차량DB!Y15,잔가map!$C$13:$AR$13,0)),"")</f>
        <v/>
      </c>
      <c r="AE15" s="643"/>
      <c r="AF15" s="644"/>
      <c r="AG15" s="644"/>
      <c r="AH15" s="644"/>
      <c r="AI15" s="644"/>
      <c r="AJ15" s="644"/>
      <c r="AK15" s="547"/>
      <c r="AL15" s="576"/>
    </row>
    <row r="16" spans="2:38" x14ac:dyDescent="0.3">
      <c r="E16" s="293" t="s">
        <v>558</v>
      </c>
      <c r="F16" s="604" t="s">
        <v>619</v>
      </c>
      <c r="G16" s="294">
        <v>1984</v>
      </c>
      <c r="H16" s="295" t="s">
        <v>45</v>
      </c>
      <c r="I16" s="294">
        <v>98090000</v>
      </c>
      <c r="P16" s="295" t="s">
        <v>576</v>
      </c>
      <c r="R16" s="500">
        <v>0</v>
      </c>
      <c r="S16" s="639" t="s">
        <v>1281</v>
      </c>
      <c r="T16" s="640"/>
      <c r="U16" s="640"/>
      <c r="V16" s="640"/>
      <c r="W16" s="640"/>
      <c r="X16" s="640"/>
      <c r="Y16" s="553"/>
      <c r="Z16" s="527" t="str">
        <f>IFERROR(INDEX(잔가map!$C$14:$AR$18,MATCH(차량DB!$Z$5,잔가map!$B$14:$B$18,0),MATCH(차량DB!Y16,잔가map!$C$13:$AR$13,0)),"")</f>
        <v/>
      </c>
      <c r="AA16" s="527" t="str">
        <f>IFERROR(INDEX(잔가map!$C$14:$AR$18,MATCH(차량DB!$AA$5,잔가map!$B$14:$B$18,0),MATCH(차량DB!Y16,잔가map!$C$13:$AR$13,0)),"")</f>
        <v/>
      </c>
      <c r="AB16" s="527" t="str">
        <f>IFERROR(INDEX(잔가map!$C$14:$AR$18,MATCH(차량DB!$AB$5,잔가map!$B$14:$B$18,0),MATCH(차량DB!Y16,잔가map!$C$13:$AR$13,0)),"")</f>
        <v/>
      </c>
      <c r="AC16" s="527" t="str">
        <f>IFERROR(INDEX(잔가map!$C$14:$AR$18,MATCH(차량DB!$AC$5,잔가map!$B$14:$B$18,0),MATCH(차량DB!Y16,잔가map!$C$13:$AR$13,0)),"")</f>
        <v/>
      </c>
      <c r="AD16" s="527" t="str">
        <f>IFERROR(INDEX(잔가map!$C$14:$AR$18,MATCH(차량DB!$AD$5,잔가map!$B$14:$B$18,0),MATCH(차량DB!Y16,잔가map!$C$13:$AR$13,0)),"")</f>
        <v/>
      </c>
      <c r="AE16" s="643"/>
      <c r="AF16" s="644"/>
      <c r="AG16" s="644"/>
      <c r="AH16" s="644"/>
      <c r="AI16" s="644"/>
      <c r="AJ16" s="644"/>
      <c r="AK16" s="547"/>
      <c r="AL16" s="576"/>
    </row>
    <row r="17" spans="5:38" x14ac:dyDescent="0.3">
      <c r="E17" s="293" t="s">
        <v>558</v>
      </c>
      <c r="F17" s="604" t="s">
        <v>427</v>
      </c>
      <c r="G17" s="294">
        <v>1984</v>
      </c>
      <c r="H17" s="295" t="s">
        <v>45</v>
      </c>
      <c r="I17" s="294">
        <v>71140000</v>
      </c>
      <c r="P17" s="295" t="s">
        <v>576</v>
      </c>
      <c r="R17" s="500">
        <v>0</v>
      </c>
      <c r="S17" s="639" t="s">
        <v>1281</v>
      </c>
      <c r="T17" s="640"/>
      <c r="U17" s="640"/>
      <c r="V17" s="640"/>
      <c r="W17" s="640"/>
      <c r="X17" s="640"/>
      <c r="Y17" s="553"/>
      <c r="Z17" s="527" t="str">
        <f>IFERROR(INDEX(잔가map!$C$14:$AR$18,MATCH(차량DB!$Z$5,잔가map!$B$14:$B$18,0),MATCH(차량DB!Y17,잔가map!$C$13:$AR$13,0)),"")</f>
        <v/>
      </c>
      <c r="AA17" s="527" t="str">
        <f>IFERROR(INDEX(잔가map!$C$14:$AR$18,MATCH(차량DB!$AA$5,잔가map!$B$14:$B$18,0),MATCH(차량DB!Y17,잔가map!$C$13:$AR$13,0)),"")</f>
        <v/>
      </c>
      <c r="AB17" s="527" t="str">
        <f>IFERROR(INDEX(잔가map!$C$14:$AR$18,MATCH(차량DB!$AB$5,잔가map!$B$14:$B$18,0),MATCH(차량DB!Y17,잔가map!$C$13:$AR$13,0)),"")</f>
        <v/>
      </c>
      <c r="AC17" s="527" t="str">
        <f>IFERROR(INDEX(잔가map!$C$14:$AR$18,MATCH(차량DB!$AC$5,잔가map!$B$14:$B$18,0),MATCH(차량DB!Y17,잔가map!$C$13:$AR$13,0)),"")</f>
        <v/>
      </c>
      <c r="AD17" s="527" t="str">
        <f>IFERROR(INDEX(잔가map!$C$14:$AR$18,MATCH(차량DB!$AD$5,잔가map!$B$14:$B$18,0),MATCH(차량DB!Y17,잔가map!$C$13:$AR$13,0)),"")</f>
        <v/>
      </c>
      <c r="AE17" s="643"/>
      <c r="AF17" s="644"/>
      <c r="AG17" s="644"/>
      <c r="AH17" s="644"/>
      <c r="AI17" s="644"/>
      <c r="AJ17" s="644"/>
      <c r="AK17" s="547"/>
      <c r="AL17" s="576"/>
    </row>
    <row r="18" spans="5:38" x14ac:dyDescent="0.3">
      <c r="E18" s="293" t="s">
        <v>669</v>
      </c>
      <c r="F18" s="604" t="s">
        <v>428</v>
      </c>
      <c r="G18" s="294">
        <v>1968</v>
      </c>
      <c r="H18" s="295" t="s">
        <v>45</v>
      </c>
      <c r="I18" s="294">
        <v>70120000</v>
      </c>
      <c r="P18" s="295" t="s">
        <v>576</v>
      </c>
      <c r="R18" s="500">
        <v>0</v>
      </c>
      <c r="S18" s="639" t="s">
        <v>1281</v>
      </c>
      <c r="T18" s="640"/>
      <c r="U18" s="640"/>
      <c r="V18" s="640"/>
      <c r="W18" s="640"/>
      <c r="X18" s="640"/>
      <c r="Y18" s="553"/>
      <c r="Z18" s="527" t="str">
        <f>IFERROR(INDEX(잔가map!$C$14:$AR$18,MATCH(차량DB!$Z$5,잔가map!$B$14:$B$18,0),MATCH(차량DB!Y18,잔가map!$C$13:$AR$13,0)),"")</f>
        <v/>
      </c>
      <c r="AA18" s="527" t="str">
        <f>IFERROR(INDEX(잔가map!$C$14:$AR$18,MATCH(차량DB!$AA$5,잔가map!$B$14:$B$18,0),MATCH(차량DB!Y18,잔가map!$C$13:$AR$13,0)),"")</f>
        <v/>
      </c>
      <c r="AB18" s="527" t="str">
        <f>IFERROR(INDEX(잔가map!$C$14:$AR$18,MATCH(차량DB!$AB$5,잔가map!$B$14:$B$18,0),MATCH(차량DB!Y18,잔가map!$C$13:$AR$13,0)),"")</f>
        <v/>
      </c>
      <c r="AC18" s="527" t="str">
        <f>IFERROR(INDEX(잔가map!$C$14:$AR$18,MATCH(차량DB!$AC$5,잔가map!$B$14:$B$18,0),MATCH(차량DB!Y18,잔가map!$C$13:$AR$13,0)),"")</f>
        <v/>
      </c>
      <c r="AD18" s="527" t="str">
        <f>IFERROR(INDEX(잔가map!$C$14:$AR$18,MATCH(차량DB!$AD$5,잔가map!$B$14:$B$18,0),MATCH(차량DB!Y18,잔가map!$C$13:$AR$13,0)),"")</f>
        <v/>
      </c>
      <c r="AE18" s="643"/>
      <c r="AF18" s="644"/>
      <c r="AG18" s="644"/>
      <c r="AH18" s="644"/>
      <c r="AI18" s="644"/>
      <c r="AJ18" s="644"/>
      <c r="AK18" s="547"/>
      <c r="AL18" s="576"/>
    </row>
    <row r="19" spans="5:38" x14ac:dyDescent="0.3">
      <c r="E19" s="293" t="s">
        <v>558</v>
      </c>
      <c r="F19" s="605" t="s">
        <v>429</v>
      </c>
      <c r="G19" s="294">
        <v>1984</v>
      </c>
      <c r="H19" s="295" t="s">
        <v>45</v>
      </c>
      <c r="I19" s="294">
        <v>72770000</v>
      </c>
      <c r="P19" s="295" t="s">
        <v>576</v>
      </c>
      <c r="R19" s="500">
        <v>0</v>
      </c>
      <c r="S19" s="639" t="s">
        <v>1281</v>
      </c>
      <c r="T19" s="640"/>
      <c r="U19" s="640"/>
      <c r="V19" s="640"/>
      <c r="W19" s="640"/>
      <c r="X19" s="640"/>
      <c r="Y19" s="553"/>
      <c r="Z19" s="527" t="str">
        <f>IFERROR(INDEX(잔가map!$C$14:$AR$18,MATCH(차량DB!$Z$5,잔가map!$B$14:$B$18,0),MATCH(차량DB!Y19,잔가map!$C$13:$AR$13,0)),"")</f>
        <v/>
      </c>
      <c r="AA19" s="527" t="str">
        <f>IFERROR(INDEX(잔가map!$C$14:$AR$18,MATCH(차량DB!$AA$5,잔가map!$B$14:$B$18,0),MATCH(차량DB!Y19,잔가map!$C$13:$AR$13,0)),"")</f>
        <v/>
      </c>
      <c r="AB19" s="527" t="str">
        <f>IFERROR(INDEX(잔가map!$C$14:$AR$18,MATCH(차량DB!$AB$5,잔가map!$B$14:$B$18,0),MATCH(차량DB!Y19,잔가map!$C$13:$AR$13,0)),"")</f>
        <v/>
      </c>
      <c r="AC19" s="527" t="str">
        <f>IFERROR(INDEX(잔가map!$C$14:$AR$18,MATCH(차량DB!$AC$5,잔가map!$B$14:$B$18,0),MATCH(차량DB!Y19,잔가map!$C$13:$AR$13,0)),"")</f>
        <v/>
      </c>
      <c r="AD19" s="527" t="str">
        <f>IFERROR(INDEX(잔가map!$C$14:$AR$18,MATCH(차량DB!$AD$5,잔가map!$B$14:$B$18,0),MATCH(차량DB!Y19,잔가map!$C$13:$AR$13,0)),"")</f>
        <v/>
      </c>
      <c r="AE19" s="643"/>
      <c r="AF19" s="644"/>
      <c r="AG19" s="644"/>
      <c r="AH19" s="644"/>
      <c r="AI19" s="644"/>
      <c r="AJ19" s="644"/>
      <c r="AK19" s="547"/>
      <c r="AL19" s="576"/>
    </row>
    <row r="20" spans="5:38" x14ac:dyDescent="0.3">
      <c r="E20" s="293" t="s">
        <v>558</v>
      </c>
      <c r="F20" s="605" t="s">
        <v>430</v>
      </c>
      <c r="G20" s="294">
        <v>1984</v>
      </c>
      <c r="H20" s="295" t="s">
        <v>45</v>
      </c>
      <c r="I20" s="294">
        <v>81840000</v>
      </c>
      <c r="P20" s="295" t="s">
        <v>576</v>
      </c>
      <c r="R20" s="500">
        <v>0</v>
      </c>
      <c r="S20" s="639" t="s">
        <v>1281</v>
      </c>
      <c r="T20" s="640"/>
      <c r="U20" s="640"/>
      <c r="V20" s="640"/>
      <c r="W20" s="640"/>
      <c r="X20" s="640"/>
      <c r="Y20" s="553"/>
      <c r="Z20" s="527" t="str">
        <f>IFERROR(INDEX(잔가map!$C$14:$AR$18,MATCH(차량DB!$Z$5,잔가map!$B$14:$B$18,0),MATCH(차량DB!Y20,잔가map!$C$13:$AR$13,0)),"")</f>
        <v/>
      </c>
      <c r="AA20" s="527" t="str">
        <f>IFERROR(INDEX(잔가map!$C$14:$AR$18,MATCH(차량DB!$AA$5,잔가map!$B$14:$B$18,0),MATCH(차량DB!Y20,잔가map!$C$13:$AR$13,0)),"")</f>
        <v/>
      </c>
      <c r="AB20" s="527" t="str">
        <f>IFERROR(INDEX(잔가map!$C$14:$AR$18,MATCH(차량DB!$AB$5,잔가map!$B$14:$B$18,0),MATCH(차량DB!Y20,잔가map!$C$13:$AR$13,0)),"")</f>
        <v/>
      </c>
      <c r="AC20" s="527" t="str">
        <f>IFERROR(INDEX(잔가map!$C$14:$AR$18,MATCH(차량DB!$AC$5,잔가map!$B$14:$B$18,0),MATCH(차량DB!Y20,잔가map!$C$13:$AR$13,0)),"")</f>
        <v/>
      </c>
      <c r="AD20" s="527" t="str">
        <f>IFERROR(INDEX(잔가map!$C$14:$AR$18,MATCH(차량DB!$AD$5,잔가map!$B$14:$B$18,0),MATCH(차량DB!Y20,잔가map!$C$13:$AR$13,0)),"")</f>
        <v/>
      </c>
      <c r="AE20" s="643"/>
      <c r="AF20" s="644"/>
      <c r="AG20" s="644"/>
      <c r="AH20" s="644"/>
      <c r="AI20" s="644"/>
      <c r="AJ20" s="644"/>
      <c r="AK20" s="547"/>
      <c r="AL20" s="576"/>
    </row>
    <row r="21" spans="5:38" x14ac:dyDescent="0.3">
      <c r="E21" s="293" t="s">
        <v>558</v>
      </c>
      <c r="F21" s="605" t="s">
        <v>766</v>
      </c>
      <c r="G21" s="294">
        <v>2995</v>
      </c>
      <c r="H21" s="295" t="s">
        <v>45</v>
      </c>
      <c r="I21" s="294">
        <v>86020000</v>
      </c>
      <c r="P21" s="295" t="s">
        <v>576</v>
      </c>
      <c r="R21" s="500">
        <v>0</v>
      </c>
      <c r="S21" s="639"/>
      <c r="T21" s="640"/>
      <c r="U21" s="640"/>
      <c r="V21" s="640"/>
      <c r="W21" s="640"/>
      <c r="X21" s="640"/>
      <c r="Y21" s="553"/>
      <c r="Z21" s="527" t="str">
        <f>IFERROR(INDEX(잔가map!$C$14:$AR$18,MATCH(차량DB!$Z$5,잔가map!$B$14:$B$18,0),MATCH(차량DB!Y21,잔가map!$C$13:$AR$13,0)),"")</f>
        <v/>
      </c>
      <c r="AA21" s="527" t="str">
        <f>IFERROR(INDEX(잔가map!$C$14:$AR$18,MATCH(차량DB!$AA$5,잔가map!$B$14:$B$18,0),MATCH(차량DB!Y21,잔가map!$C$13:$AR$13,0)),"")</f>
        <v/>
      </c>
      <c r="AB21" s="527" t="str">
        <f>IFERROR(INDEX(잔가map!$C$14:$AR$18,MATCH(차량DB!$AB$5,잔가map!$B$14:$B$18,0),MATCH(차량DB!Y21,잔가map!$C$13:$AR$13,0)),"")</f>
        <v/>
      </c>
      <c r="AC21" s="527" t="str">
        <f>IFERROR(INDEX(잔가map!$C$14:$AR$18,MATCH(차량DB!$AC$5,잔가map!$B$14:$B$18,0),MATCH(차량DB!Y21,잔가map!$C$13:$AR$13,0)),"")</f>
        <v/>
      </c>
      <c r="AD21" s="527" t="str">
        <f>IFERROR(INDEX(잔가map!$C$14:$AR$18,MATCH(차량DB!$AD$5,잔가map!$B$14:$B$18,0),MATCH(차량DB!Y21,잔가map!$C$13:$AR$13,0)),"")</f>
        <v/>
      </c>
      <c r="AE21" s="643"/>
      <c r="AF21" s="644"/>
      <c r="AG21" s="644"/>
      <c r="AH21" s="644"/>
      <c r="AI21" s="644"/>
      <c r="AJ21" s="644"/>
      <c r="AK21" s="547"/>
      <c r="AL21" s="576"/>
    </row>
    <row r="22" spans="5:38" x14ac:dyDescent="0.3">
      <c r="E22" s="293" t="s">
        <v>558</v>
      </c>
      <c r="F22" s="605" t="s">
        <v>767</v>
      </c>
      <c r="G22" s="294">
        <v>2995</v>
      </c>
      <c r="H22" s="295" t="s">
        <v>45</v>
      </c>
      <c r="I22" s="294">
        <v>90290000</v>
      </c>
      <c r="P22" s="295" t="s">
        <v>576</v>
      </c>
      <c r="R22" s="500">
        <v>0</v>
      </c>
      <c r="S22" s="639"/>
      <c r="T22" s="640"/>
      <c r="U22" s="640"/>
      <c r="V22" s="640"/>
      <c r="W22" s="640"/>
      <c r="X22" s="640"/>
      <c r="Y22" s="553"/>
      <c r="Z22" s="527" t="str">
        <f>IFERROR(INDEX(잔가map!$C$14:$AR$18,MATCH(차량DB!$Z$5,잔가map!$B$14:$B$18,0),MATCH(차량DB!Y22,잔가map!$C$13:$AR$13,0)),"")</f>
        <v/>
      </c>
      <c r="AA22" s="527" t="str">
        <f>IFERROR(INDEX(잔가map!$C$14:$AR$18,MATCH(차량DB!$AA$5,잔가map!$B$14:$B$18,0),MATCH(차량DB!Y22,잔가map!$C$13:$AR$13,0)),"")</f>
        <v/>
      </c>
      <c r="AB22" s="527" t="str">
        <f>IFERROR(INDEX(잔가map!$C$14:$AR$18,MATCH(차량DB!$AB$5,잔가map!$B$14:$B$18,0),MATCH(차량DB!Y22,잔가map!$C$13:$AR$13,0)),"")</f>
        <v/>
      </c>
      <c r="AC22" s="527" t="str">
        <f>IFERROR(INDEX(잔가map!$C$14:$AR$18,MATCH(차량DB!$AC$5,잔가map!$B$14:$B$18,0),MATCH(차량DB!Y22,잔가map!$C$13:$AR$13,0)),"")</f>
        <v/>
      </c>
      <c r="AD22" s="527" t="str">
        <f>IFERROR(INDEX(잔가map!$C$14:$AR$18,MATCH(차량DB!$AD$5,잔가map!$B$14:$B$18,0),MATCH(차량DB!Y22,잔가map!$C$13:$AR$13,0)),"")</f>
        <v/>
      </c>
      <c r="AE22" s="643"/>
      <c r="AF22" s="644"/>
      <c r="AG22" s="644"/>
      <c r="AH22" s="644"/>
      <c r="AI22" s="644"/>
      <c r="AJ22" s="644"/>
      <c r="AK22" s="547"/>
      <c r="AL22" s="576"/>
    </row>
    <row r="23" spans="5:38" x14ac:dyDescent="0.3">
      <c r="E23" s="293" t="s">
        <v>558</v>
      </c>
      <c r="F23" s="604" t="s">
        <v>309</v>
      </c>
      <c r="G23" s="294">
        <v>1968</v>
      </c>
      <c r="H23" s="295" t="s">
        <v>45</v>
      </c>
      <c r="I23" s="294">
        <v>70720000</v>
      </c>
      <c r="P23" s="295" t="s">
        <v>576</v>
      </c>
      <c r="R23" s="500">
        <v>0</v>
      </c>
      <c r="S23" s="639" t="s">
        <v>1262</v>
      </c>
      <c r="T23" s="640"/>
      <c r="U23" s="640"/>
      <c r="V23" s="640"/>
      <c r="W23" s="640"/>
      <c r="X23" s="640"/>
      <c r="Y23" s="553"/>
      <c r="Z23" s="527" t="str">
        <f>IFERROR(INDEX(잔가map!$C$14:$AR$18,MATCH(차량DB!$Z$5,잔가map!$B$14:$B$18,0),MATCH(차량DB!Y23,잔가map!$C$13:$AR$13,0)),"")</f>
        <v/>
      </c>
      <c r="AA23" s="527" t="str">
        <f>IFERROR(INDEX(잔가map!$C$14:$AR$18,MATCH(차량DB!$AA$5,잔가map!$B$14:$B$18,0),MATCH(차량DB!Y23,잔가map!$C$13:$AR$13,0)),"")</f>
        <v/>
      </c>
      <c r="AB23" s="527" t="str">
        <f>IFERROR(INDEX(잔가map!$C$14:$AR$18,MATCH(차량DB!$AB$5,잔가map!$B$14:$B$18,0),MATCH(차량DB!Y23,잔가map!$C$13:$AR$13,0)),"")</f>
        <v/>
      </c>
      <c r="AC23" s="527" t="str">
        <f>IFERROR(INDEX(잔가map!$C$14:$AR$18,MATCH(차량DB!$AC$5,잔가map!$B$14:$B$18,0),MATCH(차량DB!Y23,잔가map!$C$13:$AR$13,0)),"")</f>
        <v/>
      </c>
      <c r="AD23" s="527" t="str">
        <f>IFERROR(INDEX(잔가map!$C$14:$AR$18,MATCH(차량DB!$AD$5,잔가map!$B$14:$B$18,0),MATCH(차량DB!Y23,잔가map!$C$13:$AR$13,0)),"")</f>
        <v/>
      </c>
      <c r="AE23" s="643"/>
      <c r="AF23" s="644"/>
      <c r="AG23" s="644"/>
      <c r="AH23" s="644"/>
      <c r="AI23" s="644"/>
      <c r="AJ23" s="644"/>
      <c r="AK23" s="547"/>
      <c r="AL23" s="576"/>
    </row>
    <row r="24" spans="5:38" x14ac:dyDescent="0.3">
      <c r="E24" s="293" t="s">
        <v>558</v>
      </c>
      <c r="F24" s="604" t="s">
        <v>431</v>
      </c>
      <c r="G24" s="294">
        <v>1968</v>
      </c>
      <c r="H24" s="295" t="s">
        <v>45</v>
      </c>
      <c r="I24" s="294">
        <v>76830000</v>
      </c>
      <c r="P24" s="295" t="s">
        <v>576</v>
      </c>
      <c r="R24" s="500">
        <v>0</v>
      </c>
      <c r="S24" s="639" t="s">
        <v>1262</v>
      </c>
      <c r="T24" s="640"/>
      <c r="U24" s="640"/>
      <c r="V24" s="640"/>
      <c r="W24" s="640"/>
      <c r="X24" s="640"/>
      <c r="Y24" s="553"/>
      <c r="Z24" s="527" t="str">
        <f>IFERROR(INDEX(잔가map!$C$14:$AR$18,MATCH(차량DB!$Z$5,잔가map!$B$14:$B$18,0),MATCH(차량DB!Y24,잔가map!$C$13:$AR$13,0)),"")</f>
        <v/>
      </c>
      <c r="AA24" s="527" t="str">
        <f>IFERROR(INDEX(잔가map!$C$14:$AR$18,MATCH(차량DB!$AA$5,잔가map!$B$14:$B$18,0),MATCH(차량DB!Y24,잔가map!$C$13:$AR$13,0)),"")</f>
        <v/>
      </c>
      <c r="AB24" s="527" t="str">
        <f>IFERROR(INDEX(잔가map!$C$14:$AR$18,MATCH(차량DB!$AB$5,잔가map!$B$14:$B$18,0),MATCH(차량DB!Y24,잔가map!$C$13:$AR$13,0)),"")</f>
        <v/>
      </c>
      <c r="AC24" s="527" t="str">
        <f>IFERROR(INDEX(잔가map!$C$14:$AR$18,MATCH(차량DB!$AC$5,잔가map!$B$14:$B$18,0),MATCH(차량DB!Y24,잔가map!$C$13:$AR$13,0)),"")</f>
        <v/>
      </c>
      <c r="AD24" s="527" t="str">
        <f>IFERROR(INDEX(잔가map!$C$14:$AR$18,MATCH(차량DB!$AD$5,잔가map!$B$14:$B$18,0),MATCH(차량DB!Y24,잔가map!$C$13:$AR$13,0)),"")</f>
        <v/>
      </c>
      <c r="AE24" s="643"/>
      <c r="AF24" s="644"/>
      <c r="AG24" s="644"/>
      <c r="AH24" s="644"/>
      <c r="AI24" s="644"/>
      <c r="AJ24" s="644"/>
      <c r="AK24" s="547"/>
      <c r="AL24" s="576"/>
    </row>
    <row r="25" spans="5:38" ht="16.149999999999999" customHeight="1" x14ac:dyDescent="0.3">
      <c r="E25" s="293" t="s">
        <v>558</v>
      </c>
      <c r="F25" s="605" t="s">
        <v>432</v>
      </c>
      <c r="G25" s="294">
        <v>1968</v>
      </c>
      <c r="H25" s="295" t="s">
        <v>45</v>
      </c>
      <c r="I25" s="294">
        <v>79890000</v>
      </c>
      <c r="P25" s="295" t="s">
        <v>576</v>
      </c>
      <c r="R25" s="500">
        <v>0</v>
      </c>
      <c r="S25" s="639" t="s">
        <v>1262</v>
      </c>
      <c r="T25" s="640"/>
      <c r="U25" s="640"/>
      <c r="V25" s="640"/>
      <c r="W25" s="640"/>
      <c r="X25" s="640"/>
      <c r="Y25" s="553"/>
      <c r="Z25" s="527" t="str">
        <f>IFERROR(INDEX(잔가map!$C$14:$AR$18,MATCH(차량DB!$Z$5,잔가map!$B$14:$B$18,0),MATCH(차량DB!Y25,잔가map!$C$13:$AR$13,0)),"")</f>
        <v/>
      </c>
      <c r="AA25" s="527" t="str">
        <f>IFERROR(INDEX(잔가map!$C$14:$AR$18,MATCH(차량DB!$AA$5,잔가map!$B$14:$B$18,0),MATCH(차량DB!Y25,잔가map!$C$13:$AR$13,0)),"")</f>
        <v/>
      </c>
      <c r="AB25" s="527" t="str">
        <f>IFERROR(INDEX(잔가map!$C$14:$AR$18,MATCH(차량DB!$AB$5,잔가map!$B$14:$B$18,0),MATCH(차량DB!Y25,잔가map!$C$13:$AR$13,0)),"")</f>
        <v/>
      </c>
      <c r="AC25" s="527" t="str">
        <f>IFERROR(INDEX(잔가map!$C$14:$AR$18,MATCH(차량DB!$AC$5,잔가map!$B$14:$B$18,0),MATCH(차량DB!Y25,잔가map!$C$13:$AR$13,0)),"")</f>
        <v/>
      </c>
      <c r="AD25" s="527" t="str">
        <f>IFERROR(INDEX(잔가map!$C$14:$AR$18,MATCH(차량DB!$AD$5,잔가map!$B$14:$B$18,0),MATCH(차량DB!Y25,잔가map!$C$13:$AR$13,0)),"")</f>
        <v/>
      </c>
      <c r="AE25" s="643"/>
      <c r="AF25" s="644"/>
      <c r="AG25" s="644"/>
      <c r="AH25" s="644"/>
      <c r="AI25" s="644"/>
      <c r="AJ25" s="644"/>
      <c r="AK25" s="547"/>
      <c r="AL25" s="576"/>
    </row>
    <row r="26" spans="5:38" ht="16.149999999999999" customHeight="1" x14ac:dyDescent="0.3">
      <c r="E26" s="293" t="s">
        <v>558</v>
      </c>
      <c r="F26" s="605" t="s">
        <v>433</v>
      </c>
      <c r="G26" s="294">
        <v>2967</v>
      </c>
      <c r="H26" s="295" t="s">
        <v>45</v>
      </c>
      <c r="I26" s="294">
        <v>87430000</v>
      </c>
      <c r="P26" s="295" t="s">
        <v>576</v>
      </c>
      <c r="R26" s="500">
        <v>0</v>
      </c>
      <c r="S26" s="639" t="s">
        <v>1262</v>
      </c>
      <c r="T26" s="640"/>
      <c r="U26" s="640"/>
      <c r="V26" s="640"/>
      <c r="W26" s="640"/>
      <c r="X26" s="640"/>
      <c r="Y26" s="553"/>
      <c r="Z26" s="527" t="str">
        <f>IFERROR(INDEX(잔가map!$C$14:$AR$18,MATCH(차량DB!$Z$5,잔가map!$B$14:$B$18,0),MATCH(차량DB!Y26,잔가map!$C$13:$AR$13,0)),"")</f>
        <v/>
      </c>
      <c r="AA26" s="527" t="str">
        <f>IFERROR(INDEX(잔가map!$C$14:$AR$18,MATCH(차량DB!$AA$5,잔가map!$B$14:$B$18,0),MATCH(차량DB!Y26,잔가map!$C$13:$AR$13,0)),"")</f>
        <v/>
      </c>
      <c r="AB26" s="527" t="str">
        <f>IFERROR(INDEX(잔가map!$C$14:$AR$18,MATCH(차량DB!$AB$5,잔가map!$B$14:$B$18,0),MATCH(차량DB!Y26,잔가map!$C$13:$AR$13,0)),"")</f>
        <v/>
      </c>
      <c r="AC26" s="527" t="str">
        <f>IFERROR(INDEX(잔가map!$C$14:$AR$18,MATCH(차량DB!$AC$5,잔가map!$B$14:$B$18,0),MATCH(차량DB!Y26,잔가map!$C$13:$AR$13,0)),"")</f>
        <v/>
      </c>
      <c r="AD26" s="527" t="str">
        <f>IFERROR(INDEX(잔가map!$C$14:$AR$18,MATCH(차량DB!$AD$5,잔가map!$B$14:$B$18,0),MATCH(차량DB!Y26,잔가map!$C$13:$AR$13,0)),"")</f>
        <v/>
      </c>
      <c r="AE26" s="643"/>
      <c r="AF26" s="644"/>
      <c r="AG26" s="644"/>
      <c r="AH26" s="644"/>
      <c r="AI26" s="644"/>
      <c r="AJ26" s="644"/>
      <c r="AK26" s="547"/>
      <c r="AL26" s="576"/>
    </row>
    <row r="27" spans="5:38" ht="16.149999999999999" customHeight="1" x14ac:dyDescent="0.3">
      <c r="E27" s="293" t="s">
        <v>558</v>
      </c>
      <c r="F27" s="605" t="s">
        <v>747</v>
      </c>
      <c r="G27" s="294">
        <v>2967</v>
      </c>
      <c r="H27" s="295" t="s">
        <v>45</v>
      </c>
      <c r="I27" s="294">
        <v>95570000</v>
      </c>
      <c r="P27" s="295" t="s">
        <v>576</v>
      </c>
      <c r="R27" s="500">
        <v>0</v>
      </c>
      <c r="S27" s="639" t="s">
        <v>1262</v>
      </c>
      <c r="T27" s="640"/>
      <c r="U27" s="640"/>
      <c r="V27" s="640"/>
      <c r="W27" s="640"/>
      <c r="X27" s="640"/>
      <c r="Y27" s="553"/>
      <c r="Z27" s="527" t="str">
        <f>IFERROR(INDEX(잔가map!$C$14:$AR$18,MATCH(차량DB!$Z$5,잔가map!$B$14:$B$18,0),MATCH(차량DB!Y27,잔가map!$C$13:$AR$13,0)),"")</f>
        <v/>
      </c>
      <c r="AA27" s="527" t="str">
        <f>IFERROR(INDEX(잔가map!$C$14:$AR$18,MATCH(차량DB!$AA$5,잔가map!$B$14:$B$18,0),MATCH(차량DB!Y27,잔가map!$C$13:$AR$13,0)),"")</f>
        <v/>
      </c>
      <c r="AB27" s="527" t="str">
        <f>IFERROR(INDEX(잔가map!$C$14:$AR$18,MATCH(차량DB!$AB$5,잔가map!$B$14:$B$18,0),MATCH(차량DB!Y27,잔가map!$C$13:$AR$13,0)),"")</f>
        <v/>
      </c>
      <c r="AC27" s="527" t="str">
        <f>IFERROR(INDEX(잔가map!$C$14:$AR$18,MATCH(차량DB!$AC$5,잔가map!$B$14:$B$18,0),MATCH(차량DB!Y27,잔가map!$C$13:$AR$13,0)),"")</f>
        <v/>
      </c>
      <c r="AD27" s="527" t="str">
        <f>IFERROR(INDEX(잔가map!$C$14:$AR$18,MATCH(차량DB!$AD$5,잔가map!$B$14:$B$18,0),MATCH(차량DB!Y27,잔가map!$C$13:$AR$13,0)),"")</f>
        <v/>
      </c>
      <c r="AE27" s="643"/>
      <c r="AF27" s="644"/>
      <c r="AG27" s="644"/>
      <c r="AH27" s="644"/>
      <c r="AI27" s="644"/>
      <c r="AJ27" s="644"/>
      <c r="AK27" s="547"/>
      <c r="AL27" s="576"/>
    </row>
    <row r="28" spans="5:38" x14ac:dyDescent="0.3">
      <c r="E28" s="293" t="s">
        <v>558</v>
      </c>
      <c r="F28" s="605" t="s">
        <v>434</v>
      </c>
      <c r="G28" s="294">
        <v>1984</v>
      </c>
      <c r="H28" s="295" t="s">
        <v>45</v>
      </c>
      <c r="I28" s="294">
        <v>72150000</v>
      </c>
      <c r="P28" s="295" t="s">
        <v>576</v>
      </c>
      <c r="R28" s="500">
        <v>0</v>
      </c>
      <c r="S28" s="639" t="s">
        <v>1264</v>
      </c>
      <c r="T28" s="640"/>
      <c r="U28" s="640"/>
      <c r="V28" s="640"/>
      <c r="W28" s="640"/>
      <c r="X28" s="640"/>
      <c r="Y28" s="553"/>
      <c r="Z28" s="527" t="str">
        <f>IFERROR(INDEX(잔가map!$C$14:$AR$18,MATCH(차량DB!$Z$5,잔가map!$B$14:$B$18,0),MATCH(차량DB!Y28,잔가map!$C$13:$AR$13,0)),"")</f>
        <v/>
      </c>
      <c r="AA28" s="527" t="str">
        <f>IFERROR(INDEX(잔가map!$C$14:$AR$18,MATCH(차량DB!$AA$5,잔가map!$B$14:$B$18,0),MATCH(차량DB!Y28,잔가map!$C$13:$AR$13,0)),"")</f>
        <v/>
      </c>
      <c r="AB28" s="527" t="str">
        <f>IFERROR(INDEX(잔가map!$C$14:$AR$18,MATCH(차량DB!$AB$5,잔가map!$B$14:$B$18,0),MATCH(차량DB!Y28,잔가map!$C$13:$AR$13,0)),"")</f>
        <v/>
      </c>
      <c r="AC28" s="527" t="str">
        <f>IFERROR(INDEX(잔가map!$C$14:$AR$18,MATCH(차량DB!$AC$5,잔가map!$B$14:$B$18,0),MATCH(차량DB!Y28,잔가map!$C$13:$AR$13,0)),"")</f>
        <v/>
      </c>
      <c r="AD28" s="527" t="str">
        <f>IFERROR(INDEX(잔가map!$C$14:$AR$18,MATCH(차량DB!$AD$5,잔가map!$B$14:$B$18,0),MATCH(차량DB!Y28,잔가map!$C$13:$AR$13,0)),"")</f>
        <v/>
      </c>
      <c r="AE28" s="643"/>
      <c r="AF28" s="644"/>
      <c r="AG28" s="644"/>
      <c r="AH28" s="644"/>
      <c r="AI28" s="644"/>
      <c r="AJ28" s="644"/>
      <c r="AK28" s="547"/>
      <c r="AL28" s="576"/>
    </row>
    <row r="29" spans="5:38" x14ac:dyDescent="0.3">
      <c r="E29" s="293" t="s">
        <v>558</v>
      </c>
      <c r="F29" s="604" t="s">
        <v>435</v>
      </c>
      <c r="G29" s="294">
        <v>1984</v>
      </c>
      <c r="H29" s="295" t="s">
        <v>45</v>
      </c>
      <c r="I29" s="294">
        <v>78260000</v>
      </c>
      <c r="P29" s="295" t="s">
        <v>576</v>
      </c>
      <c r="R29" s="500">
        <v>0</v>
      </c>
      <c r="S29" s="639" t="s">
        <v>1265</v>
      </c>
      <c r="T29" s="640"/>
      <c r="U29" s="640"/>
      <c r="V29" s="640"/>
      <c r="W29" s="640"/>
      <c r="X29" s="640"/>
      <c r="Y29" s="553"/>
      <c r="Z29" s="527" t="str">
        <f>IFERROR(INDEX(잔가map!$C$14:$AR$18,MATCH(차량DB!$Z$5,잔가map!$B$14:$B$18,0),MATCH(차량DB!Y29,잔가map!$C$13:$AR$13,0)),"")</f>
        <v/>
      </c>
      <c r="AA29" s="527" t="str">
        <f>IFERROR(INDEX(잔가map!$C$14:$AR$18,MATCH(차량DB!$AA$5,잔가map!$B$14:$B$18,0),MATCH(차량DB!Y29,잔가map!$C$13:$AR$13,0)),"")</f>
        <v/>
      </c>
      <c r="AB29" s="527" t="str">
        <f>IFERROR(INDEX(잔가map!$C$14:$AR$18,MATCH(차량DB!$AB$5,잔가map!$B$14:$B$18,0),MATCH(차량DB!Y29,잔가map!$C$13:$AR$13,0)),"")</f>
        <v/>
      </c>
      <c r="AC29" s="527" t="str">
        <f>IFERROR(INDEX(잔가map!$C$14:$AR$18,MATCH(차량DB!$AC$5,잔가map!$B$14:$B$18,0),MATCH(차량DB!Y29,잔가map!$C$13:$AR$13,0)),"")</f>
        <v/>
      </c>
      <c r="AD29" s="527" t="str">
        <f>IFERROR(INDEX(잔가map!$C$14:$AR$18,MATCH(차량DB!$AD$5,잔가map!$B$14:$B$18,0),MATCH(차량DB!Y29,잔가map!$C$13:$AR$13,0)),"")</f>
        <v/>
      </c>
      <c r="AE29" s="643"/>
      <c r="AF29" s="644"/>
      <c r="AG29" s="644"/>
      <c r="AH29" s="644"/>
      <c r="AI29" s="644"/>
      <c r="AJ29" s="644"/>
      <c r="AK29" s="547"/>
      <c r="AL29" s="576"/>
    </row>
    <row r="30" spans="5:38" x14ac:dyDescent="0.3">
      <c r="E30" s="293" t="s">
        <v>558</v>
      </c>
      <c r="F30" s="604" t="s">
        <v>436</v>
      </c>
      <c r="G30" s="294">
        <v>1984</v>
      </c>
      <c r="H30" s="295" t="s">
        <v>45</v>
      </c>
      <c r="I30" s="294">
        <v>81320000</v>
      </c>
      <c r="P30" s="295" t="s">
        <v>576</v>
      </c>
      <c r="R30" s="500">
        <v>0</v>
      </c>
      <c r="S30" s="639" t="s">
        <v>1262</v>
      </c>
      <c r="T30" s="640"/>
      <c r="U30" s="640"/>
      <c r="V30" s="640"/>
      <c r="W30" s="640"/>
      <c r="X30" s="640"/>
      <c r="Y30" s="553"/>
      <c r="Z30" s="527" t="str">
        <f>IFERROR(INDEX(잔가map!$C$14:$AR$18,MATCH(차량DB!$Z$5,잔가map!$B$14:$B$18,0),MATCH(차량DB!Y30,잔가map!$C$13:$AR$13,0)),"")</f>
        <v/>
      </c>
      <c r="AA30" s="527" t="str">
        <f>IFERROR(INDEX(잔가map!$C$14:$AR$18,MATCH(차량DB!$AA$5,잔가map!$B$14:$B$18,0),MATCH(차량DB!Y30,잔가map!$C$13:$AR$13,0)),"")</f>
        <v/>
      </c>
      <c r="AB30" s="527" t="str">
        <f>IFERROR(INDEX(잔가map!$C$14:$AR$18,MATCH(차량DB!$AB$5,잔가map!$B$14:$B$18,0),MATCH(차량DB!Y30,잔가map!$C$13:$AR$13,0)),"")</f>
        <v/>
      </c>
      <c r="AC30" s="527" t="str">
        <f>IFERROR(INDEX(잔가map!$C$14:$AR$18,MATCH(차량DB!$AC$5,잔가map!$B$14:$B$18,0),MATCH(차량DB!Y30,잔가map!$C$13:$AR$13,0)),"")</f>
        <v/>
      </c>
      <c r="AD30" s="527" t="str">
        <f>IFERROR(INDEX(잔가map!$C$14:$AR$18,MATCH(차량DB!$AD$5,잔가map!$B$14:$B$18,0),MATCH(차량DB!Y30,잔가map!$C$13:$AR$13,0)),"")</f>
        <v/>
      </c>
      <c r="AE30" s="643"/>
      <c r="AF30" s="644"/>
      <c r="AG30" s="644"/>
      <c r="AH30" s="644"/>
      <c r="AI30" s="644"/>
      <c r="AJ30" s="644"/>
      <c r="AK30" s="547"/>
      <c r="AL30" s="576"/>
    </row>
    <row r="31" spans="5:38" x14ac:dyDescent="0.3">
      <c r="E31" s="293" t="s">
        <v>558</v>
      </c>
      <c r="F31" s="604" t="s">
        <v>437</v>
      </c>
      <c r="G31" s="294">
        <v>2967</v>
      </c>
      <c r="H31" s="295" t="s">
        <v>45</v>
      </c>
      <c r="I31" s="294">
        <v>116780000</v>
      </c>
      <c r="P31" s="295" t="s">
        <v>576</v>
      </c>
      <c r="R31" s="500">
        <v>0</v>
      </c>
      <c r="S31" s="639"/>
      <c r="T31" s="640"/>
      <c r="U31" s="640"/>
      <c r="V31" s="640"/>
      <c r="W31" s="640"/>
      <c r="X31" s="640"/>
      <c r="Y31" s="553"/>
      <c r="Z31" s="527" t="str">
        <f>IFERROR(INDEX(잔가map!$C$14:$AR$18,MATCH(차량DB!$Z$5,잔가map!$B$14:$B$18,0),MATCH(차량DB!Y31,잔가map!$C$13:$AR$13,0)),"")</f>
        <v/>
      </c>
      <c r="AA31" s="527" t="str">
        <f>IFERROR(INDEX(잔가map!$C$14:$AR$18,MATCH(차량DB!$AA$5,잔가map!$B$14:$B$18,0),MATCH(차량DB!Y31,잔가map!$C$13:$AR$13,0)),"")</f>
        <v/>
      </c>
      <c r="AB31" s="527" t="str">
        <f>IFERROR(INDEX(잔가map!$C$14:$AR$18,MATCH(차량DB!$AB$5,잔가map!$B$14:$B$18,0),MATCH(차량DB!Y31,잔가map!$C$13:$AR$13,0)),"")</f>
        <v/>
      </c>
      <c r="AC31" s="527" t="str">
        <f>IFERROR(INDEX(잔가map!$C$14:$AR$18,MATCH(차량DB!$AC$5,잔가map!$B$14:$B$18,0),MATCH(차량DB!Y31,잔가map!$C$13:$AR$13,0)),"")</f>
        <v/>
      </c>
      <c r="AD31" s="527" t="str">
        <f>IFERROR(INDEX(잔가map!$C$14:$AR$18,MATCH(차량DB!$AD$5,잔가map!$B$14:$B$18,0),MATCH(차량DB!Y31,잔가map!$C$13:$AR$13,0)),"")</f>
        <v/>
      </c>
      <c r="AE31" s="643"/>
      <c r="AF31" s="644"/>
      <c r="AG31" s="644"/>
      <c r="AH31" s="644"/>
      <c r="AI31" s="644"/>
      <c r="AJ31" s="644"/>
      <c r="AK31" s="547"/>
      <c r="AL31" s="576"/>
    </row>
    <row r="32" spans="5:38" x14ac:dyDescent="0.3">
      <c r="E32" s="293" t="s">
        <v>558</v>
      </c>
      <c r="F32" s="605" t="s">
        <v>438</v>
      </c>
      <c r="G32" s="294">
        <v>2967</v>
      </c>
      <c r="H32" s="295" t="s">
        <v>45</v>
      </c>
      <c r="I32" s="294">
        <v>96190000</v>
      </c>
      <c r="P32" s="295" t="s">
        <v>576</v>
      </c>
      <c r="R32" s="500">
        <v>0</v>
      </c>
      <c r="S32" s="639" t="s">
        <v>1273</v>
      </c>
      <c r="T32" s="640"/>
      <c r="U32" s="640"/>
      <c r="V32" s="640"/>
      <c r="W32" s="640"/>
      <c r="X32" s="640"/>
      <c r="Y32" s="553"/>
      <c r="Z32" s="527" t="str">
        <f>IFERROR(INDEX(잔가map!$C$14:$AR$18,MATCH(차량DB!$Z$5,잔가map!$B$14:$B$18,0),MATCH(차량DB!Y32,잔가map!$C$13:$AR$13,0)),"")</f>
        <v/>
      </c>
      <c r="AA32" s="527" t="str">
        <f>IFERROR(INDEX(잔가map!$C$14:$AR$18,MATCH(차량DB!$AA$5,잔가map!$B$14:$B$18,0),MATCH(차량DB!Y32,잔가map!$C$13:$AR$13,0)),"")</f>
        <v/>
      </c>
      <c r="AB32" s="527" t="str">
        <f>IFERROR(INDEX(잔가map!$C$14:$AR$18,MATCH(차량DB!$AB$5,잔가map!$B$14:$B$18,0),MATCH(차량DB!Y32,잔가map!$C$13:$AR$13,0)),"")</f>
        <v/>
      </c>
      <c r="AC32" s="527" t="str">
        <f>IFERROR(INDEX(잔가map!$C$14:$AR$18,MATCH(차량DB!$AC$5,잔가map!$B$14:$B$18,0),MATCH(차량DB!Y32,잔가map!$C$13:$AR$13,0)),"")</f>
        <v/>
      </c>
      <c r="AD32" s="527" t="str">
        <f>IFERROR(INDEX(잔가map!$C$14:$AR$18,MATCH(차량DB!$AD$5,잔가map!$B$14:$B$18,0),MATCH(차량DB!Y32,잔가map!$C$13:$AR$13,0)),"")</f>
        <v/>
      </c>
      <c r="AE32" s="643"/>
      <c r="AF32" s="644"/>
      <c r="AG32" s="644"/>
      <c r="AH32" s="644"/>
      <c r="AI32" s="644"/>
      <c r="AJ32" s="644"/>
      <c r="AK32" s="547"/>
      <c r="AL32" s="576"/>
    </row>
    <row r="33" spans="5:38" x14ac:dyDescent="0.3">
      <c r="E33" s="293" t="s">
        <v>558</v>
      </c>
      <c r="F33" s="604" t="s">
        <v>439</v>
      </c>
      <c r="G33" s="294">
        <v>2967</v>
      </c>
      <c r="H33" s="295" t="s">
        <v>45</v>
      </c>
      <c r="I33" s="294">
        <v>104330000</v>
      </c>
      <c r="P33" s="295" t="s">
        <v>576</v>
      </c>
      <c r="R33" s="500">
        <v>0</v>
      </c>
      <c r="S33" s="639" t="s">
        <v>1274</v>
      </c>
      <c r="T33" s="640"/>
      <c r="U33" s="640"/>
      <c r="V33" s="640"/>
      <c r="W33" s="640"/>
      <c r="X33" s="640"/>
      <c r="Y33" s="553"/>
      <c r="Z33" s="527" t="str">
        <f>IFERROR(INDEX(잔가map!$C$14:$AR$18,MATCH(차량DB!$Z$5,잔가map!$B$14:$B$18,0),MATCH(차량DB!Y33,잔가map!$C$13:$AR$13,0)),"")</f>
        <v/>
      </c>
      <c r="AA33" s="527" t="str">
        <f>IFERROR(INDEX(잔가map!$C$14:$AR$18,MATCH(차량DB!$AA$5,잔가map!$B$14:$B$18,0),MATCH(차량DB!Y33,잔가map!$C$13:$AR$13,0)),"")</f>
        <v/>
      </c>
      <c r="AB33" s="527" t="str">
        <f>IFERROR(INDEX(잔가map!$C$14:$AR$18,MATCH(차량DB!$AB$5,잔가map!$B$14:$B$18,0),MATCH(차량DB!Y33,잔가map!$C$13:$AR$13,0)),"")</f>
        <v/>
      </c>
      <c r="AC33" s="527" t="str">
        <f>IFERROR(INDEX(잔가map!$C$14:$AR$18,MATCH(차량DB!$AC$5,잔가map!$B$14:$B$18,0),MATCH(차량DB!Y33,잔가map!$C$13:$AR$13,0)),"")</f>
        <v/>
      </c>
      <c r="AD33" s="527" t="str">
        <f>IFERROR(INDEX(잔가map!$C$14:$AR$18,MATCH(차량DB!$AD$5,잔가map!$B$14:$B$18,0),MATCH(차량DB!Y33,잔가map!$C$13:$AR$13,0)),"")</f>
        <v/>
      </c>
      <c r="AE33" s="643"/>
      <c r="AF33" s="644"/>
      <c r="AG33" s="644"/>
      <c r="AH33" s="644"/>
      <c r="AI33" s="644"/>
      <c r="AJ33" s="644"/>
      <c r="AK33" s="547"/>
      <c r="AL33" s="576"/>
    </row>
    <row r="34" spans="5:38" x14ac:dyDescent="0.3">
      <c r="E34" s="293" t="s">
        <v>558</v>
      </c>
      <c r="F34" s="604" t="s">
        <v>1272</v>
      </c>
      <c r="G34" s="294">
        <v>1984</v>
      </c>
      <c r="H34" s="295" t="s">
        <v>45</v>
      </c>
      <c r="I34" s="294">
        <v>104690000</v>
      </c>
      <c r="P34" s="295" t="s">
        <v>1269</v>
      </c>
      <c r="R34" s="500">
        <v>0</v>
      </c>
      <c r="S34" s="639" t="s">
        <v>1273</v>
      </c>
      <c r="T34" s="640"/>
      <c r="U34" s="640"/>
      <c r="V34" s="640"/>
      <c r="W34" s="640"/>
      <c r="X34" s="640"/>
      <c r="Y34" s="553"/>
      <c r="Z34" s="527" t="str">
        <f>IFERROR(INDEX(잔가map!$C$14:$AR$18,MATCH(차량DB!$Z$5,잔가map!$B$14:$B$18,0),MATCH(차량DB!Y34,잔가map!$C$13:$AR$13,0)),"")</f>
        <v/>
      </c>
      <c r="AA34" s="527" t="str">
        <f>IFERROR(INDEX(잔가map!$C$14:$AR$18,MATCH(차량DB!$AA$5,잔가map!$B$14:$B$18,0),MATCH(차량DB!Y34,잔가map!$C$13:$AR$13,0)),"")</f>
        <v/>
      </c>
      <c r="AB34" s="527" t="str">
        <f>IFERROR(INDEX(잔가map!$C$14:$AR$18,MATCH(차량DB!$AB$5,잔가map!$B$14:$B$18,0),MATCH(차량DB!Y34,잔가map!$C$13:$AR$13,0)),"")</f>
        <v/>
      </c>
      <c r="AC34" s="527" t="str">
        <f>IFERROR(INDEX(잔가map!$C$14:$AR$18,MATCH(차량DB!$AC$5,잔가map!$B$14:$B$18,0),MATCH(차량DB!Y34,잔가map!$C$13:$AR$13,0)),"")</f>
        <v/>
      </c>
      <c r="AD34" s="527" t="str">
        <f>IFERROR(INDEX(잔가map!$C$14:$AR$18,MATCH(차량DB!$AD$5,잔가map!$B$14:$B$18,0),MATCH(차량DB!Y34,잔가map!$C$13:$AR$13,0)),"")</f>
        <v/>
      </c>
      <c r="AE34" s="643"/>
      <c r="AF34" s="644"/>
      <c r="AG34" s="644"/>
      <c r="AH34" s="644"/>
      <c r="AI34" s="644"/>
      <c r="AJ34" s="644"/>
      <c r="AK34" s="547"/>
      <c r="AL34" s="576"/>
    </row>
    <row r="35" spans="5:38" x14ac:dyDescent="0.3">
      <c r="E35" s="293" t="s">
        <v>558</v>
      </c>
      <c r="F35" s="605" t="s">
        <v>440</v>
      </c>
      <c r="G35" s="294">
        <v>2995</v>
      </c>
      <c r="H35" s="295" t="s">
        <v>45</v>
      </c>
      <c r="I35" s="294">
        <v>109170000</v>
      </c>
      <c r="P35" s="295" t="s">
        <v>576</v>
      </c>
      <c r="R35" s="500">
        <v>0</v>
      </c>
      <c r="S35" s="639" t="s">
        <v>1273</v>
      </c>
      <c r="T35" s="640"/>
      <c r="U35" s="640"/>
      <c r="V35" s="640"/>
      <c r="W35" s="640"/>
      <c r="X35" s="640"/>
      <c r="Y35" s="553"/>
      <c r="Z35" s="527" t="str">
        <f>IFERROR(INDEX(잔가map!$C$14:$AR$18,MATCH(차량DB!$Z$5,잔가map!$B$14:$B$18,0),MATCH(차량DB!Y35,잔가map!$C$13:$AR$13,0)),"")</f>
        <v/>
      </c>
      <c r="AA35" s="527" t="str">
        <f>IFERROR(INDEX(잔가map!$C$14:$AR$18,MATCH(차량DB!$AA$5,잔가map!$B$14:$B$18,0),MATCH(차량DB!Y35,잔가map!$C$13:$AR$13,0)),"")</f>
        <v/>
      </c>
      <c r="AB35" s="527" t="str">
        <f>IFERROR(INDEX(잔가map!$C$14:$AR$18,MATCH(차량DB!$AB$5,잔가map!$B$14:$B$18,0),MATCH(차량DB!Y35,잔가map!$C$13:$AR$13,0)),"")</f>
        <v/>
      </c>
      <c r="AC35" s="527" t="str">
        <f>IFERROR(INDEX(잔가map!$C$14:$AR$18,MATCH(차량DB!$AC$5,잔가map!$B$14:$B$18,0),MATCH(차량DB!Y35,잔가map!$C$13:$AR$13,0)),"")</f>
        <v/>
      </c>
      <c r="AD35" s="527" t="str">
        <f>IFERROR(INDEX(잔가map!$C$14:$AR$18,MATCH(차량DB!$AD$5,잔가map!$B$14:$B$18,0),MATCH(차량DB!Y35,잔가map!$C$13:$AR$13,0)),"")</f>
        <v/>
      </c>
      <c r="AE35" s="643"/>
      <c r="AF35" s="644"/>
      <c r="AG35" s="644"/>
      <c r="AH35" s="644"/>
      <c r="AI35" s="644"/>
      <c r="AJ35" s="644"/>
      <c r="AK35" s="547"/>
      <c r="AL35" s="576"/>
    </row>
    <row r="36" spans="5:38" x14ac:dyDescent="0.3">
      <c r="E36" s="293" t="s">
        <v>558</v>
      </c>
      <c r="F36" s="605" t="s">
        <v>441</v>
      </c>
      <c r="G36" s="294">
        <v>2967</v>
      </c>
      <c r="H36" s="295" t="s">
        <v>45</v>
      </c>
      <c r="I36" s="294">
        <v>127180000</v>
      </c>
      <c r="P36" s="295" t="s">
        <v>576</v>
      </c>
      <c r="R36" s="500">
        <v>0</v>
      </c>
      <c r="S36" s="639"/>
      <c r="T36" s="640"/>
      <c r="U36" s="640"/>
      <c r="V36" s="640"/>
      <c r="W36" s="640"/>
      <c r="X36" s="640"/>
      <c r="Y36" s="553"/>
      <c r="Z36" s="527" t="str">
        <f>IFERROR(INDEX(잔가map!$C$14:$AR$18,MATCH(차량DB!$Z$5,잔가map!$B$14:$B$18,0),MATCH(차량DB!Y36,잔가map!$C$13:$AR$13,0)),"")</f>
        <v/>
      </c>
      <c r="AA36" s="527" t="str">
        <f>IFERROR(INDEX(잔가map!$C$14:$AR$18,MATCH(차량DB!$AA$5,잔가map!$B$14:$B$18,0),MATCH(차량DB!Y36,잔가map!$C$13:$AR$13,0)),"")</f>
        <v/>
      </c>
      <c r="AB36" s="527" t="str">
        <f>IFERROR(INDEX(잔가map!$C$14:$AR$18,MATCH(차량DB!$AB$5,잔가map!$B$14:$B$18,0),MATCH(차량DB!Y36,잔가map!$C$13:$AR$13,0)),"")</f>
        <v/>
      </c>
      <c r="AC36" s="527" t="str">
        <f>IFERROR(INDEX(잔가map!$C$14:$AR$18,MATCH(차량DB!$AC$5,잔가map!$B$14:$B$18,0),MATCH(차량DB!Y36,잔가map!$C$13:$AR$13,0)),"")</f>
        <v/>
      </c>
      <c r="AD36" s="527" t="str">
        <f>IFERROR(INDEX(잔가map!$C$14:$AR$18,MATCH(차량DB!$AD$5,잔가map!$B$14:$B$18,0),MATCH(차량DB!Y36,잔가map!$C$13:$AR$13,0)),"")</f>
        <v/>
      </c>
      <c r="AE36" s="643"/>
      <c r="AF36" s="644"/>
      <c r="AG36" s="644"/>
      <c r="AH36" s="644"/>
      <c r="AI36" s="644"/>
      <c r="AJ36" s="644"/>
      <c r="AK36" s="547"/>
      <c r="AL36" s="576"/>
    </row>
    <row r="37" spans="5:38" x14ac:dyDescent="0.3">
      <c r="E37" s="293" t="s">
        <v>558</v>
      </c>
      <c r="F37" s="604" t="s">
        <v>748</v>
      </c>
      <c r="G37" s="294">
        <v>2967</v>
      </c>
      <c r="H37" s="295" t="s">
        <v>45</v>
      </c>
      <c r="I37" s="294">
        <v>144400000</v>
      </c>
      <c r="P37" s="295" t="s">
        <v>576</v>
      </c>
      <c r="R37" s="500">
        <v>0</v>
      </c>
      <c r="S37" s="639" t="s">
        <v>1284</v>
      </c>
      <c r="T37" s="640"/>
      <c r="U37" s="640"/>
      <c r="V37" s="640"/>
      <c r="W37" s="640"/>
      <c r="X37" s="640"/>
      <c r="Y37" s="553"/>
      <c r="Z37" s="527" t="str">
        <f>IFERROR(INDEX(잔가map!$C$14:$AR$18,MATCH(차량DB!$Z$5,잔가map!$B$14:$B$18,0),MATCH(차량DB!Y37,잔가map!$C$13:$AR$13,0)),"")</f>
        <v/>
      </c>
      <c r="AA37" s="527" t="str">
        <f>IFERROR(INDEX(잔가map!$C$14:$AR$18,MATCH(차량DB!$AA$5,잔가map!$B$14:$B$18,0),MATCH(차량DB!Y37,잔가map!$C$13:$AR$13,0)),"")</f>
        <v/>
      </c>
      <c r="AB37" s="527" t="str">
        <f>IFERROR(INDEX(잔가map!$C$14:$AR$18,MATCH(차량DB!$AB$5,잔가map!$B$14:$B$18,0),MATCH(차량DB!Y37,잔가map!$C$13:$AR$13,0)),"")</f>
        <v/>
      </c>
      <c r="AC37" s="527" t="str">
        <f>IFERROR(INDEX(잔가map!$C$14:$AR$18,MATCH(차량DB!$AC$5,잔가map!$B$14:$B$18,0),MATCH(차량DB!Y37,잔가map!$C$13:$AR$13,0)),"")</f>
        <v/>
      </c>
      <c r="AD37" s="527" t="str">
        <f>IFERROR(INDEX(잔가map!$C$14:$AR$18,MATCH(차량DB!$AD$5,잔가map!$B$14:$B$18,0),MATCH(차량DB!Y37,잔가map!$C$13:$AR$13,0)),"")</f>
        <v/>
      </c>
      <c r="AE37" s="643"/>
      <c r="AF37" s="644"/>
      <c r="AG37" s="644"/>
      <c r="AH37" s="644"/>
      <c r="AI37" s="644"/>
      <c r="AJ37" s="644"/>
      <c r="AK37" s="547"/>
      <c r="AL37" s="576"/>
    </row>
    <row r="38" spans="5:38" x14ac:dyDescent="0.3">
      <c r="E38" s="293" t="s">
        <v>558</v>
      </c>
      <c r="F38" s="604" t="s">
        <v>749</v>
      </c>
      <c r="G38" s="294">
        <v>2967</v>
      </c>
      <c r="H38" s="295" t="s">
        <v>45</v>
      </c>
      <c r="I38" s="294">
        <v>154400000</v>
      </c>
      <c r="P38" s="295" t="s">
        <v>576</v>
      </c>
      <c r="R38" s="500">
        <v>0</v>
      </c>
      <c r="S38" s="639" t="s">
        <v>1284</v>
      </c>
      <c r="T38" s="640"/>
      <c r="U38" s="640"/>
      <c r="V38" s="640"/>
      <c r="W38" s="640"/>
      <c r="X38" s="640"/>
      <c r="Y38" s="553"/>
      <c r="Z38" s="527" t="str">
        <f>IFERROR(INDEX(잔가map!$C$14:$AR$18,MATCH(차량DB!$Z$5,잔가map!$B$14:$B$18,0),MATCH(차량DB!Y38,잔가map!$C$13:$AR$13,0)),"")</f>
        <v/>
      </c>
      <c r="AA38" s="527" t="str">
        <f>IFERROR(INDEX(잔가map!$C$14:$AR$18,MATCH(차량DB!$AA$5,잔가map!$B$14:$B$18,0),MATCH(차량DB!Y38,잔가map!$C$13:$AR$13,0)),"")</f>
        <v/>
      </c>
      <c r="AB38" s="527" t="str">
        <f>IFERROR(INDEX(잔가map!$C$14:$AR$18,MATCH(차량DB!$AB$5,잔가map!$B$14:$B$18,0),MATCH(차량DB!Y38,잔가map!$C$13:$AR$13,0)),"")</f>
        <v/>
      </c>
      <c r="AC38" s="527" t="str">
        <f>IFERROR(INDEX(잔가map!$C$14:$AR$18,MATCH(차량DB!$AC$5,잔가map!$B$14:$B$18,0),MATCH(차량DB!Y38,잔가map!$C$13:$AR$13,0)),"")</f>
        <v/>
      </c>
      <c r="AD38" s="527" t="str">
        <f>IFERROR(INDEX(잔가map!$C$14:$AR$18,MATCH(차량DB!$AD$5,잔가map!$B$14:$B$18,0),MATCH(차량DB!Y38,잔가map!$C$13:$AR$13,0)),"")</f>
        <v/>
      </c>
      <c r="AE38" s="643"/>
      <c r="AF38" s="644"/>
      <c r="AG38" s="644"/>
      <c r="AH38" s="644"/>
      <c r="AI38" s="644"/>
      <c r="AJ38" s="644"/>
      <c r="AK38" s="547"/>
      <c r="AL38" s="576"/>
    </row>
    <row r="39" spans="5:38" x14ac:dyDescent="0.3">
      <c r="E39" s="293" t="s">
        <v>558</v>
      </c>
      <c r="F39" s="604" t="s">
        <v>750</v>
      </c>
      <c r="G39" s="294">
        <v>2995</v>
      </c>
      <c r="H39" s="295" t="s">
        <v>45</v>
      </c>
      <c r="I39" s="294">
        <v>160700000</v>
      </c>
      <c r="P39" s="295" t="s">
        <v>576</v>
      </c>
      <c r="R39" s="500">
        <v>0</v>
      </c>
      <c r="S39" s="639" t="s">
        <v>1284</v>
      </c>
      <c r="T39" s="640"/>
      <c r="U39" s="640"/>
      <c r="V39" s="640"/>
      <c r="W39" s="640"/>
      <c r="X39" s="640"/>
      <c r="Y39" s="553"/>
      <c r="Z39" s="527" t="str">
        <f>IFERROR(INDEX(잔가map!$C$14:$AR$18,MATCH(차량DB!$Z$5,잔가map!$B$14:$B$18,0),MATCH(차량DB!Y39,잔가map!$C$13:$AR$13,0)),"")</f>
        <v/>
      </c>
      <c r="AA39" s="527" t="str">
        <f>IFERROR(INDEX(잔가map!$C$14:$AR$18,MATCH(차량DB!$AA$5,잔가map!$B$14:$B$18,0),MATCH(차량DB!Y39,잔가map!$C$13:$AR$13,0)),"")</f>
        <v/>
      </c>
      <c r="AB39" s="527" t="str">
        <f>IFERROR(INDEX(잔가map!$C$14:$AR$18,MATCH(차량DB!$AB$5,잔가map!$B$14:$B$18,0),MATCH(차량DB!Y39,잔가map!$C$13:$AR$13,0)),"")</f>
        <v/>
      </c>
      <c r="AC39" s="527" t="str">
        <f>IFERROR(INDEX(잔가map!$C$14:$AR$18,MATCH(차량DB!$AC$5,잔가map!$B$14:$B$18,0),MATCH(차량DB!Y39,잔가map!$C$13:$AR$13,0)),"")</f>
        <v/>
      </c>
      <c r="AD39" s="527" t="str">
        <f>IFERROR(INDEX(잔가map!$C$14:$AR$18,MATCH(차량DB!$AD$5,잔가map!$B$14:$B$18,0),MATCH(차량DB!Y39,잔가map!$C$13:$AR$13,0)),"")</f>
        <v/>
      </c>
      <c r="AE39" s="643"/>
      <c r="AF39" s="644"/>
      <c r="AG39" s="644"/>
      <c r="AH39" s="644"/>
      <c r="AI39" s="644"/>
      <c r="AJ39" s="644"/>
      <c r="AK39" s="547"/>
      <c r="AL39" s="576"/>
    </row>
    <row r="40" spans="5:38" ht="16.149999999999999" customHeight="1" x14ac:dyDescent="0.3">
      <c r="E40" s="293" t="s">
        <v>558</v>
      </c>
      <c r="F40" s="604" t="s">
        <v>751</v>
      </c>
      <c r="G40" s="294">
        <v>3996</v>
      </c>
      <c r="H40" s="295" t="s">
        <v>45</v>
      </c>
      <c r="I40" s="294">
        <v>199300000</v>
      </c>
      <c r="P40" s="295" t="s">
        <v>576</v>
      </c>
      <c r="R40" s="500">
        <v>0</v>
      </c>
      <c r="S40" s="639" t="s">
        <v>1300</v>
      </c>
      <c r="T40" s="640"/>
      <c r="U40" s="640"/>
      <c r="V40" s="640"/>
      <c r="W40" s="640"/>
      <c r="X40" s="640"/>
      <c r="Y40" s="553"/>
      <c r="Z40" s="527" t="str">
        <f>IFERROR(INDEX(잔가map!$C$14:$AR$18,MATCH(차량DB!$Z$5,잔가map!$B$14:$B$18,0),MATCH(차량DB!Y40,잔가map!$C$13:$AR$13,0)),"")</f>
        <v/>
      </c>
      <c r="AA40" s="527" t="str">
        <f>IFERROR(INDEX(잔가map!$C$14:$AR$18,MATCH(차량DB!$AA$5,잔가map!$B$14:$B$18,0),MATCH(차량DB!Y40,잔가map!$C$13:$AR$13,0)),"")</f>
        <v/>
      </c>
      <c r="AB40" s="527" t="str">
        <f>IFERROR(INDEX(잔가map!$C$14:$AR$18,MATCH(차량DB!$AB$5,잔가map!$B$14:$B$18,0),MATCH(차량DB!Y40,잔가map!$C$13:$AR$13,0)),"")</f>
        <v/>
      </c>
      <c r="AC40" s="527" t="str">
        <f>IFERROR(INDEX(잔가map!$C$14:$AR$18,MATCH(차량DB!$AC$5,잔가map!$B$14:$B$18,0),MATCH(차량DB!Y40,잔가map!$C$13:$AR$13,0)),"")</f>
        <v/>
      </c>
      <c r="AD40" s="527" t="str">
        <f>IFERROR(INDEX(잔가map!$C$14:$AR$18,MATCH(차량DB!$AD$5,잔가map!$B$14:$B$18,0),MATCH(차량DB!Y40,잔가map!$C$13:$AR$13,0)),"")</f>
        <v/>
      </c>
      <c r="AE40" s="643"/>
      <c r="AF40" s="644"/>
      <c r="AG40" s="644"/>
      <c r="AH40" s="644"/>
      <c r="AI40" s="644"/>
      <c r="AJ40" s="644"/>
      <c r="AK40" s="547"/>
      <c r="AL40" s="576"/>
    </row>
    <row r="41" spans="5:38" ht="16.149999999999999" customHeight="1" x14ac:dyDescent="0.3">
      <c r="E41" s="293" t="s">
        <v>558</v>
      </c>
      <c r="F41" s="604" t="s">
        <v>752</v>
      </c>
      <c r="G41" s="294">
        <v>3996</v>
      </c>
      <c r="H41" s="295" t="s">
        <v>45</v>
      </c>
      <c r="I41" s="294">
        <v>191300000</v>
      </c>
      <c r="P41" s="295" t="s">
        <v>576</v>
      </c>
      <c r="R41" s="500">
        <v>0</v>
      </c>
      <c r="S41" s="639" t="s">
        <v>1300</v>
      </c>
      <c r="T41" s="640"/>
      <c r="U41" s="640"/>
      <c r="V41" s="640"/>
      <c r="W41" s="640"/>
      <c r="X41" s="640"/>
      <c r="Y41" s="553"/>
      <c r="Z41" s="527" t="str">
        <f>IFERROR(INDEX(잔가map!$C$14:$AR$18,MATCH(차량DB!$Z$5,잔가map!$B$14:$B$18,0),MATCH(차량DB!Y41,잔가map!$C$13:$AR$13,0)),"")</f>
        <v/>
      </c>
      <c r="AA41" s="527" t="str">
        <f>IFERROR(INDEX(잔가map!$C$14:$AR$18,MATCH(차량DB!$AA$5,잔가map!$B$14:$B$18,0),MATCH(차량DB!Y41,잔가map!$C$13:$AR$13,0)),"")</f>
        <v/>
      </c>
      <c r="AB41" s="527" t="str">
        <f>IFERROR(INDEX(잔가map!$C$14:$AR$18,MATCH(차량DB!$AB$5,잔가map!$B$14:$B$18,0),MATCH(차량DB!Y41,잔가map!$C$13:$AR$13,0)),"")</f>
        <v/>
      </c>
      <c r="AC41" s="527" t="str">
        <f>IFERROR(INDEX(잔가map!$C$14:$AR$18,MATCH(차량DB!$AC$5,잔가map!$B$14:$B$18,0),MATCH(차량DB!Y41,잔가map!$C$13:$AR$13,0)),"")</f>
        <v/>
      </c>
      <c r="AD41" s="527" t="str">
        <f>IFERROR(INDEX(잔가map!$C$14:$AR$18,MATCH(차량DB!$AD$5,잔가map!$B$14:$B$18,0),MATCH(차량DB!Y41,잔가map!$C$13:$AR$13,0)),"")</f>
        <v/>
      </c>
      <c r="AE41" s="643"/>
      <c r="AF41" s="644"/>
      <c r="AG41" s="644"/>
      <c r="AH41" s="644"/>
      <c r="AI41" s="644"/>
      <c r="AJ41" s="644"/>
      <c r="AK41" s="547"/>
      <c r="AL41" s="576"/>
    </row>
    <row r="42" spans="5:38" x14ac:dyDescent="0.3">
      <c r="E42" s="293" t="s">
        <v>558</v>
      </c>
      <c r="F42" s="604" t="s">
        <v>442</v>
      </c>
      <c r="G42" s="294">
        <v>3996</v>
      </c>
      <c r="H42" s="295" t="s">
        <v>45</v>
      </c>
      <c r="I42" s="294">
        <v>205020000</v>
      </c>
      <c r="P42" s="295" t="s">
        <v>576</v>
      </c>
      <c r="R42" s="500">
        <v>0</v>
      </c>
      <c r="S42" s="639"/>
      <c r="T42" s="640"/>
      <c r="U42" s="640"/>
      <c r="V42" s="640"/>
      <c r="W42" s="640"/>
      <c r="X42" s="640"/>
      <c r="Y42" s="553"/>
      <c r="Z42" s="527" t="str">
        <f>IFERROR(INDEX(잔가map!$C$14:$AR$18,MATCH(차량DB!$Z$5,잔가map!$B$14:$B$18,0),MATCH(차량DB!Y42,잔가map!$C$13:$AR$13,0)),"")</f>
        <v/>
      </c>
      <c r="AA42" s="527" t="str">
        <f>IFERROR(INDEX(잔가map!$C$14:$AR$18,MATCH(차량DB!$AA$5,잔가map!$B$14:$B$18,0),MATCH(차량DB!Y42,잔가map!$C$13:$AR$13,0)),"")</f>
        <v/>
      </c>
      <c r="AB42" s="527" t="str">
        <f>IFERROR(INDEX(잔가map!$C$14:$AR$18,MATCH(차량DB!$AB$5,잔가map!$B$14:$B$18,0),MATCH(차량DB!Y42,잔가map!$C$13:$AR$13,0)),"")</f>
        <v/>
      </c>
      <c r="AC42" s="527" t="str">
        <f>IFERROR(INDEX(잔가map!$C$14:$AR$18,MATCH(차량DB!$AC$5,잔가map!$B$14:$B$18,0),MATCH(차량DB!Y42,잔가map!$C$13:$AR$13,0)),"")</f>
        <v/>
      </c>
      <c r="AD42" s="527" t="str">
        <f>IFERROR(INDEX(잔가map!$C$14:$AR$18,MATCH(차량DB!$AD$5,잔가map!$B$14:$B$18,0),MATCH(차량DB!Y42,잔가map!$C$13:$AR$13,0)),"")</f>
        <v/>
      </c>
      <c r="AE42" s="643"/>
      <c r="AF42" s="644"/>
      <c r="AG42" s="644"/>
      <c r="AH42" s="644"/>
      <c r="AI42" s="644"/>
      <c r="AJ42" s="644"/>
      <c r="AK42" s="547"/>
      <c r="AL42" s="576"/>
    </row>
    <row r="43" spans="5:38" x14ac:dyDescent="0.3">
      <c r="E43" s="293" t="s">
        <v>558</v>
      </c>
      <c r="F43" s="604" t="s">
        <v>1103</v>
      </c>
      <c r="G43" s="294">
        <v>2894</v>
      </c>
      <c r="H43" s="295" t="s">
        <v>45</v>
      </c>
      <c r="I43" s="294">
        <v>128080000</v>
      </c>
      <c r="P43" s="295" t="s">
        <v>576</v>
      </c>
      <c r="R43" s="500">
        <v>0</v>
      </c>
      <c r="S43" s="639"/>
      <c r="T43" s="640"/>
      <c r="U43" s="640"/>
      <c r="V43" s="640"/>
      <c r="W43" s="640"/>
      <c r="X43" s="640"/>
      <c r="Y43" s="553"/>
      <c r="Z43" s="527" t="str">
        <f>IFERROR(INDEX(잔가map!$C$14:$AR$18,MATCH(차량DB!$Z$5,잔가map!$B$14:$B$18,0),MATCH(차량DB!Y43,잔가map!$C$13:$AR$13,0)),"")</f>
        <v/>
      </c>
      <c r="AA43" s="527" t="str">
        <f>IFERROR(INDEX(잔가map!$C$14:$AR$18,MATCH(차량DB!$AA$5,잔가map!$B$14:$B$18,0),MATCH(차량DB!Y43,잔가map!$C$13:$AR$13,0)),"")</f>
        <v/>
      </c>
      <c r="AB43" s="527" t="str">
        <f>IFERROR(INDEX(잔가map!$C$14:$AR$18,MATCH(차량DB!$AB$5,잔가map!$B$14:$B$18,0),MATCH(차량DB!Y43,잔가map!$C$13:$AR$13,0)),"")</f>
        <v/>
      </c>
      <c r="AC43" s="527" t="str">
        <f>IFERROR(INDEX(잔가map!$C$14:$AR$18,MATCH(차량DB!$AC$5,잔가map!$B$14:$B$18,0),MATCH(차량DB!Y43,잔가map!$C$13:$AR$13,0)),"")</f>
        <v/>
      </c>
      <c r="AD43" s="527" t="str">
        <f>IFERROR(INDEX(잔가map!$C$14:$AR$18,MATCH(차량DB!$AD$5,잔가map!$B$14:$B$18,0),MATCH(차량DB!Y43,잔가map!$C$13:$AR$13,0)),"")</f>
        <v/>
      </c>
      <c r="AE43" s="643"/>
      <c r="AF43" s="644"/>
      <c r="AG43" s="644"/>
      <c r="AH43" s="644"/>
      <c r="AI43" s="644"/>
      <c r="AJ43" s="644"/>
      <c r="AK43" s="547"/>
      <c r="AL43" s="576"/>
    </row>
    <row r="44" spans="5:38" x14ac:dyDescent="0.3">
      <c r="E44" s="293" t="s">
        <v>558</v>
      </c>
      <c r="F44" s="604" t="s">
        <v>662</v>
      </c>
      <c r="G44" s="294">
        <v>3996</v>
      </c>
      <c r="H44" s="295" t="s">
        <v>45</v>
      </c>
      <c r="I44" s="294">
        <v>169580000</v>
      </c>
      <c r="P44" s="295" t="s">
        <v>576</v>
      </c>
      <c r="R44" s="500">
        <v>0</v>
      </c>
      <c r="S44" s="639" t="s">
        <v>1283</v>
      </c>
      <c r="T44" s="640"/>
      <c r="U44" s="640"/>
      <c r="V44" s="640"/>
      <c r="W44" s="640"/>
      <c r="X44" s="640"/>
      <c r="Y44" s="553"/>
      <c r="Z44" s="527" t="str">
        <f>IFERROR(INDEX(잔가map!$C$14:$AR$18,MATCH(차량DB!$Z$5,잔가map!$B$14:$B$18,0),MATCH(차량DB!Y44,잔가map!$C$13:$AR$13,0)),"")</f>
        <v/>
      </c>
      <c r="AA44" s="527" t="str">
        <f>IFERROR(INDEX(잔가map!$C$14:$AR$18,MATCH(차량DB!$AA$5,잔가map!$B$14:$B$18,0),MATCH(차량DB!Y44,잔가map!$C$13:$AR$13,0)),"")</f>
        <v/>
      </c>
      <c r="AB44" s="527" t="str">
        <f>IFERROR(INDEX(잔가map!$C$14:$AR$18,MATCH(차량DB!$AB$5,잔가map!$B$14:$B$18,0),MATCH(차량DB!Y44,잔가map!$C$13:$AR$13,0)),"")</f>
        <v/>
      </c>
      <c r="AC44" s="527" t="str">
        <f>IFERROR(INDEX(잔가map!$C$14:$AR$18,MATCH(차량DB!$AC$5,잔가map!$B$14:$B$18,0),MATCH(차량DB!Y44,잔가map!$C$13:$AR$13,0)),"")</f>
        <v/>
      </c>
      <c r="AD44" s="527" t="str">
        <f>IFERROR(INDEX(잔가map!$C$14:$AR$18,MATCH(차량DB!$AD$5,잔가map!$B$14:$B$18,0),MATCH(차량DB!Y44,잔가map!$C$13:$AR$13,0)),"")</f>
        <v/>
      </c>
      <c r="AE44" s="643"/>
      <c r="AF44" s="644"/>
      <c r="AG44" s="644"/>
      <c r="AH44" s="644"/>
      <c r="AI44" s="644"/>
      <c r="AJ44" s="644"/>
      <c r="AK44" s="547"/>
      <c r="AL44" s="576"/>
    </row>
    <row r="45" spans="5:38" x14ac:dyDescent="0.3">
      <c r="E45" s="293" t="s">
        <v>558</v>
      </c>
      <c r="F45" s="604" t="s">
        <v>663</v>
      </c>
      <c r="G45" s="294">
        <v>3996</v>
      </c>
      <c r="H45" s="295" t="s">
        <v>45</v>
      </c>
      <c r="I45" s="294">
        <v>175580000</v>
      </c>
      <c r="P45" s="295" t="s">
        <v>576</v>
      </c>
      <c r="R45" s="500">
        <v>0</v>
      </c>
      <c r="S45" s="639" t="s">
        <v>1287</v>
      </c>
      <c r="T45" s="640"/>
      <c r="U45" s="640"/>
      <c r="V45" s="640"/>
      <c r="W45" s="640"/>
      <c r="X45" s="640"/>
      <c r="Y45" s="553"/>
      <c r="Z45" s="527" t="str">
        <f>IFERROR(INDEX(잔가map!$C$14:$AR$18,MATCH(차량DB!$Z$5,잔가map!$B$14:$B$18,0),MATCH(차량DB!Y45,잔가map!$C$13:$AR$13,0)),"")</f>
        <v/>
      </c>
      <c r="AA45" s="527" t="str">
        <f>IFERROR(INDEX(잔가map!$C$14:$AR$18,MATCH(차량DB!$AA$5,잔가map!$B$14:$B$18,0),MATCH(차량DB!Y45,잔가map!$C$13:$AR$13,0)),"")</f>
        <v/>
      </c>
      <c r="AB45" s="527" t="str">
        <f>IFERROR(INDEX(잔가map!$C$14:$AR$18,MATCH(차량DB!$AB$5,잔가map!$B$14:$B$18,0),MATCH(차량DB!Y45,잔가map!$C$13:$AR$13,0)),"")</f>
        <v/>
      </c>
      <c r="AC45" s="527" t="str">
        <f>IFERROR(INDEX(잔가map!$C$14:$AR$18,MATCH(차량DB!$AC$5,잔가map!$B$14:$B$18,0),MATCH(차량DB!Y45,잔가map!$C$13:$AR$13,0)),"")</f>
        <v/>
      </c>
      <c r="AD45" s="527" t="str">
        <f>IFERROR(INDEX(잔가map!$C$14:$AR$18,MATCH(차량DB!$AD$5,잔가map!$B$14:$B$18,0),MATCH(차량DB!Y45,잔가map!$C$13:$AR$13,0)),"")</f>
        <v/>
      </c>
      <c r="AE45" s="643"/>
      <c r="AF45" s="644"/>
      <c r="AG45" s="644"/>
      <c r="AH45" s="644"/>
      <c r="AI45" s="644"/>
      <c r="AJ45" s="644"/>
      <c r="AK45" s="547"/>
      <c r="AL45" s="576"/>
    </row>
    <row r="46" spans="5:38" x14ac:dyDescent="0.3">
      <c r="E46" s="293" t="s">
        <v>558</v>
      </c>
      <c r="F46" s="604" t="s">
        <v>443</v>
      </c>
      <c r="G46" s="294">
        <v>1968</v>
      </c>
      <c r="H46" s="295" t="s">
        <v>58</v>
      </c>
      <c r="I46" s="294">
        <v>40900000</v>
      </c>
      <c r="P46" s="295" t="s">
        <v>576</v>
      </c>
      <c r="R46" s="500">
        <v>0</v>
      </c>
      <c r="S46" s="639"/>
      <c r="T46" s="640"/>
      <c r="U46" s="640"/>
      <c r="V46" s="640"/>
      <c r="W46" s="640"/>
      <c r="X46" s="640"/>
      <c r="Y46" s="553"/>
      <c r="Z46" s="527" t="str">
        <f>IFERROR(INDEX(잔가map!$C$14:$AR$18,MATCH(차량DB!$Z$5,잔가map!$B$14:$B$18,0),MATCH(차량DB!Y46,잔가map!$C$13:$AR$13,0)),"")</f>
        <v/>
      </c>
      <c r="AA46" s="527" t="str">
        <f>IFERROR(INDEX(잔가map!$C$14:$AR$18,MATCH(차량DB!$AA$5,잔가map!$B$14:$B$18,0),MATCH(차량DB!Y46,잔가map!$C$13:$AR$13,0)),"")</f>
        <v/>
      </c>
      <c r="AB46" s="527" t="str">
        <f>IFERROR(INDEX(잔가map!$C$14:$AR$18,MATCH(차량DB!$AB$5,잔가map!$B$14:$B$18,0),MATCH(차량DB!Y46,잔가map!$C$13:$AR$13,0)),"")</f>
        <v/>
      </c>
      <c r="AC46" s="527" t="str">
        <f>IFERROR(INDEX(잔가map!$C$14:$AR$18,MATCH(차량DB!$AC$5,잔가map!$B$14:$B$18,0),MATCH(차량DB!Y46,잔가map!$C$13:$AR$13,0)),"")</f>
        <v/>
      </c>
      <c r="AD46" s="527" t="str">
        <f>IFERROR(INDEX(잔가map!$C$14:$AR$18,MATCH(차량DB!$AD$5,잔가map!$B$14:$B$18,0),MATCH(차량DB!Y46,잔가map!$C$13:$AR$13,0)),"")</f>
        <v/>
      </c>
      <c r="AE46" s="643"/>
      <c r="AF46" s="644"/>
      <c r="AG46" s="644"/>
      <c r="AH46" s="644"/>
      <c r="AI46" s="644"/>
      <c r="AJ46" s="644"/>
      <c r="AK46" s="547"/>
      <c r="AL46" s="576"/>
    </row>
    <row r="47" spans="5:38" x14ac:dyDescent="0.3">
      <c r="E47" s="293" t="s">
        <v>558</v>
      </c>
      <c r="F47" s="604" t="s">
        <v>444</v>
      </c>
      <c r="G47" s="294">
        <v>1968</v>
      </c>
      <c r="H47" s="295" t="s">
        <v>58</v>
      </c>
      <c r="I47" s="294">
        <v>44400000</v>
      </c>
      <c r="P47" s="295" t="s">
        <v>576</v>
      </c>
      <c r="R47" s="500">
        <v>0</v>
      </c>
      <c r="S47" s="639"/>
      <c r="T47" s="640"/>
      <c r="U47" s="640"/>
      <c r="V47" s="640"/>
      <c r="W47" s="640"/>
      <c r="X47" s="640"/>
      <c r="Y47" s="553"/>
      <c r="Z47" s="527" t="str">
        <f>IFERROR(INDEX(잔가map!$C$14:$AR$18,MATCH(차량DB!$Z$5,잔가map!$B$14:$B$18,0),MATCH(차량DB!Y47,잔가map!$C$13:$AR$13,0)),"")</f>
        <v/>
      </c>
      <c r="AA47" s="527" t="str">
        <f>IFERROR(INDEX(잔가map!$C$14:$AR$18,MATCH(차량DB!$AA$5,잔가map!$B$14:$B$18,0),MATCH(차량DB!Y47,잔가map!$C$13:$AR$13,0)),"")</f>
        <v/>
      </c>
      <c r="AB47" s="527" t="str">
        <f>IFERROR(INDEX(잔가map!$C$14:$AR$18,MATCH(차량DB!$AB$5,잔가map!$B$14:$B$18,0),MATCH(차량DB!Y47,잔가map!$C$13:$AR$13,0)),"")</f>
        <v/>
      </c>
      <c r="AC47" s="527" t="str">
        <f>IFERROR(INDEX(잔가map!$C$14:$AR$18,MATCH(차량DB!$AC$5,잔가map!$B$14:$B$18,0),MATCH(차량DB!Y47,잔가map!$C$13:$AR$13,0)),"")</f>
        <v/>
      </c>
      <c r="AD47" s="527" t="str">
        <f>IFERROR(INDEX(잔가map!$C$14:$AR$18,MATCH(차량DB!$AD$5,잔가map!$B$14:$B$18,0),MATCH(차량DB!Y47,잔가map!$C$13:$AR$13,0)),"")</f>
        <v/>
      </c>
      <c r="AE47" s="643"/>
      <c r="AF47" s="644"/>
      <c r="AG47" s="644"/>
      <c r="AH47" s="644"/>
      <c r="AI47" s="644"/>
      <c r="AJ47" s="644"/>
      <c r="AK47" s="547"/>
      <c r="AL47" s="576"/>
    </row>
    <row r="48" spans="5:38" x14ac:dyDescent="0.3">
      <c r="E48" s="293" t="s">
        <v>558</v>
      </c>
      <c r="F48" s="604" t="s">
        <v>445</v>
      </c>
      <c r="G48" s="294">
        <v>1968</v>
      </c>
      <c r="H48" s="295" t="s">
        <v>58</v>
      </c>
      <c r="I48" s="294">
        <v>51100000</v>
      </c>
      <c r="P48" s="295" t="s">
        <v>576</v>
      </c>
      <c r="R48" s="500">
        <v>0</v>
      </c>
      <c r="S48" s="639" t="s">
        <v>1301</v>
      </c>
      <c r="T48" s="640"/>
      <c r="U48" s="640"/>
      <c r="V48" s="640"/>
      <c r="W48" s="640"/>
      <c r="X48" s="640"/>
      <c r="Y48" s="553"/>
      <c r="Z48" s="527" t="str">
        <f>IFERROR(INDEX(잔가map!$C$14:$AR$18,MATCH(차량DB!$Z$5,잔가map!$B$14:$B$18,0),MATCH(차량DB!Y48,잔가map!$C$13:$AR$13,0)),"")</f>
        <v/>
      </c>
      <c r="AA48" s="527" t="str">
        <f>IFERROR(INDEX(잔가map!$C$14:$AR$18,MATCH(차량DB!$AA$5,잔가map!$B$14:$B$18,0),MATCH(차량DB!Y48,잔가map!$C$13:$AR$13,0)),"")</f>
        <v/>
      </c>
      <c r="AB48" s="527" t="str">
        <f>IFERROR(INDEX(잔가map!$C$14:$AR$18,MATCH(차량DB!$AB$5,잔가map!$B$14:$B$18,0),MATCH(차량DB!Y48,잔가map!$C$13:$AR$13,0)),"")</f>
        <v/>
      </c>
      <c r="AC48" s="527" t="str">
        <f>IFERROR(INDEX(잔가map!$C$14:$AR$18,MATCH(차량DB!$AC$5,잔가map!$B$14:$B$18,0),MATCH(차량DB!Y48,잔가map!$C$13:$AR$13,0)),"")</f>
        <v/>
      </c>
      <c r="AD48" s="527" t="str">
        <f>IFERROR(INDEX(잔가map!$C$14:$AR$18,MATCH(차량DB!$AD$5,잔가map!$B$14:$B$18,0),MATCH(차량DB!Y48,잔가map!$C$13:$AR$13,0)),"")</f>
        <v/>
      </c>
      <c r="AE48" s="643"/>
      <c r="AF48" s="644"/>
      <c r="AG48" s="644"/>
      <c r="AH48" s="644"/>
      <c r="AI48" s="644"/>
      <c r="AJ48" s="644"/>
      <c r="AK48" s="547"/>
      <c r="AL48" s="576"/>
    </row>
    <row r="49" spans="5:38" x14ac:dyDescent="0.3">
      <c r="E49" s="293" t="s">
        <v>558</v>
      </c>
      <c r="F49" s="604" t="s">
        <v>446</v>
      </c>
      <c r="G49" s="294">
        <v>1968</v>
      </c>
      <c r="H49" s="295" t="s">
        <v>58</v>
      </c>
      <c r="I49" s="294">
        <v>58100000</v>
      </c>
      <c r="P49" s="295" t="s">
        <v>576</v>
      </c>
      <c r="R49" s="500">
        <v>0</v>
      </c>
      <c r="S49" s="639" t="s">
        <v>1279</v>
      </c>
      <c r="T49" s="640"/>
      <c r="U49" s="640"/>
      <c r="V49" s="640"/>
      <c r="W49" s="640"/>
      <c r="X49" s="640"/>
      <c r="Y49" s="553"/>
      <c r="Z49" s="527" t="str">
        <f>IFERROR(INDEX(잔가map!$C$14:$AR$18,MATCH(차량DB!$Z$5,잔가map!$B$14:$B$18,0),MATCH(차량DB!Y49,잔가map!$C$13:$AR$13,0)),"")</f>
        <v/>
      </c>
      <c r="AA49" s="527" t="str">
        <f>IFERROR(INDEX(잔가map!$C$14:$AR$18,MATCH(차량DB!$AA$5,잔가map!$B$14:$B$18,0),MATCH(차량DB!Y49,잔가map!$C$13:$AR$13,0)),"")</f>
        <v/>
      </c>
      <c r="AB49" s="527" t="str">
        <f>IFERROR(INDEX(잔가map!$C$14:$AR$18,MATCH(차량DB!$AB$5,잔가map!$B$14:$B$18,0),MATCH(차량DB!Y49,잔가map!$C$13:$AR$13,0)),"")</f>
        <v/>
      </c>
      <c r="AC49" s="527" t="str">
        <f>IFERROR(INDEX(잔가map!$C$14:$AR$18,MATCH(차량DB!$AC$5,잔가map!$B$14:$B$18,0),MATCH(차량DB!Y49,잔가map!$C$13:$AR$13,0)),"")</f>
        <v/>
      </c>
      <c r="AD49" s="527" t="str">
        <f>IFERROR(INDEX(잔가map!$C$14:$AR$18,MATCH(차량DB!$AD$5,잔가map!$B$14:$B$18,0),MATCH(차량DB!Y49,잔가map!$C$13:$AR$13,0)),"")</f>
        <v/>
      </c>
      <c r="AE49" s="643"/>
      <c r="AF49" s="644"/>
      <c r="AG49" s="644"/>
      <c r="AH49" s="644"/>
      <c r="AI49" s="644"/>
      <c r="AJ49" s="644"/>
      <c r="AK49" s="547"/>
      <c r="AL49" s="576"/>
    </row>
    <row r="50" spans="5:38" x14ac:dyDescent="0.3">
      <c r="E50" s="293" t="s">
        <v>558</v>
      </c>
      <c r="F50" s="604" t="s">
        <v>753</v>
      </c>
      <c r="G50" s="294">
        <v>1968</v>
      </c>
      <c r="H50" s="295" t="s">
        <v>58</v>
      </c>
      <c r="I50" s="294">
        <v>56480000</v>
      </c>
      <c r="P50" s="295" t="s">
        <v>576</v>
      </c>
      <c r="R50" s="500">
        <v>0</v>
      </c>
      <c r="S50" s="639" t="s">
        <v>1279</v>
      </c>
      <c r="T50" s="640"/>
      <c r="U50" s="640"/>
      <c r="V50" s="640"/>
      <c r="W50" s="640"/>
      <c r="X50" s="640"/>
      <c r="Y50" s="553"/>
      <c r="Z50" s="527" t="str">
        <f>IFERROR(INDEX(잔가map!$C$14:$AR$18,MATCH(차량DB!$Z$5,잔가map!$B$14:$B$18,0),MATCH(차량DB!Y50,잔가map!$C$13:$AR$13,0)),"")</f>
        <v/>
      </c>
      <c r="AA50" s="527" t="str">
        <f>IFERROR(INDEX(잔가map!$C$14:$AR$18,MATCH(차량DB!$AA$5,잔가map!$B$14:$B$18,0),MATCH(차량DB!Y50,잔가map!$C$13:$AR$13,0)),"")</f>
        <v/>
      </c>
      <c r="AB50" s="527" t="str">
        <f>IFERROR(INDEX(잔가map!$C$14:$AR$18,MATCH(차량DB!$AB$5,잔가map!$B$14:$B$18,0),MATCH(차량DB!Y50,잔가map!$C$13:$AR$13,0)),"")</f>
        <v/>
      </c>
      <c r="AC50" s="527" t="str">
        <f>IFERROR(INDEX(잔가map!$C$14:$AR$18,MATCH(차량DB!$AC$5,잔가map!$B$14:$B$18,0),MATCH(차량DB!Y50,잔가map!$C$13:$AR$13,0)),"")</f>
        <v/>
      </c>
      <c r="AD50" s="527" t="str">
        <f>IFERROR(INDEX(잔가map!$C$14:$AR$18,MATCH(차량DB!$AD$5,잔가map!$B$14:$B$18,0),MATCH(차량DB!Y50,잔가map!$C$13:$AR$13,0)),"")</f>
        <v/>
      </c>
      <c r="AE50" s="643"/>
      <c r="AF50" s="644"/>
      <c r="AG50" s="644"/>
      <c r="AH50" s="644"/>
      <c r="AI50" s="644"/>
      <c r="AJ50" s="644"/>
      <c r="AK50" s="547"/>
      <c r="AL50" s="576"/>
    </row>
    <row r="51" spans="5:38" x14ac:dyDescent="0.3">
      <c r="E51" s="293" t="s">
        <v>558</v>
      </c>
      <c r="F51" s="604" t="s">
        <v>1110</v>
      </c>
      <c r="G51" s="294">
        <v>1984</v>
      </c>
      <c r="H51" s="295" t="s">
        <v>58</v>
      </c>
      <c r="I51" s="294">
        <v>52300000</v>
      </c>
      <c r="P51" s="295" t="s">
        <v>576</v>
      </c>
      <c r="R51" s="500"/>
      <c r="S51" s="639" t="s">
        <v>1302</v>
      </c>
      <c r="T51" s="640"/>
      <c r="U51" s="640"/>
      <c r="V51" s="640"/>
      <c r="W51" s="640"/>
      <c r="X51" s="640"/>
      <c r="Y51" s="553"/>
      <c r="Z51" s="527" t="str">
        <f>IFERROR(INDEX(잔가map!$C$14:$AR$18,MATCH(차량DB!$Z$5,잔가map!$B$14:$B$18,0),MATCH(차량DB!Y51,잔가map!$C$13:$AR$13,0)),"")</f>
        <v/>
      </c>
      <c r="AA51" s="527" t="str">
        <f>IFERROR(INDEX(잔가map!$C$14:$AR$18,MATCH(차량DB!$AA$5,잔가map!$B$14:$B$18,0),MATCH(차량DB!Y51,잔가map!$C$13:$AR$13,0)),"")</f>
        <v/>
      </c>
      <c r="AB51" s="527" t="str">
        <f>IFERROR(INDEX(잔가map!$C$14:$AR$18,MATCH(차량DB!$AB$5,잔가map!$B$14:$B$18,0),MATCH(차량DB!Y51,잔가map!$C$13:$AR$13,0)),"")</f>
        <v/>
      </c>
      <c r="AC51" s="527" t="str">
        <f>IFERROR(INDEX(잔가map!$C$14:$AR$18,MATCH(차량DB!$AC$5,잔가map!$B$14:$B$18,0),MATCH(차량DB!Y51,잔가map!$C$13:$AR$13,0)),"")</f>
        <v/>
      </c>
      <c r="AD51" s="527" t="str">
        <f>IFERROR(INDEX(잔가map!$C$14:$AR$18,MATCH(차량DB!$AD$5,잔가map!$B$14:$B$18,0),MATCH(차량DB!Y51,잔가map!$C$13:$AR$13,0)),"")</f>
        <v/>
      </c>
      <c r="AE51" s="643"/>
      <c r="AF51" s="644"/>
      <c r="AG51" s="644"/>
      <c r="AH51" s="644"/>
      <c r="AI51" s="644"/>
      <c r="AJ51" s="644"/>
      <c r="AK51" s="547"/>
      <c r="AL51" s="576"/>
    </row>
    <row r="52" spans="5:38" x14ac:dyDescent="0.3">
      <c r="E52" s="293" t="s">
        <v>558</v>
      </c>
      <c r="F52" s="604" t="s">
        <v>1111</v>
      </c>
      <c r="G52" s="294">
        <v>1984</v>
      </c>
      <c r="H52" s="295" t="s">
        <v>58</v>
      </c>
      <c r="I52" s="294">
        <v>59300000</v>
      </c>
      <c r="P52" s="295" t="s">
        <v>576</v>
      </c>
      <c r="R52" s="500"/>
      <c r="S52" s="639" t="s">
        <v>1279</v>
      </c>
      <c r="T52" s="640"/>
      <c r="U52" s="640"/>
      <c r="V52" s="640"/>
      <c r="W52" s="640"/>
      <c r="X52" s="640"/>
      <c r="Y52" s="553"/>
      <c r="Z52" s="527" t="str">
        <f>IFERROR(INDEX(잔가map!$C$14:$AR$18,MATCH(차량DB!$Z$5,잔가map!$B$14:$B$18,0),MATCH(차량DB!Y52,잔가map!$C$13:$AR$13,0)),"")</f>
        <v/>
      </c>
      <c r="AA52" s="527" t="str">
        <f>IFERROR(INDEX(잔가map!$C$14:$AR$18,MATCH(차량DB!$AA$5,잔가map!$B$14:$B$18,0),MATCH(차량DB!Y52,잔가map!$C$13:$AR$13,0)),"")</f>
        <v/>
      </c>
      <c r="AB52" s="527" t="str">
        <f>IFERROR(INDEX(잔가map!$C$14:$AR$18,MATCH(차량DB!$AB$5,잔가map!$B$14:$B$18,0),MATCH(차량DB!Y52,잔가map!$C$13:$AR$13,0)),"")</f>
        <v/>
      </c>
      <c r="AC52" s="527" t="str">
        <f>IFERROR(INDEX(잔가map!$C$14:$AR$18,MATCH(차량DB!$AC$5,잔가map!$B$14:$B$18,0),MATCH(차량DB!Y52,잔가map!$C$13:$AR$13,0)),"")</f>
        <v/>
      </c>
      <c r="AD52" s="527" t="str">
        <f>IFERROR(INDEX(잔가map!$C$14:$AR$18,MATCH(차량DB!$AD$5,잔가map!$B$14:$B$18,0),MATCH(차량DB!Y52,잔가map!$C$13:$AR$13,0)),"")</f>
        <v/>
      </c>
      <c r="AE52" s="643"/>
      <c r="AF52" s="644"/>
      <c r="AG52" s="644"/>
      <c r="AH52" s="644"/>
      <c r="AI52" s="644"/>
      <c r="AJ52" s="644"/>
      <c r="AK52" s="547"/>
      <c r="AL52" s="576"/>
    </row>
    <row r="53" spans="5:38" x14ac:dyDescent="0.3">
      <c r="E53" s="293" t="s">
        <v>606</v>
      </c>
      <c r="F53" s="604" t="s">
        <v>1112</v>
      </c>
      <c r="G53" s="294">
        <v>1968</v>
      </c>
      <c r="H53" s="295" t="s">
        <v>58</v>
      </c>
      <c r="I53" s="294">
        <v>52710000</v>
      </c>
      <c r="P53" s="295" t="s">
        <v>576</v>
      </c>
      <c r="R53" s="500"/>
      <c r="S53" s="639" t="s">
        <v>1279</v>
      </c>
      <c r="T53" s="640"/>
      <c r="U53" s="640"/>
      <c r="V53" s="640"/>
      <c r="W53" s="640"/>
      <c r="X53" s="640"/>
      <c r="Y53" s="553"/>
      <c r="Z53" s="527" t="str">
        <f>IFERROR(INDEX(잔가map!$C$14:$AR$18,MATCH(차량DB!$Z$5,잔가map!$B$14:$B$18,0),MATCH(차량DB!Y53,잔가map!$C$13:$AR$13,0)),"")</f>
        <v/>
      </c>
      <c r="AA53" s="527" t="str">
        <f>IFERROR(INDEX(잔가map!$C$14:$AR$18,MATCH(차량DB!$AA$5,잔가map!$B$14:$B$18,0),MATCH(차량DB!Y53,잔가map!$C$13:$AR$13,0)),"")</f>
        <v/>
      </c>
      <c r="AB53" s="527" t="str">
        <f>IFERROR(INDEX(잔가map!$C$14:$AR$18,MATCH(차량DB!$AB$5,잔가map!$B$14:$B$18,0),MATCH(차량DB!Y53,잔가map!$C$13:$AR$13,0)),"")</f>
        <v/>
      </c>
      <c r="AC53" s="527" t="str">
        <f>IFERROR(INDEX(잔가map!$C$14:$AR$18,MATCH(차량DB!$AC$5,잔가map!$B$14:$B$18,0),MATCH(차량DB!Y53,잔가map!$C$13:$AR$13,0)),"")</f>
        <v/>
      </c>
      <c r="AD53" s="527" t="str">
        <f>IFERROR(INDEX(잔가map!$C$14:$AR$18,MATCH(차량DB!$AD$5,잔가map!$B$14:$B$18,0),MATCH(차량DB!Y53,잔가map!$C$13:$AR$13,0)),"")</f>
        <v/>
      </c>
      <c r="AE53" s="643"/>
      <c r="AF53" s="644"/>
      <c r="AG53" s="644"/>
      <c r="AH53" s="644"/>
      <c r="AI53" s="644"/>
      <c r="AJ53" s="644"/>
      <c r="AK53" s="547"/>
      <c r="AL53" s="576"/>
    </row>
    <row r="54" spans="5:38" x14ac:dyDescent="0.3">
      <c r="E54" s="293" t="s">
        <v>606</v>
      </c>
      <c r="F54" s="604" t="s">
        <v>1115</v>
      </c>
      <c r="G54" s="294">
        <v>1968</v>
      </c>
      <c r="H54" s="295" t="s">
        <v>58</v>
      </c>
      <c r="I54" s="294">
        <v>57500000</v>
      </c>
      <c r="P54" s="295" t="s">
        <v>576</v>
      </c>
      <c r="R54" s="500"/>
      <c r="S54" s="639" t="s">
        <v>1303</v>
      </c>
      <c r="T54" s="640"/>
      <c r="U54" s="640"/>
      <c r="V54" s="640"/>
      <c r="W54" s="640"/>
      <c r="X54" s="640"/>
      <c r="Y54" s="553"/>
      <c r="Z54" s="527" t="str">
        <f>IFERROR(INDEX(잔가map!$C$14:$AR$18,MATCH(차량DB!$Z$5,잔가map!$B$14:$B$18,0),MATCH(차량DB!Y54,잔가map!$C$13:$AR$13,0)),"")</f>
        <v/>
      </c>
      <c r="AA54" s="527" t="str">
        <f>IFERROR(INDEX(잔가map!$C$14:$AR$18,MATCH(차량DB!$AA$5,잔가map!$B$14:$B$18,0),MATCH(차량DB!Y54,잔가map!$C$13:$AR$13,0)),"")</f>
        <v/>
      </c>
      <c r="AB54" s="527" t="str">
        <f>IFERROR(INDEX(잔가map!$C$14:$AR$18,MATCH(차량DB!$AB$5,잔가map!$B$14:$B$18,0),MATCH(차량DB!Y54,잔가map!$C$13:$AR$13,0)),"")</f>
        <v/>
      </c>
      <c r="AC54" s="527" t="str">
        <f>IFERROR(INDEX(잔가map!$C$14:$AR$18,MATCH(차량DB!$AC$5,잔가map!$B$14:$B$18,0),MATCH(차량DB!Y54,잔가map!$C$13:$AR$13,0)),"")</f>
        <v/>
      </c>
      <c r="AD54" s="527" t="str">
        <f>IFERROR(INDEX(잔가map!$C$14:$AR$18,MATCH(차량DB!$AD$5,잔가map!$B$14:$B$18,0),MATCH(차량DB!Y54,잔가map!$C$13:$AR$13,0)),"")</f>
        <v/>
      </c>
      <c r="AE54" s="643"/>
      <c r="AF54" s="644"/>
      <c r="AG54" s="644"/>
      <c r="AH54" s="644"/>
      <c r="AI54" s="644"/>
      <c r="AJ54" s="644"/>
    </row>
    <row r="55" spans="5:38" x14ac:dyDescent="0.3">
      <c r="E55" s="293" t="s">
        <v>606</v>
      </c>
      <c r="F55" s="604" t="s">
        <v>1116</v>
      </c>
      <c r="G55" s="294">
        <v>1968</v>
      </c>
      <c r="H55" s="295" t="s">
        <v>58</v>
      </c>
      <c r="I55" s="294">
        <v>59470000</v>
      </c>
      <c r="P55" s="295" t="s">
        <v>576</v>
      </c>
      <c r="R55" s="500"/>
      <c r="S55" s="639" t="s">
        <v>1279</v>
      </c>
      <c r="T55" s="640"/>
      <c r="U55" s="640"/>
      <c r="V55" s="640"/>
      <c r="W55" s="640"/>
      <c r="X55" s="640"/>
      <c r="Y55" s="553"/>
      <c r="Z55" s="527" t="str">
        <f>IFERROR(INDEX(잔가map!$C$14:$AR$18,MATCH(차량DB!$Z$5,잔가map!$B$14:$B$18,0),MATCH(차량DB!Y55,잔가map!$C$13:$AR$13,0)),"")</f>
        <v/>
      </c>
      <c r="AA55" s="527" t="str">
        <f>IFERROR(INDEX(잔가map!$C$14:$AR$18,MATCH(차량DB!$AA$5,잔가map!$B$14:$B$18,0),MATCH(차량DB!Y55,잔가map!$C$13:$AR$13,0)),"")</f>
        <v/>
      </c>
      <c r="AB55" s="527" t="str">
        <f>IFERROR(INDEX(잔가map!$C$14:$AR$18,MATCH(차량DB!$AB$5,잔가map!$B$14:$B$18,0),MATCH(차량DB!Y55,잔가map!$C$13:$AR$13,0)),"")</f>
        <v/>
      </c>
      <c r="AC55" s="527" t="str">
        <f>IFERROR(INDEX(잔가map!$C$14:$AR$18,MATCH(차량DB!$AC$5,잔가map!$B$14:$B$18,0),MATCH(차량DB!Y55,잔가map!$C$13:$AR$13,0)),"")</f>
        <v/>
      </c>
      <c r="AD55" s="527" t="str">
        <f>IFERROR(INDEX(잔가map!$C$14:$AR$18,MATCH(차량DB!$AD$5,잔가map!$B$14:$B$18,0),MATCH(차량DB!Y55,잔가map!$C$13:$AR$13,0)),"")</f>
        <v/>
      </c>
      <c r="AE55" s="643"/>
      <c r="AF55" s="644"/>
      <c r="AG55" s="644"/>
      <c r="AH55" s="644"/>
      <c r="AI55" s="644"/>
      <c r="AJ55" s="644"/>
    </row>
    <row r="56" spans="5:38" x14ac:dyDescent="0.3">
      <c r="E56" s="293" t="s">
        <v>606</v>
      </c>
      <c r="F56" s="604" t="s">
        <v>1113</v>
      </c>
      <c r="G56" s="294">
        <v>1984</v>
      </c>
      <c r="H56" s="295" t="s">
        <v>58</v>
      </c>
      <c r="I56" s="294">
        <v>54300000</v>
      </c>
      <c r="P56" s="295" t="s">
        <v>576</v>
      </c>
      <c r="R56" s="500"/>
      <c r="S56" s="639" t="s">
        <v>1302</v>
      </c>
      <c r="T56" s="640"/>
      <c r="U56" s="640"/>
      <c r="V56" s="640"/>
      <c r="W56" s="640"/>
      <c r="X56" s="640"/>
      <c r="Y56" s="553"/>
      <c r="Z56" s="527" t="str">
        <f>IFERROR(INDEX(잔가map!$C$14:$AR$18,MATCH(차량DB!$Z$5,잔가map!$B$14:$B$18,0),MATCH(차량DB!Y56,잔가map!$C$13:$AR$13,0)),"")</f>
        <v/>
      </c>
      <c r="AA56" s="527" t="str">
        <f>IFERROR(INDEX(잔가map!$C$14:$AR$18,MATCH(차량DB!$AA$5,잔가map!$B$14:$B$18,0),MATCH(차량DB!Y56,잔가map!$C$13:$AR$13,0)),"")</f>
        <v/>
      </c>
      <c r="AB56" s="527" t="str">
        <f>IFERROR(INDEX(잔가map!$C$14:$AR$18,MATCH(차량DB!$AB$5,잔가map!$B$14:$B$18,0),MATCH(차량DB!Y56,잔가map!$C$13:$AR$13,0)),"")</f>
        <v/>
      </c>
      <c r="AC56" s="527" t="str">
        <f>IFERROR(INDEX(잔가map!$C$14:$AR$18,MATCH(차량DB!$AC$5,잔가map!$B$14:$B$18,0),MATCH(차량DB!Y56,잔가map!$C$13:$AR$13,0)),"")</f>
        <v/>
      </c>
      <c r="AD56" s="527" t="str">
        <f>IFERROR(INDEX(잔가map!$C$14:$AR$18,MATCH(차량DB!$AD$5,잔가map!$B$14:$B$18,0),MATCH(차량DB!Y56,잔가map!$C$13:$AR$13,0)),"")</f>
        <v/>
      </c>
      <c r="AE56" s="643"/>
      <c r="AF56" s="644"/>
      <c r="AG56" s="644"/>
      <c r="AH56" s="644"/>
      <c r="AI56" s="644"/>
      <c r="AJ56" s="644"/>
    </row>
    <row r="57" spans="5:38" x14ac:dyDescent="0.3">
      <c r="E57" s="293" t="s">
        <v>606</v>
      </c>
      <c r="F57" s="604" t="s">
        <v>1114</v>
      </c>
      <c r="G57" s="294">
        <v>1984</v>
      </c>
      <c r="H57" s="295" t="s">
        <v>58</v>
      </c>
      <c r="I57" s="294">
        <v>59900000</v>
      </c>
      <c r="P57" s="295" t="s">
        <v>576</v>
      </c>
      <c r="R57" s="500"/>
      <c r="S57" s="639" t="s">
        <v>1303</v>
      </c>
      <c r="T57" s="640"/>
      <c r="U57" s="640"/>
      <c r="V57" s="640"/>
      <c r="W57" s="640"/>
      <c r="X57" s="640"/>
      <c r="Y57" s="553"/>
      <c r="Z57" s="527" t="str">
        <f>IFERROR(INDEX(잔가map!$C$14:$AR$18,MATCH(차량DB!$Z$5,잔가map!$B$14:$B$18,0),MATCH(차량DB!Y57,잔가map!$C$13:$AR$13,0)),"")</f>
        <v/>
      </c>
      <c r="AA57" s="527" t="str">
        <f>IFERROR(INDEX(잔가map!$C$14:$AR$18,MATCH(차량DB!$AA$5,잔가map!$B$14:$B$18,0),MATCH(차량DB!Y57,잔가map!$C$13:$AR$13,0)),"")</f>
        <v/>
      </c>
      <c r="AB57" s="527" t="str">
        <f>IFERROR(INDEX(잔가map!$C$14:$AR$18,MATCH(차량DB!$AB$5,잔가map!$B$14:$B$18,0),MATCH(차량DB!Y57,잔가map!$C$13:$AR$13,0)),"")</f>
        <v/>
      </c>
      <c r="AC57" s="527" t="str">
        <f>IFERROR(INDEX(잔가map!$C$14:$AR$18,MATCH(차량DB!$AC$5,잔가map!$B$14:$B$18,0),MATCH(차량DB!Y57,잔가map!$C$13:$AR$13,0)),"")</f>
        <v/>
      </c>
      <c r="AD57" s="527" t="str">
        <f>IFERROR(INDEX(잔가map!$C$14:$AR$18,MATCH(차량DB!$AD$5,잔가map!$B$14:$B$18,0),MATCH(차량DB!Y57,잔가map!$C$13:$AR$13,0)),"")</f>
        <v/>
      </c>
      <c r="AE57" s="643"/>
      <c r="AF57" s="644"/>
      <c r="AG57" s="644"/>
      <c r="AH57" s="644"/>
      <c r="AI57" s="644"/>
      <c r="AJ57" s="644"/>
    </row>
    <row r="58" spans="5:38" x14ac:dyDescent="0.3">
      <c r="E58" s="554" t="s">
        <v>558</v>
      </c>
      <c r="F58" s="606" t="s">
        <v>1104</v>
      </c>
      <c r="G58" s="294">
        <v>1984</v>
      </c>
      <c r="H58" s="295" t="s">
        <v>58</v>
      </c>
      <c r="I58" s="294">
        <v>71700000</v>
      </c>
      <c r="P58" s="295" t="s">
        <v>576</v>
      </c>
      <c r="R58" s="500">
        <v>0</v>
      </c>
      <c r="S58" s="639" t="s">
        <v>1302</v>
      </c>
      <c r="T58" s="640"/>
      <c r="U58" s="640"/>
      <c r="V58" s="640"/>
      <c r="W58" s="640"/>
      <c r="X58" s="640"/>
      <c r="Y58" s="553"/>
      <c r="Z58" s="527" t="str">
        <f>IFERROR(INDEX(잔가map!$C$14:$AR$18,MATCH(차량DB!$Z$5,잔가map!$B$14:$B$18,0),MATCH(차량DB!Y58,잔가map!$C$13:$AR$13,0)),"")</f>
        <v/>
      </c>
      <c r="AA58" s="527" t="str">
        <f>IFERROR(INDEX(잔가map!$C$14:$AR$18,MATCH(차량DB!$AA$5,잔가map!$B$14:$B$18,0),MATCH(차량DB!Y58,잔가map!$C$13:$AR$13,0)),"")</f>
        <v/>
      </c>
      <c r="AB58" s="527" t="str">
        <f>IFERROR(INDEX(잔가map!$C$14:$AR$18,MATCH(차량DB!$AB$5,잔가map!$B$14:$B$18,0),MATCH(차량DB!Y58,잔가map!$C$13:$AR$13,0)),"")</f>
        <v/>
      </c>
      <c r="AC58" s="527" t="str">
        <f>IFERROR(INDEX(잔가map!$C$14:$AR$18,MATCH(차량DB!$AC$5,잔가map!$B$14:$B$18,0),MATCH(차량DB!Y58,잔가map!$C$13:$AR$13,0)),"")</f>
        <v/>
      </c>
      <c r="AD58" s="527" t="str">
        <f>IFERROR(INDEX(잔가map!$C$14:$AR$18,MATCH(차량DB!$AD$5,잔가map!$B$14:$B$18,0),MATCH(차량DB!Y58,잔가map!$C$13:$AR$13,0)),"")</f>
        <v/>
      </c>
      <c r="AE58" s="643"/>
      <c r="AF58" s="644"/>
      <c r="AG58" s="644"/>
      <c r="AH58" s="644"/>
      <c r="AI58" s="644"/>
      <c r="AJ58" s="644"/>
      <c r="AK58" s="547"/>
      <c r="AL58" s="576"/>
    </row>
    <row r="59" spans="5:38" x14ac:dyDescent="0.3">
      <c r="E59" s="554" t="s">
        <v>558</v>
      </c>
      <c r="F59" s="606" t="s">
        <v>680</v>
      </c>
      <c r="G59" s="294">
        <v>1984</v>
      </c>
      <c r="H59" s="295" t="s">
        <v>58</v>
      </c>
      <c r="I59" s="294">
        <v>77700000</v>
      </c>
      <c r="P59" s="295" t="s">
        <v>576</v>
      </c>
      <c r="R59" s="500">
        <v>0</v>
      </c>
      <c r="S59" s="639" t="s">
        <v>1304</v>
      </c>
      <c r="T59" s="640"/>
      <c r="U59" s="640"/>
      <c r="V59" s="640"/>
      <c r="W59" s="640"/>
      <c r="X59" s="640"/>
      <c r="Y59" s="553"/>
      <c r="Z59" s="527" t="str">
        <f>IFERROR(INDEX(잔가map!$C$14:$AR$18,MATCH(차량DB!$Z$5,잔가map!$B$14:$B$18,0),MATCH(차량DB!Y59,잔가map!$C$13:$AR$13,0)),"")</f>
        <v/>
      </c>
      <c r="AA59" s="527" t="str">
        <f>IFERROR(INDEX(잔가map!$C$14:$AR$18,MATCH(차량DB!$AA$5,잔가map!$B$14:$B$18,0),MATCH(차량DB!Y59,잔가map!$C$13:$AR$13,0)),"")</f>
        <v/>
      </c>
      <c r="AB59" s="527" t="str">
        <f>IFERROR(INDEX(잔가map!$C$14:$AR$18,MATCH(차량DB!$AB$5,잔가map!$B$14:$B$18,0),MATCH(차량DB!Y59,잔가map!$C$13:$AR$13,0)),"")</f>
        <v/>
      </c>
      <c r="AC59" s="527" t="str">
        <f>IFERROR(INDEX(잔가map!$C$14:$AR$18,MATCH(차량DB!$AC$5,잔가map!$B$14:$B$18,0),MATCH(차량DB!Y59,잔가map!$C$13:$AR$13,0)),"")</f>
        <v/>
      </c>
      <c r="AD59" s="527" t="str">
        <f>IFERROR(INDEX(잔가map!$C$14:$AR$18,MATCH(차량DB!$AD$5,잔가map!$B$14:$B$18,0),MATCH(차량DB!Y59,잔가map!$C$13:$AR$13,0)),"")</f>
        <v/>
      </c>
      <c r="AE59" s="643"/>
      <c r="AF59" s="644"/>
      <c r="AG59" s="644"/>
      <c r="AH59" s="644"/>
      <c r="AI59" s="644"/>
      <c r="AJ59" s="644"/>
      <c r="AK59" s="547"/>
      <c r="AL59" s="576"/>
    </row>
    <row r="60" spans="5:38" x14ac:dyDescent="0.3">
      <c r="E60" s="554" t="s">
        <v>558</v>
      </c>
      <c r="F60" s="606" t="s">
        <v>679</v>
      </c>
      <c r="G60" s="294">
        <v>1968</v>
      </c>
      <c r="H60" s="295" t="s">
        <v>58</v>
      </c>
      <c r="I60" s="294">
        <v>70700000</v>
      </c>
      <c r="P60" s="295" t="s">
        <v>576</v>
      </c>
      <c r="R60" s="500">
        <v>0</v>
      </c>
      <c r="S60" s="639" t="s">
        <v>1279</v>
      </c>
      <c r="T60" s="640"/>
      <c r="U60" s="640"/>
      <c r="V60" s="640"/>
      <c r="W60" s="640"/>
      <c r="X60" s="640"/>
      <c r="Y60" s="553"/>
      <c r="Z60" s="527" t="str">
        <f>IFERROR(INDEX(잔가map!$C$14:$AR$18,MATCH(차량DB!$Z$5,잔가map!$B$14:$B$18,0),MATCH(차량DB!Y60,잔가map!$C$13:$AR$13,0)),"")</f>
        <v/>
      </c>
      <c r="AA60" s="527" t="str">
        <f>IFERROR(INDEX(잔가map!$C$14:$AR$18,MATCH(차량DB!$AA$5,잔가map!$B$14:$B$18,0),MATCH(차량DB!Y60,잔가map!$C$13:$AR$13,0)),"")</f>
        <v/>
      </c>
      <c r="AB60" s="527" t="str">
        <f>IFERROR(INDEX(잔가map!$C$14:$AR$18,MATCH(차량DB!$AB$5,잔가map!$B$14:$B$18,0),MATCH(차량DB!Y60,잔가map!$C$13:$AR$13,0)),"")</f>
        <v/>
      </c>
      <c r="AC60" s="527" t="str">
        <f>IFERROR(INDEX(잔가map!$C$14:$AR$18,MATCH(차량DB!$AC$5,잔가map!$B$14:$B$18,0),MATCH(차량DB!Y60,잔가map!$C$13:$AR$13,0)),"")</f>
        <v/>
      </c>
      <c r="AD60" s="527" t="str">
        <f>IFERROR(INDEX(잔가map!$C$14:$AR$18,MATCH(차량DB!$AD$5,잔가map!$B$14:$B$18,0),MATCH(차량DB!Y60,잔가map!$C$13:$AR$13,0)),"")</f>
        <v/>
      </c>
      <c r="AE60" s="643"/>
      <c r="AF60" s="644"/>
      <c r="AG60" s="644"/>
      <c r="AH60" s="644"/>
      <c r="AI60" s="644"/>
      <c r="AJ60" s="644"/>
      <c r="AK60" s="547"/>
      <c r="AL60" s="576"/>
    </row>
    <row r="61" spans="5:38" x14ac:dyDescent="0.3">
      <c r="E61" s="554" t="s">
        <v>558</v>
      </c>
      <c r="F61" s="606" t="s">
        <v>447</v>
      </c>
      <c r="G61" s="294">
        <v>1968</v>
      </c>
      <c r="H61" s="295" t="s">
        <v>58</v>
      </c>
      <c r="I61" s="294">
        <v>76700000</v>
      </c>
      <c r="P61" s="295" t="s">
        <v>576</v>
      </c>
      <c r="R61" s="500">
        <v>0</v>
      </c>
      <c r="S61" s="639" t="s">
        <v>1279</v>
      </c>
      <c r="T61" s="640"/>
      <c r="U61" s="640"/>
      <c r="V61" s="640"/>
      <c r="W61" s="640"/>
      <c r="X61" s="640"/>
      <c r="Y61" s="553"/>
      <c r="Z61" s="527" t="str">
        <f>IFERROR(INDEX(잔가map!$C$14:$AR$18,MATCH(차량DB!$Z$5,잔가map!$B$14:$B$18,0),MATCH(차량DB!Y61,잔가map!$C$13:$AR$13,0)),"")</f>
        <v/>
      </c>
      <c r="AA61" s="527" t="str">
        <f>IFERROR(INDEX(잔가map!$C$14:$AR$18,MATCH(차량DB!$AA$5,잔가map!$B$14:$B$18,0),MATCH(차량DB!Y61,잔가map!$C$13:$AR$13,0)),"")</f>
        <v/>
      </c>
      <c r="AB61" s="527" t="str">
        <f>IFERROR(INDEX(잔가map!$C$14:$AR$18,MATCH(차량DB!$AB$5,잔가map!$B$14:$B$18,0),MATCH(차량DB!Y61,잔가map!$C$13:$AR$13,0)),"")</f>
        <v/>
      </c>
      <c r="AC61" s="527" t="str">
        <f>IFERROR(INDEX(잔가map!$C$14:$AR$18,MATCH(차량DB!$AC$5,잔가map!$B$14:$B$18,0),MATCH(차량DB!Y61,잔가map!$C$13:$AR$13,0)),"")</f>
        <v/>
      </c>
      <c r="AD61" s="527" t="str">
        <f>IFERROR(INDEX(잔가map!$C$14:$AR$18,MATCH(차량DB!$AD$5,잔가map!$B$14:$B$18,0),MATCH(차량DB!Y61,잔가map!$C$13:$AR$13,0)),"")</f>
        <v/>
      </c>
      <c r="AE61" s="643"/>
      <c r="AF61" s="644"/>
      <c r="AG61" s="644"/>
      <c r="AH61" s="644"/>
      <c r="AI61" s="644"/>
      <c r="AJ61" s="644"/>
      <c r="AK61" s="547"/>
      <c r="AL61" s="576"/>
    </row>
    <row r="62" spans="5:38" x14ac:dyDescent="0.3">
      <c r="E62" s="554" t="s">
        <v>558</v>
      </c>
      <c r="F62" s="606" t="s">
        <v>757</v>
      </c>
      <c r="G62" s="294">
        <v>1968</v>
      </c>
      <c r="H62" s="295" t="s">
        <v>58</v>
      </c>
      <c r="I62" s="294">
        <v>73700000</v>
      </c>
      <c r="P62" s="295" t="s">
        <v>576</v>
      </c>
      <c r="R62" s="500">
        <v>0</v>
      </c>
      <c r="S62" s="639" t="s">
        <v>1279</v>
      </c>
      <c r="T62" s="640"/>
      <c r="U62" s="640"/>
      <c r="V62" s="640"/>
      <c r="W62" s="640"/>
      <c r="X62" s="640"/>
      <c r="Y62" s="553"/>
      <c r="Z62" s="527" t="str">
        <f>IFERROR(INDEX(잔가map!$C$14:$AR$18,MATCH(차량DB!$Z$5,잔가map!$B$14:$B$18,0),MATCH(차량DB!Y62,잔가map!$C$13:$AR$13,0)),"")</f>
        <v/>
      </c>
      <c r="AA62" s="527" t="str">
        <f>IFERROR(INDEX(잔가map!$C$14:$AR$18,MATCH(차량DB!$AA$5,잔가map!$B$14:$B$18,0),MATCH(차량DB!Y62,잔가map!$C$13:$AR$13,0)),"")</f>
        <v/>
      </c>
      <c r="AB62" s="527" t="str">
        <f>IFERROR(INDEX(잔가map!$C$14:$AR$18,MATCH(차량DB!$AB$5,잔가map!$B$14:$B$18,0),MATCH(차량DB!Y62,잔가map!$C$13:$AR$13,0)),"")</f>
        <v/>
      </c>
      <c r="AC62" s="527" t="str">
        <f>IFERROR(INDEX(잔가map!$C$14:$AR$18,MATCH(차량DB!$AC$5,잔가map!$B$14:$B$18,0),MATCH(차량DB!Y62,잔가map!$C$13:$AR$13,0)),"")</f>
        <v/>
      </c>
      <c r="AD62" s="527" t="str">
        <f>IFERROR(INDEX(잔가map!$C$14:$AR$18,MATCH(차량DB!$AD$5,잔가map!$B$14:$B$18,0),MATCH(차량DB!Y62,잔가map!$C$13:$AR$13,0)),"")</f>
        <v/>
      </c>
      <c r="AE62" s="643"/>
      <c r="AF62" s="644"/>
      <c r="AG62" s="644"/>
      <c r="AH62" s="644"/>
      <c r="AI62" s="644"/>
      <c r="AJ62" s="644"/>
      <c r="AK62" s="547"/>
      <c r="AL62" s="576"/>
    </row>
    <row r="63" spans="5:38" x14ac:dyDescent="0.3">
      <c r="E63" s="554" t="s">
        <v>558</v>
      </c>
      <c r="F63" s="606" t="s">
        <v>758</v>
      </c>
      <c r="G63" s="294">
        <v>1968</v>
      </c>
      <c r="H63" s="295" t="s">
        <v>58</v>
      </c>
      <c r="I63" s="294">
        <v>79700000</v>
      </c>
      <c r="P63" s="295" t="s">
        <v>576</v>
      </c>
      <c r="R63" s="500">
        <v>0</v>
      </c>
      <c r="S63" s="639" t="s">
        <v>1303</v>
      </c>
      <c r="T63" s="640"/>
      <c r="U63" s="640"/>
      <c r="V63" s="640"/>
      <c r="W63" s="640"/>
      <c r="X63" s="640"/>
      <c r="Y63" s="553"/>
      <c r="Z63" s="527" t="str">
        <f>IFERROR(INDEX(잔가map!$C$14:$AR$18,MATCH(차량DB!$Z$5,잔가map!$B$14:$B$18,0),MATCH(차량DB!Y63,잔가map!$C$13:$AR$13,0)),"")</f>
        <v/>
      </c>
      <c r="AA63" s="527" t="str">
        <f>IFERROR(INDEX(잔가map!$C$14:$AR$18,MATCH(차량DB!$AA$5,잔가map!$B$14:$B$18,0),MATCH(차량DB!Y63,잔가map!$C$13:$AR$13,0)),"")</f>
        <v/>
      </c>
      <c r="AB63" s="527" t="str">
        <f>IFERROR(INDEX(잔가map!$C$14:$AR$18,MATCH(차량DB!$AB$5,잔가map!$B$14:$B$18,0),MATCH(차량DB!Y63,잔가map!$C$13:$AR$13,0)),"")</f>
        <v/>
      </c>
      <c r="AC63" s="527" t="str">
        <f>IFERROR(INDEX(잔가map!$C$14:$AR$18,MATCH(차량DB!$AC$5,잔가map!$B$14:$B$18,0),MATCH(차량DB!Y63,잔가map!$C$13:$AR$13,0)),"")</f>
        <v/>
      </c>
      <c r="AD63" s="527" t="str">
        <f>IFERROR(INDEX(잔가map!$C$14:$AR$18,MATCH(차량DB!$AD$5,잔가map!$B$14:$B$18,0),MATCH(차량DB!Y63,잔가map!$C$13:$AR$13,0)),"")</f>
        <v/>
      </c>
      <c r="AE63" s="643"/>
      <c r="AF63" s="644"/>
      <c r="AG63" s="644"/>
      <c r="AH63" s="644"/>
      <c r="AI63" s="644"/>
      <c r="AJ63" s="644"/>
      <c r="AK63" s="547"/>
      <c r="AL63" s="576"/>
    </row>
    <row r="64" spans="5:38" x14ac:dyDescent="0.3">
      <c r="E64" s="554" t="s">
        <v>558</v>
      </c>
      <c r="F64" s="607" t="s">
        <v>759</v>
      </c>
      <c r="G64" s="294">
        <v>1984</v>
      </c>
      <c r="H64" s="295" t="s">
        <v>58</v>
      </c>
      <c r="I64" s="294">
        <v>74500000</v>
      </c>
      <c r="P64" s="295" t="s">
        <v>576</v>
      </c>
      <c r="R64" s="500">
        <v>0</v>
      </c>
      <c r="S64" s="639" t="s">
        <v>1302</v>
      </c>
      <c r="T64" s="640"/>
      <c r="U64" s="640"/>
      <c r="V64" s="640"/>
      <c r="W64" s="640"/>
      <c r="X64" s="640"/>
      <c r="Y64" s="553"/>
      <c r="Z64" s="527" t="str">
        <f>IFERROR(INDEX(잔가map!$C$14:$AR$18,MATCH(차량DB!$Z$5,잔가map!$B$14:$B$18,0),MATCH(차량DB!Y64,잔가map!$C$13:$AR$13,0)),"")</f>
        <v/>
      </c>
      <c r="AA64" s="527" t="str">
        <f>IFERROR(INDEX(잔가map!$C$14:$AR$18,MATCH(차량DB!$AA$5,잔가map!$B$14:$B$18,0),MATCH(차량DB!Y64,잔가map!$C$13:$AR$13,0)),"")</f>
        <v/>
      </c>
      <c r="AB64" s="527" t="str">
        <f>IFERROR(INDEX(잔가map!$C$14:$AR$18,MATCH(차량DB!$AB$5,잔가map!$B$14:$B$18,0),MATCH(차량DB!Y64,잔가map!$C$13:$AR$13,0)),"")</f>
        <v/>
      </c>
      <c r="AC64" s="527" t="str">
        <f>IFERROR(INDEX(잔가map!$C$14:$AR$18,MATCH(차량DB!$AC$5,잔가map!$B$14:$B$18,0),MATCH(차량DB!Y64,잔가map!$C$13:$AR$13,0)),"")</f>
        <v/>
      </c>
      <c r="AD64" s="527" t="str">
        <f>IFERROR(INDEX(잔가map!$C$14:$AR$18,MATCH(차량DB!$AD$5,잔가map!$B$14:$B$18,0),MATCH(차량DB!Y64,잔가map!$C$13:$AR$13,0)),"")</f>
        <v/>
      </c>
      <c r="AE64" s="643"/>
      <c r="AF64" s="644"/>
      <c r="AG64" s="644"/>
      <c r="AH64" s="644"/>
      <c r="AI64" s="644"/>
      <c r="AJ64" s="644"/>
      <c r="AK64" s="547"/>
      <c r="AL64" s="576"/>
    </row>
    <row r="65" spans="1:38" x14ac:dyDescent="0.3">
      <c r="E65" s="554" t="s">
        <v>558</v>
      </c>
      <c r="F65" s="607" t="s">
        <v>760</v>
      </c>
      <c r="G65" s="294">
        <v>1984</v>
      </c>
      <c r="H65" s="295" t="s">
        <v>58</v>
      </c>
      <c r="I65" s="294">
        <v>80000000</v>
      </c>
      <c r="P65" s="295" t="s">
        <v>576</v>
      </c>
      <c r="R65" s="500">
        <v>0</v>
      </c>
      <c r="S65" s="639" t="s">
        <v>1279</v>
      </c>
      <c r="T65" s="640"/>
      <c r="U65" s="640"/>
      <c r="V65" s="640"/>
      <c r="W65" s="640"/>
      <c r="X65" s="640"/>
      <c r="Y65" s="553"/>
      <c r="Z65" s="527" t="str">
        <f>IFERROR(INDEX(잔가map!$C$14:$AR$18,MATCH(차량DB!$Z$5,잔가map!$B$14:$B$18,0),MATCH(차량DB!Y65,잔가map!$C$13:$AR$13,0)),"")</f>
        <v/>
      </c>
      <c r="AA65" s="527" t="str">
        <f>IFERROR(INDEX(잔가map!$C$14:$AR$18,MATCH(차량DB!$AA$5,잔가map!$B$14:$B$18,0),MATCH(차량DB!Y65,잔가map!$C$13:$AR$13,0)),"")</f>
        <v/>
      </c>
      <c r="AB65" s="527" t="str">
        <f>IFERROR(INDEX(잔가map!$C$14:$AR$18,MATCH(차량DB!$AB$5,잔가map!$B$14:$B$18,0),MATCH(차량DB!Y65,잔가map!$C$13:$AR$13,0)),"")</f>
        <v/>
      </c>
      <c r="AC65" s="527" t="str">
        <f>IFERROR(INDEX(잔가map!$C$14:$AR$18,MATCH(차량DB!$AC$5,잔가map!$B$14:$B$18,0),MATCH(차량DB!Y65,잔가map!$C$13:$AR$13,0)),"")</f>
        <v/>
      </c>
      <c r="AD65" s="527" t="str">
        <f>IFERROR(INDEX(잔가map!$C$14:$AR$18,MATCH(차량DB!$AD$5,잔가map!$B$14:$B$18,0),MATCH(차량DB!Y65,잔가map!$C$13:$AR$13,0)),"")</f>
        <v/>
      </c>
      <c r="AE65" s="643"/>
      <c r="AF65" s="644"/>
      <c r="AG65" s="644"/>
      <c r="AH65" s="644"/>
      <c r="AI65" s="644"/>
      <c r="AJ65" s="644"/>
      <c r="AK65" s="547"/>
      <c r="AL65" s="576"/>
    </row>
    <row r="66" spans="1:38" x14ac:dyDescent="0.3">
      <c r="E66" s="554" t="s">
        <v>558</v>
      </c>
      <c r="F66" s="607" t="s">
        <v>768</v>
      </c>
      <c r="G66" s="294">
        <v>2995</v>
      </c>
      <c r="H66" s="295" t="s">
        <v>58</v>
      </c>
      <c r="I66" s="294">
        <v>99900000</v>
      </c>
      <c r="P66" s="295" t="s">
        <v>576</v>
      </c>
      <c r="R66" s="500">
        <v>0</v>
      </c>
      <c r="S66" s="639"/>
      <c r="T66" s="640"/>
      <c r="U66" s="640"/>
      <c r="V66" s="640"/>
      <c r="W66" s="640"/>
      <c r="X66" s="640"/>
      <c r="Y66" s="553"/>
      <c r="Z66" s="527" t="str">
        <f>IFERROR(INDEX(잔가map!$C$14:$AR$18,MATCH(차량DB!$Z$5,잔가map!$B$14:$B$18,0),MATCH(차량DB!Y66,잔가map!$C$13:$AR$13,0)),"")</f>
        <v/>
      </c>
      <c r="AA66" s="527" t="str">
        <f>IFERROR(INDEX(잔가map!$C$14:$AR$18,MATCH(차량DB!$AA$5,잔가map!$B$14:$B$18,0),MATCH(차량DB!Y66,잔가map!$C$13:$AR$13,0)),"")</f>
        <v/>
      </c>
      <c r="AB66" s="527" t="str">
        <f>IFERROR(INDEX(잔가map!$C$14:$AR$18,MATCH(차량DB!$AB$5,잔가map!$B$14:$B$18,0),MATCH(차량DB!Y66,잔가map!$C$13:$AR$13,0)),"")</f>
        <v/>
      </c>
      <c r="AC66" s="527" t="str">
        <f>IFERROR(INDEX(잔가map!$C$14:$AR$18,MATCH(차량DB!$AC$5,잔가map!$B$14:$B$18,0),MATCH(차량DB!Y66,잔가map!$C$13:$AR$13,0)),"")</f>
        <v/>
      </c>
      <c r="AD66" s="527" t="str">
        <f>IFERROR(INDEX(잔가map!$C$14:$AR$18,MATCH(차량DB!$AD$5,잔가map!$B$14:$B$18,0),MATCH(차량DB!Y66,잔가map!$C$13:$AR$13,0)),"")</f>
        <v/>
      </c>
      <c r="AE66" s="643"/>
      <c r="AF66" s="644"/>
      <c r="AG66" s="644"/>
      <c r="AH66" s="644"/>
      <c r="AI66" s="644"/>
      <c r="AJ66" s="644"/>
      <c r="AK66" s="547"/>
      <c r="AL66" s="576"/>
    </row>
    <row r="67" spans="1:38" x14ac:dyDescent="0.3">
      <c r="E67" s="554" t="s">
        <v>558</v>
      </c>
      <c r="F67" s="606" t="s">
        <v>647</v>
      </c>
      <c r="G67" s="294">
        <v>2995</v>
      </c>
      <c r="H67" s="295" t="s">
        <v>58</v>
      </c>
      <c r="I67" s="294">
        <v>96900000</v>
      </c>
      <c r="P67" s="295" t="s">
        <v>576</v>
      </c>
      <c r="R67" s="500">
        <v>0</v>
      </c>
      <c r="S67" s="639"/>
      <c r="T67" s="640"/>
      <c r="U67" s="640"/>
      <c r="V67" s="640"/>
      <c r="W67" s="640"/>
      <c r="X67" s="640"/>
      <c r="Y67" s="553"/>
      <c r="Z67" s="527" t="str">
        <f>IFERROR(INDEX(잔가map!$C$14:$AR$18,MATCH(차량DB!$Z$5,잔가map!$B$14:$B$18,0),MATCH(차량DB!Y67,잔가map!$C$13:$AR$13,0)),"")</f>
        <v/>
      </c>
      <c r="AA67" s="527" t="str">
        <f>IFERROR(INDEX(잔가map!$C$14:$AR$18,MATCH(차량DB!$AA$5,잔가map!$B$14:$B$18,0),MATCH(차량DB!Y67,잔가map!$C$13:$AR$13,0)),"")</f>
        <v/>
      </c>
      <c r="AB67" s="527" t="str">
        <f>IFERROR(INDEX(잔가map!$C$14:$AR$18,MATCH(차량DB!$AB$5,잔가map!$B$14:$B$18,0),MATCH(차량DB!Y67,잔가map!$C$13:$AR$13,0)),"")</f>
        <v/>
      </c>
      <c r="AC67" s="527" t="str">
        <f>IFERROR(INDEX(잔가map!$C$14:$AR$18,MATCH(차량DB!$AC$5,잔가map!$B$14:$B$18,0),MATCH(차량DB!Y67,잔가map!$C$13:$AR$13,0)),"")</f>
        <v/>
      </c>
      <c r="AD67" s="527" t="str">
        <f>IFERROR(INDEX(잔가map!$C$14:$AR$18,MATCH(차량DB!$AD$5,잔가map!$B$14:$B$18,0),MATCH(차량DB!Y67,잔가map!$C$13:$AR$13,0)),"")</f>
        <v/>
      </c>
      <c r="AE67" s="643"/>
      <c r="AF67" s="644"/>
      <c r="AG67" s="644"/>
      <c r="AH67" s="644"/>
      <c r="AI67" s="644"/>
      <c r="AJ67" s="644"/>
      <c r="AK67" s="547"/>
      <c r="AL67" s="576"/>
    </row>
    <row r="68" spans="1:38" x14ac:dyDescent="0.3">
      <c r="E68" s="293" t="s">
        <v>558</v>
      </c>
      <c r="F68" s="604" t="s">
        <v>448</v>
      </c>
      <c r="G68" s="294">
        <v>2967</v>
      </c>
      <c r="H68" s="295" t="s">
        <v>58</v>
      </c>
      <c r="I68" s="294">
        <v>101880000</v>
      </c>
      <c r="P68" s="295" t="s">
        <v>576</v>
      </c>
      <c r="R68" s="500">
        <v>0</v>
      </c>
      <c r="S68" s="639" t="s">
        <v>1275</v>
      </c>
      <c r="T68" s="640"/>
      <c r="U68" s="640"/>
      <c r="V68" s="640"/>
      <c r="W68" s="640"/>
      <c r="X68" s="640"/>
      <c r="Y68" s="553"/>
      <c r="Z68" s="527" t="str">
        <f>IFERROR(INDEX(잔가map!$C$14:$AR$18,MATCH(차량DB!$Z$5,잔가map!$B$14:$B$18,0),MATCH(차량DB!Y68,잔가map!$C$13:$AR$13,0)),"")</f>
        <v/>
      </c>
      <c r="AA68" s="527" t="str">
        <f>IFERROR(INDEX(잔가map!$C$14:$AR$18,MATCH(차량DB!$AA$5,잔가map!$B$14:$B$18,0),MATCH(차량DB!Y68,잔가map!$C$13:$AR$13,0)),"")</f>
        <v/>
      </c>
      <c r="AB68" s="527" t="str">
        <f>IFERROR(INDEX(잔가map!$C$14:$AR$18,MATCH(차량DB!$AB$5,잔가map!$B$14:$B$18,0),MATCH(차량DB!Y68,잔가map!$C$13:$AR$13,0)),"")</f>
        <v/>
      </c>
      <c r="AC68" s="527" t="str">
        <f>IFERROR(INDEX(잔가map!$C$14:$AR$18,MATCH(차량DB!$AC$5,잔가map!$B$14:$B$18,0),MATCH(차량DB!Y68,잔가map!$C$13:$AR$13,0)),"")</f>
        <v/>
      </c>
      <c r="AD68" s="527" t="str">
        <f>IFERROR(INDEX(잔가map!$C$14:$AR$18,MATCH(차량DB!$AD$5,잔가map!$B$14:$B$18,0),MATCH(차량DB!Y68,잔가map!$C$13:$AR$13,0)),"")</f>
        <v/>
      </c>
      <c r="AE68" s="643"/>
      <c r="AF68" s="644"/>
      <c r="AG68" s="644"/>
      <c r="AH68" s="644"/>
      <c r="AI68" s="644"/>
      <c r="AJ68" s="644"/>
      <c r="AK68" s="547"/>
      <c r="AL68" s="576"/>
    </row>
    <row r="69" spans="1:38" x14ac:dyDescent="0.3">
      <c r="E69" s="293" t="s">
        <v>558</v>
      </c>
      <c r="F69" s="604" t="s">
        <v>449</v>
      </c>
      <c r="G69" s="294">
        <v>2967</v>
      </c>
      <c r="H69" s="295" t="s">
        <v>58</v>
      </c>
      <c r="I69" s="294">
        <v>107980000</v>
      </c>
      <c r="P69" s="295" t="s">
        <v>576</v>
      </c>
      <c r="R69" s="500">
        <v>0</v>
      </c>
      <c r="S69" s="639" t="s">
        <v>1275</v>
      </c>
      <c r="T69" s="640"/>
      <c r="U69" s="640"/>
      <c r="V69" s="640"/>
      <c r="W69" s="640"/>
      <c r="X69" s="640"/>
      <c r="Y69" s="553"/>
      <c r="Z69" s="527" t="str">
        <f>IFERROR(INDEX(잔가map!$C$14:$AR$18,MATCH(차량DB!$Z$5,잔가map!$B$14:$B$18,0),MATCH(차량DB!Y69,잔가map!$C$13:$AR$13,0)),"")</f>
        <v/>
      </c>
      <c r="AA69" s="527" t="str">
        <f>IFERROR(INDEX(잔가map!$C$14:$AR$18,MATCH(차량DB!$AA$5,잔가map!$B$14:$B$18,0),MATCH(차량DB!Y69,잔가map!$C$13:$AR$13,0)),"")</f>
        <v/>
      </c>
      <c r="AB69" s="527" t="str">
        <f>IFERROR(INDEX(잔가map!$C$14:$AR$18,MATCH(차량DB!$AB$5,잔가map!$B$14:$B$18,0),MATCH(차량DB!Y69,잔가map!$C$13:$AR$13,0)),"")</f>
        <v/>
      </c>
      <c r="AC69" s="527" t="str">
        <f>IFERROR(INDEX(잔가map!$C$14:$AR$18,MATCH(차량DB!$AC$5,잔가map!$B$14:$B$18,0),MATCH(차량DB!Y69,잔가map!$C$13:$AR$13,0)),"")</f>
        <v/>
      </c>
      <c r="AD69" s="527" t="str">
        <f>IFERROR(INDEX(잔가map!$C$14:$AR$18,MATCH(차량DB!$AD$5,잔가map!$B$14:$B$18,0),MATCH(차량DB!Y69,잔가map!$C$13:$AR$13,0)),"")</f>
        <v/>
      </c>
      <c r="AE69" s="643"/>
      <c r="AF69" s="644"/>
      <c r="AG69" s="644"/>
      <c r="AH69" s="644"/>
      <c r="AI69" s="644"/>
      <c r="AJ69" s="644"/>
      <c r="AK69" s="547"/>
      <c r="AL69" s="576"/>
    </row>
    <row r="70" spans="1:38" x14ac:dyDescent="0.3">
      <c r="E70" s="293" t="s">
        <v>558</v>
      </c>
      <c r="F70" s="604" t="s">
        <v>450</v>
      </c>
      <c r="G70" s="294">
        <v>2967</v>
      </c>
      <c r="H70" s="295" t="s">
        <v>58</v>
      </c>
      <c r="I70" s="294">
        <v>119980000</v>
      </c>
      <c r="P70" s="295" t="s">
        <v>576</v>
      </c>
      <c r="R70" s="500">
        <v>0</v>
      </c>
      <c r="S70" s="639" t="s">
        <v>1276</v>
      </c>
      <c r="T70" s="640"/>
      <c r="U70" s="640"/>
      <c r="V70" s="640"/>
      <c r="W70" s="640"/>
      <c r="X70" s="640"/>
      <c r="Y70" s="553"/>
      <c r="Z70" s="527" t="str">
        <f>IFERROR(INDEX(잔가map!$C$14:$AR$18,MATCH(차량DB!$Z$5,잔가map!$B$14:$B$18,0),MATCH(차량DB!Y70,잔가map!$C$13:$AR$13,0)),"")</f>
        <v/>
      </c>
      <c r="AA70" s="527" t="str">
        <f>IFERROR(INDEX(잔가map!$C$14:$AR$18,MATCH(차량DB!$AA$5,잔가map!$B$14:$B$18,0),MATCH(차량DB!Y70,잔가map!$C$13:$AR$13,0)),"")</f>
        <v/>
      </c>
      <c r="AB70" s="527" t="str">
        <f>IFERROR(INDEX(잔가map!$C$14:$AR$18,MATCH(차량DB!$AB$5,잔가map!$B$14:$B$18,0),MATCH(차량DB!Y70,잔가map!$C$13:$AR$13,0)),"")</f>
        <v/>
      </c>
      <c r="AC70" s="527" t="str">
        <f>IFERROR(INDEX(잔가map!$C$14:$AR$18,MATCH(차량DB!$AC$5,잔가map!$B$14:$B$18,0),MATCH(차량DB!Y70,잔가map!$C$13:$AR$13,0)),"")</f>
        <v/>
      </c>
      <c r="AD70" s="527" t="str">
        <f>IFERROR(INDEX(잔가map!$C$14:$AR$18,MATCH(차량DB!$AD$5,잔가map!$B$14:$B$18,0),MATCH(차량DB!Y70,잔가map!$C$13:$AR$13,0)),"")</f>
        <v/>
      </c>
      <c r="AE70" s="643"/>
      <c r="AF70" s="644"/>
      <c r="AG70" s="644"/>
      <c r="AH70" s="644"/>
      <c r="AI70" s="644"/>
      <c r="AJ70" s="644"/>
      <c r="AK70" s="547"/>
      <c r="AL70" s="576"/>
    </row>
    <row r="71" spans="1:38" s="494" customFormat="1" x14ac:dyDescent="0.3">
      <c r="A71" s="295"/>
      <c r="B71" s="295"/>
      <c r="C71" s="295"/>
      <c r="D71" s="295"/>
      <c r="E71" s="293" t="s">
        <v>606</v>
      </c>
      <c r="F71" s="604" t="s">
        <v>761</v>
      </c>
      <c r="G71" s="294">
        <v>2995</v>
      </c>
      <c r="H71" s="295" t="s">
        <v>58</v>
      </c>
      <c r="I71" s="294">
        <v>121980000</v>
      </c>
      <c r="J71" s="487"/>
      <c r="K71" s="487"/>
      <c r="L71" s="487"/>
      <c r="M71" s="487"/>
      <c r="N71" s="487"/>
      <c r="O71" s="294"/>
      <c r="P71" s="295" t="s">
        <v>576</v>
      </c>
      <c r="Q71" s="295"/>
      <c r="R71" s="500">
        <v>0</v>
      </c>
      <c r="S71" s="639" t="s">
        <v>1274</v>
      </c>
      <c r="T71" s="640"/>
      <c r="U71" s="640"/>
      <c r="V71" s="640"/>
      <c r="W71" s="640"/>
      <c r="X71" s="640"/>
      <c r="Y71" s="553"/>
      <c r="Z71" s="527" t="str">
        <f>IFERROR(INDEX(잔가map!$C$14:$AR$18,MATCH(차량DB!$Z$5,잔가map!$B$14:$B$18,0),MATCH(차량DB!Y71,잔가map!$C$13:$AR$13,0)),"")</f>
        <v/>
      </c>
      <c r="AA71" s="527" t="str">
        <f>IFERROR(INDEX(잔가map!$C$14:$AR$18,MATCH(차량DB!$AA$5,잔가map!$B$14:$B$18,0),MATCH(차량DB!Y71,잔가map!$C$13:$AR$13,0)),"")</f>
        <v/>
      </c>
      <c r="AB71" s="527" t="str">
        <f>IFERROR(INDEX(잔가map!$C$14:$AR$18,MATCH(차량DB!$AB$5,잔가map!$B$14:$B$18,0),MATCH(차량DB!Y71,잔가map!$C$13:$AR$13,0)),"")</f>
        <v/>
      </c>
      <c r="AC71" s="527" t="str">
        <f>IFERROR(INDEX(잔가map!$C$14:$AR$18,MATCH(차량DB!$AC$5,잔가map!$B$14:$B$18,0),MATCH(차량DB!Y71,잔가map!$C$13:$AR$13,0)),"")</f>
        <v/>
      </c>
      <c r="AD71" s="527" t="str">
        <f>IFERROR(INDEX(잔가map!$C$14:$AR$18,MATCH(차량DB!$AD$5,잔가map!$B$14:$B$18,0),MATCH(차량DB!Y71,잔가map!$C$13:$AR$13,0)),"")</f>
        <v/>
      </c>
      <c r="AE71" s="643"/>
      <c r="AF71" s="644"/>
      <c r="AG71" s="644"/>
      <c r="AH71" s="644"/>
      <c r="AI71" s="644"/>
      <c r="AJ71" s="644"/>
      <c r="AK71" s="547"/>
      <c r="AL71" s="576"/>
    </row>
    <row r="72" spans="1:38" s="494" customFormat="1" x14ac:dyDescent="0.3">
      <c r="A72" s="295"/>
      <c r="B72" s="295"/>
      <c r="C72" s="295"/>
      <c r="D72" s="295"/>
      <c r="E72" s="293" t="s">
        <v>606</v>
      </c>
      <c r="F72" s="604" t="s">
        <v>1117</v>
      </c>
      <c r="G72" s="294">
        <v>3996</v>
      </c>
      <c r="H72" s="295" t="s">
        <v>305</v>
      </c>
      <c r="I72" s="294">
        <v>141900000</v>
      </c>
      <c r="J72" s="487"/>
      <c r="K72" s="487"/>
      <c r="L72" s="487"/>
      <c r="M72" s="487"/>
      <c r="N72" s="487"/>
      <c r="O72" s="294"/>
      <c r="P72" s="295" t="s">
        <v>1118</v>
      </c>
      <c r="Q72" s="295"/>
      <c r="R72" s="500"/>
      <c r="S72" s="639"/>
      <c r="T72" s="640"/>
      <c r="U72" s="640"/>
      <c r="V72" s="640"/>
      <c r="W72" s="640"/>
      <c r="X72" s="640"/>
      <c r="Y72" s="553"/>
      <c r="Z72" s="527" t="str">
        <f>IFERROR(INDEX(잔가map!$C$14:$AR$18,MATCH(차량DB!$Z$5,잔가map!$B$14:$B$18,0),MATCH(차량DB!Y72,잔가map!$C$13:$AR$13,0)),"")</f>
        <v/>
      </c>
      <c r="AA72" s="527" t="str">
        <f>IFERROR(INDEX(잔가map!$C$14:$AR$18,MATCH(차량DB!$AA$5,잔가map!$B$14:$B$18,0),MATCH(차량DB!Y72,잔가map!$C$13:$AR$13,0)),"")</f>
        <v/>
      </c>
      <c r="AB72" s="527" t="str">
        <f>IFERROR(INDEX(잔가map!$C$14:$AR$18,MATCH(차량DB!$AB$5,잔가map!$B$14:$B$18,0),MATCH(차량DB!Y72,잔가map!$C$13:$AR$13,0)),"")</f>
        <v/>
      </c>
      <c r="AC72" s="527" t="str">
        <f>IFERROR(INDEX(잔가map!$C$14:$AR$18,MATCH(차량DB!$AC$5,잔가map!$B$14:$B$18,0),MATCH(차량DB!Y72,잔가map!$C$13:$AR$13,0)),"")</f>
        <v/>
      </c>
      <c r="AD72" s="527" t="str">
        <f>IFERROR(INDEX(잔가map!$C$14:$AR$18,MATCH(차량DB!$AD$5,잔가map!$B$14:$B$18,0),MATCH(차량DB!Y72,잔가map!$C$13:$AR$13,0)),"")</f>
        <v/>
      </c>
      <c r="AE72" s="643"/>
      <c r="AF72" s="644"/>
      <c r="AG72" s="644"/>
      <c r="AH72" s="644"/>
      <c r="AI72" s="644"/>
      <c r="AJ72" s="644"/>
      <c r="AK72" s="547"/>
      <c r="AL72" s="576"/>
    </row>
    <row r="73" spans="1:38" s="494" customFormat="1" x14ac:dyDescent="0.3">
      <c r="A73" s="295"/>
      <c r="B73" s="295"/>
      <c r="C73" s="295"/>
      <c r="D73" s="295"/>
      <c r="E73" s="293" t="s">
        <v>606</v>
      </c>
      <c r="F73" s="604" t="s">
        <v>762</v>
      </c>
      <c r="G73" s="294">
        <v>2967</v>
      </c>
      <c r="H73" s="295" t="s">
        <v>58</v>
      </c>
      <c r="I73" s="294">
        <v>104430000</v>
      </c>
      <c r="J73" s="487"/>
      <c r="K73" s="487"/>
      <c r="L73" s="487"/>
      <c r="M73" s="487"/>
      <c r="N73" s="487"/>
      <c r="O73" s="294"/>
      <c r="P73" s="295" t="s">
        <v>576</v>
      </c>
      <c r="Q73" s="295"/>
      <c r="R73" s="500">
        <v>0</v>
      </c>
      <c r="S73" s="639" t="s">
        <v>1274</v>
      </c>
      <c r="T73" s="640"/>
      <c r="U73" s="640"/>
      <c r="V73" s="640"/>
      <c r="W73" s="640"/>
      <c r="X73" s="640"/>
      <c r="Y73" s="553"/>
      <c r="Z73" s="527" t="str">
        <f>IFERROR(INDEX(잔가map!$C$14:$AR$18,MATCH(차량DB!$Z$5,잔가map!$B$14:$B$18,0),MATCH(차량DB!Y73,잔가map!$C$13:$AR$13,0)),"")</f>
        <v/>
      </c>
      <c r="AA73" s="527" t="str">
        <f>IFERROR(INDEX(잔가map!$C$14:$AR$18,MATCH(차량DB!$AA$5,잔가map!$B$14:$B$18,0),MATCH(차량DB!Y73,잔가map!$C$13:$AR$13,0)),"")</f>
        <v/>
      </c>
      <c r="AB73" s="527" t="str">
        <f>IFERROR(INDEX(잔가map!$C$14:$AR$18,MATCH(차량DB!$AB$5,잔가map!$B$14:$B$18,0),MATCH(차량DB!Y73,잔가map!$C$13:$AR$13,0)),"")</f>
        <v/>
      </c>
      <c r="AC73" s="527" t="str">
        <f>IFERROR(INDEX(잔가map!$C$14:$AR$18,MATCH(차량DB!$AC$5,잔가map!$B$14:$B$18,0),MATCH(차량DB!Y73,잔가map!$C$13:$AR$13,0)),"")</f>
        <v/>
      </c>
      <c r="AD73" s="527" t="str">
        <f>IFERROR(INDEX(잔가map!$C$14:$AR$18,MATCH(차량DB!$AD$5,잔가map!$B$14:$B$18,0),MATCH(차량DB!Y73,잔가map!$C$13:$AR$13,0)),"")</f>
        <v/>
      </c>
      <c r="AE73" s="643"/>
      <c r="AF73" s="644"/>
      <c r="AG73" s="644"/>
      <c r="AH73" s="644"/>
      <c r="AI73" s="644"/>
      <c r="AJ73" s="644"/>
      <c r="AK73" s="547"/>
      <c r="AL73" s="576"/>
    </row>
    <row r="74" spans="1:38" x14ac:dyDescent="0.3">
      <c r="E74" s="293" t="s">
        <v>558</v>
      </c>
      <c r="F74" s="605" t="s">
        <v>451</v>
      </c>
      <c r="G74" s="294">
        <v>2967</v>
      </c>
      <c r="H74" s="295" t="s">
        <v>58</v>
      </c>
      <c r="I74" s="294">
        <v>111480000</v>
      </c>
      <c r="P74" s="295" t="s">
        <v>576</v>
      </c>
      <c r="R74" s="500">
        <v>0</v>
      </c>
      <c r="S74" s="639" t="s">
        <v>1277</v>
      </c>
      <c r="T74" s="640"/>
      <c r="U74" s="640"/>
      <c r="V74" s="640"/>
      <c r="W74" s="640"/>
      <c r="X74" s="640"/>
      <c r="Y74" s="553"/>
      <c r="Z74" s="527" t="str">
        <f>IFERROR(INDEX(잔가map!$C$14:$AR$18,MATCH(차량DB!$Z$5,잔가map!$B$14:$B$18,0),MATCH(차량DB!Y74,잔가map!$C$13:$AR$13,0)),"")</f>
        <v/>
      </c>
      <c r="AA74" s="527" t="str">
        <f>IFERROR(INDEX(잔가map!$C$14:$AR$18,MATCH(차량DB!$AA$5,잔가map!$B$14:$B$18,0),MATCH(차량DB!Y74,잔가map!$C$13:$AR$13,0)),"")</f>
        <v/>
      </c>
      <c r="AB74" s="527" t="str">
        <f>IFERROR(INDEX(잔가map!$C$14:$AR$18,MATCH(차량DB!$AB$5,잔가map!$B$14:$B$18,0),MATCH(차량DB!Y74,잔가map!$C$13:$AR$13,0)),"")</f>
        <v/>
      </c>
      <c r="AC74" s="527" t="str">
        <f>IFERROR(INDEX(잔가map!$C$14:$AR$18,MATCH(차량DB!$AC$5,잔가map!$B$14:$B$18,0),MATCH(차량DB!Y74,잔가map!$C$13:$AR$13,0)),"")</f>
        <v/>
      </c>
      <c r="AD74" s="527" t="str">
        <f>IFERROR(INDEX(잔가map!$C$14:$AR$18,MATCH(차량DB!$AD$5,잔가map!$B$14:$B$18,0),MATCH(차량DB!Y74,잔가map!$C$13:$AR$13,0)),"")</f>
        <v/>
      </c>
      <c r="AE74" s="643"/>
      <c r="AF74" s="644"/>
      <c r="AG74" s="644"/>
      <c r="AH74" s="644"/>
      <c r="AI74" s="644"/>
      <c r="AJ74" s="644"/>
      <c r="AK74" s="547"/>
      <c r="AL74" s="576"/>
    </row>
    <row r="75" spans="1:38" x14ac:dyDescent="0.3">
      <c r="E75" s="293" t="s">
        <v>558</v>
      </c>
      <c r="F75" s="604" t="s">
        <v>452</v>
      </c>
      <c r="G75" s="294">
        <v>2967</v>
      </c>
      <c r="H75" s="295" t="s">
        <v>58</v>
      </c>
      <c r="I75" s="294">
        <v>124480000</v>
      </c>
      <c r="P75" s="295" t="s">
        <v>576</v>
      </c>
      <c r="R75" s="500">
        <v>0</v>
      </c>
      <c r="S75" s="639" t="s">
        <v>1273</v>
      </c>
      <c r="T75" s="640"/>
      <c r="U75" s="640"/>
      <c r="V75" s="640"/>
      <c r="W75" s="640"/>
      <c r="X75" s="640"/>
      <c r="Y75" s="553"/>
      <c r="Z75" s="527" t="str">
        <f>IFERROR(INDEX(잔가map!$C$14:$AR$18,MATCH(차량DB!$Z$5,잔가map!$B$14:$B$18,0),MATCH(차량DB!Y75,잔가map!$C$13:$AR$13,0)),"")</f>
        <v/>
      </c>
      <c r="AA75" s="527" t="str">
        <f>IFERROR(INDEX(잔가map!$C$14:$AR$18,MATCH(차량DB!$AA$5,잔가map!$B$14:$B$18,0),MATCH(차량DB!Y75,잔가map!$C$13:$AR$13,0)),"")</f>
        <v/>
      </c>
      <c r="AB75" s="527" t="str">
        <f>IFERROR(INDEX(잔가map!$C$14:$AR$18,MATCH(차량DB!$AB$5,잔가map!$B$14:$B$18,0),MATCH(차량DB!Y75,잔가map!$C$13:$AR$13,0)),"")</f>
        <v/>
      </c>
      <c r="AC75" s="527" t="str">
        <f>IFERROR(INDEX(잔가map!$C$14:$AR$18,MATCH(차량DB!$AC$5,잔가map!$B$14:$B$18,0),MATCH(차량DB!Y75,잔가map!$C$13:$AR$13,0)),"")</f>
        <v/>
      </c>
      <c r="AD75" s="527" t="str">
        <f>IFERROR(INDEX(잔가map!$C$14:$AR$18,MATCH(차량DB!$AD$5,잔가map!$B$14:$B$18,0),MATCH(차량DB!Y75,잔가map!$C$13:$AR$13,0)),"")</f>
        <v/>
      </c>
      <c r="AE75" s="643"/>
      <c r="AF75" s="644"/>
      <c r="AG75" s="644"/>
      <c r="AH75" s="644"/>
      <c r="AI75" s="644"/>
      <c r="AJ75" s="644"/>
      <c r="AK75" s="547"/>
      <c r="AL75" s="576"/>
    </row>
    <row r="76" spans="1:38" s="494" customFormat="1" x14ac:dyDescent="0.3">
      <c r="A76" s="295"/>
      <c r="B76" s="295"/>
      <c r="C76" s="295"/>
      <c r="D76" s="295"/>
      <c r="E76" s="293" t="s">
        <v>606</v>
      </c>
      <c r="F76" s="604" t="s">
        <v>763</v>
      </c>
      <c r="G76" s="294">
        <v>2995</v>
      </c>
      <c r="H76" s="295" t="s">
        <v>58</v>
      </c>
      <c r="I76" s="294">
        <v>126480000</v>
      </c>
      <c r="J76" s="487"/>
      <c r="K76" s="487"/>
      <c r="L76" s="487"/>
      <c r="M76" s="487"/>
      <c r="N76" s="487"/>
      <c r="O76" s="294"/>
      <c r="P76" s="295" t="s">
        <v>576</v>
      </c>
      <c r="Q76" s="295"/>
      <c r="R76" s="500">
        <v>0</v>
      </c>
      <c r="S76" s="639" t="s">
        <v>1273</v>
      </c>
      <c r="T76" s="640"/>
      <c r="U76" s="640"/>
      <c r="V76" s="640"/>
      <c r="W76" s="640"/>
      <c r="X76" s="640"/>
      <c r="Y76" s="553"/>
      <c r="Z76" s="527" t="str">
        <f>IFERROR(INDEX(잔가map!$C$14:$AR$18,MATCH(차량DB!$Z$5,잔가map!$B$14:$B$18,0),MATCH(차량DB!Y76,잔가map!$C$13:$AR$13,0)),"")</f>
        <v/>
      </c>
      <c r="AA76" s="527" t="str">
        <f>IFERROR(INDEX(잔가map!$C$14:$AR$18,MATCH(차량DB!$AA$5,잔가map!$B$14:$B$18,0),MATCH(차량DB!Y76,잔가map!$C$13:$AR$13,0)),"")</f>
        <v/>
      </c>
      <c r="AB76" s="527" t="str">
        <f>IFERROR(INDEX(잔가map!$C$14:$AR$18,MATCH(차량DB!$AB$5,잔가map!$B$14:$B$18,0),MATCH(차량DB!Y76,잔가map!$C$13:$AR$13,0)),"")</f>
        <v/>
      </c>
      <c r="AC76" s="527" t="str">
        <f>IFERROR(INDEX(잔가map!$C$14:$AR$18,MATCH(차량DB!$AC$5,잔가map!$B$14:$B$18,0),MATCH(차량DB!Y76,잔가map!$C$13:$AR$13,0)),"")</f>
        <v/>
      </c>
      <c r="AD76" s="527" t="str">
        <f>IFERROR(INDEX(잔가map!$C$14:$AR$18,MATCH(차량DB!$AD$5,잔가map!$B$14:$B$18,0),MATCH(차량DB!Y76,잔가map!$C$13:$AR$13,0)),"")</f>
        <v/>
      </c>
      <c r="AE76" s="643"/>
      <c r="AF76" s="644"/>
      <c r="AG76" s="644"/>
      <c r="AH76" s="644"/>
      <c r="AI76" s="644"/>
      <c r="AJ76" s="644"/>
      <c r="AK76" s="547"/>
      <c r="AL76" s="576"/>
    </row>
    <row r="77" spans="1:38" s="494" customFormat="1" x14ac:dyDescent="0.3">
      <c r="A77" s="295"/>
      <c r="B77" s="295"/>
      <c r="C77" s="295"/>
      <c r="D77" s="295"/>
      <c r="E77" s="293" t="s">
        <v>606</v>
      </c>
      <c r="F77" s="604" t="s">
        <v>764</v>
      </c>
      <c r="G77" s="294">
        <v>3996</v>
      </c>
      <c r="H77" s="295" t="s">
        <v>58</v>
      </c>
      <c r="I77" s="294">
        <v>183480000</v>
      </c>
      <c r="J77" s="487"/>
      <c r="K77" s="487"/>
      <c r="L77" s="487"/>
      <c r="M77" s="487"/>
      <c r="N77" s="487"/>
      <c r="O77" s="294"/>
      <c r="P77" s="295" t="s">
        <v>576</v>
      </c>
      <c r="Q77" s="295"/>
      <c r="R77" s="500">
        <v>0</v>
      </c>
      <c r="S77" s="639" t="s">
        <v>1305</v>
      </c>
      <c r="T77" s="640"/>
      <c r="U77" s="640"/>
      <c r="V77" s="640"/>
      <c r="W77" s="640"/>
      <c r="X77" s="640"/>
      <c r="Y77" s="553"/>
      <c r="Z77" s="527" t="str">
        <f>IFERROR(INDEX(잔가map!$C$14:$AR$18,MATCH(차량DB!$Z$5,잔가map!$B$14:$B$18,0),MATCH(차량DB!Y77,잔가map!$C$13:$AR$13,0)),"")</f>
        <v/>
      </c>
      <c r="AA77" s="527" t="str">
        <f>IFERROR(INDEX(잔가map!$C$14:$AR$18,MATCH(차량DB!$AA$5,잔가map!$B$14:$B$18,0),MATCH(차량DB!Y77,잔가map!$C$13:$AR$13,0)),"")</f>
        <v/>
      </c>
      <c r="AB77" s="527" t="str">
        <f>IFERROR(INDEX(잔가map!$C$14:$AR$18,MATCH(차량DB!$AB$5,잔가map!$B$14:$B$18,0),MATCH(차량DB!Y77,잔가map!$C$13:$AR$13,0)),"")</f>
        <v/>
      </c>
      <c r="AC77" s="527" t="str">
        <f>IFERROR(INDEX(잔가map!$C$14:$AR$18,MATCH(차량DB!$AC$5,잔가map!$B$14:$B$18,0),MATCH(차량DB!Y77,잔가map!$C$13:$AR$13,0)),"")</f>
        <v/>
      </c>
      <c r="AD77" s="527" t="str">
        <f>IFERROR(INDEX(잔가map!$C$14:$AR$18,MATCH(차량DB!$AD$5,잔가map!$B$14:$B$18,0),MATCH(차량DB!Y77,잔가map!$C$13:$AR$13,0)),"")</f>
        <v/>
      </c>
      <c r="AE77" s="643"/>
      <c r="AF77" s="644"/>
      <c r="AG77" s="644"/>
      <c r="AH77" s="644"/>
      <c r="AI77" s="644"/>
      <c r="AJ77" s="644"/>
      <c r="AK77" s="547"/>
      <c r="AL77" s="576"/>
    </row>
    <row r="78" spans="1:38" s="494" customFormat="1" x14ac:dyDescent="0.3">
      <c r="A78" s="295"/>
      <c r="B78" s="295"/>
      <c r="C78" s="295"/>
      <c r="D78" s="295"/>
      <c r="E78" s="293" t="s">
        <v>606</v>
      </c>
      <c r="F78" s="604" t="s">
        <v>621</v>
      </c>
      <c r="G78" s="294">
        <v>5204</v>
      </c>
      <c r="H78" s="295" t="s">
        <v>45</v>
      </c>
      <c r="I78" s="294">
        <v>257570000</v>
      </c>
      <c r="J78" s="487"/>
      <c r="K78" s="487"/>
      <c r="L78" s="487"/>
      <c r="M78" s="487"/>
      <c r="N78" s="487"/>
      <c r="O78" s="294"/>
      <c r="P78" s="295" t="s">
        <v>576</v>
      </c>
      <c r="Q78" s="295"/>
      <c r="R78" s="500">
        <v>0</v>
      </c>
      <c r="S78" s="639"/>
      <c r="T78" s="640"/>
      <c r="U78" s="640"/>
      <c r="V78" s="640"/>
      <c r="W78" s="640"/>
      <c r="X78" s="640"/>
      <c r="Y78" s="553"/>
      <c r="Z78" s="527" t="str">
        <f>IFERROR(INDEX(잔가map!$C$14:$AR$18,MATCH(차량DB!$Z$5,잔가map!$B$14:$B$18,0),MATCH(차량DB!Y78,잔가map!$C$13:$AR$13,0)),"")</f>
        <v/>
      </c>
      <c r="AA78" s="527" t="str">
        <f>IFERROR(INDEX(잔가map!$C$14:$AR$18,MATCH(차량DB!$AA$5,잔가map!$B$14:$B$18,0),MATCH(차량DB!Y78,잔가map!$C$13:$AR$13,0)),"")</f>
        <v/>
      </c>
      <c r="AB78" s="527" t="str">
        <f>IFERROR(INDEX(잔가map!$C$14:$AR$18,MATCH(차량DB!$AB$5,잔가map!$B$14:$B$18,0),MATCH(차량DB!Y78,잔가map!$C$13:$AR$13,0)),"")</f>
        <v/>
      </c>
      <c r="AC78" s="527" t="str">
        <f>IFERROR(INDEX(잔가map!$C$14:$AR$18,MATCH(차량DB!$AC$5,잔가map!$B$14:$B$18,0),MATCH(차량DB!Y78,잔가map!$C$13:$AR$13,0)),"")</f>
        <v/>
      </c>
      <c r="AD78" s="527" t="str">
        <f>IFERROR(INDEX(잔가map!$C$14:$AR$18,MATCH(차량DB!$AD$5,잔가map!$B$14:$B$18,0),MATCH(차량DB!Y78,잔가map!$C$13:$AR$13,0)),"")</f>
        <v/>
      </c>
      <c r="AE78" s="643"/>
      <c r="AF78" s="644"/>
      <c r="AG78" s="644"/>
      <c r="AH78" s="644"/>
      <c r="AI78" s="644"/>
      <c r="AJ78" s="644"/>
      <c r="AK78" s="547"/>
      <c r="AL78" s="576"/>
    </row>
    <row r="79" spans="1:38" x14ac:dyDescent="0.3">
      <c r="E79" s="293" t="s">
        <v>558</v>
      </c>
      <c r="F79" s="604" t="s">
        <v>713</v>
      </c>
      <c r="G79" s="294">
        <v>1</v>
      </c>
      <c r="H79" s="295" t="s">
        <v>58</v>
      </c>
      <c r="I79" s="294">
        <v>59700000</v>
      </c>
      <c r="P79" s="295" t="s">
        <v>576</v>
      </c>
      <c r="R79" s="500">
        <v>0</v>
      </c>
      <c r="S79" s="639"/>
      <c r="T79" s="640"/>
      <c r="U79" s="640"/>
      <c r="V79" s="640"/>
      <c r="W79" s="640"/>
      <c r="X79" s="640"/>
      <c r="Y79" s="553"/>
      <c r="Z79" s="527" t="str">
        <f>IFERROR(INDEX(잔가map!$C$14:$AR$18,MATCH(차량DB!$Z$5,잔가map!$B$14:$B$18,0),MATCH(차량DB!Y79,잔가map!$C$13:$AR$13,0)),"")</f>
        <v/>
      </c>
      <c r="AA79" s="527" t="str">
        <f>IFERROR(INDEX(잔가map!$C$14:$AR$18,MATCH(차량DB!$AA$5,잔가map!$B$14:$B$18,0),MATCH(차량DB!Y79,잔가map!$C$13:$AR$13,0)),"")</f>
        <v/>
      </c>
      <c r="AB79" s="527" t="str">
        <f>IFERROR(INDEX(잔가map!$C$14:$AR$18,MATCH(차량DB!$AB$5,잔가map!$B$14:$B$18,0),MATCH(차량DB!Y79,잔가map!$C$13:$AR$13,0)),"")</f>
        <v/>
      </c>
      <c r="AC79" s="527" t="str">
        <f>IFERROR(INDEX(잔가map!$C$14:$AR$18,MATCH(차량DB!$AC$5,잔가map!$B$14:$B$18,0),MATCH(차량DB!Y79,잔가map!$C$13:$AR$13,0)),"")</f>
        <v/>
      </c>
      <c r="AD79" s="527" t="str">
        <f>IFERROR(INDEX(잔가map!$C$14:$AR$18,MATCH(차량DB!$AD$5,잔가map!$B$14:$B$18,0),MATCH(차량DB!Y79,잔가map!$C$13:$AR$13,0)),"")</f>
        <v/>
      </c>
      <c r="AE79" s="643"/>
      <c r="AF79" s="644"/>
      <c r="AG79" s="644"/>
      <c r="AH79" s="644"/>
      <c r="AI79" s="644"/>
      <c r="AJ79" s="644"/>
      <c r="AK79" s="547"/>
      <c r="AL79" s="576"/>
    </row>
    <row r="80" spans="1:38" x14ac:dyDescent="0.3">
      <c r="E80" s="293" t="s">
        <v>558</v>
      </c>
      <c r="F80" s="604" t="s">
        <v>714</v>
      </c>
      <c r="G80" s="294">
        <v>1</v>
      </c>
      <c r="H80" s="295" t="s">
        <v>58</v>
      </c>
      <c r="I80" s="294">
        <v>66700000</v>
      </c>
      <c r="P80" s="295" t="s">
        <v>576</v>
      </c>
      <c r="R80" s="500">
        <v>0</v>
      </c>
      <c r="S80" s="639"/>
      <c r="T80" s="640"/>
      <c r="U80" s="640"/>
      <c r="V80" s="640"/>
      <c r="W80" s="640"/>
      <c r="X80" s="640"/>
      <c r="Y80" s="553"/>
      <c r="Z80" s="527" t="str">
        <f>IFERROR(INDEX(잔가map!$C$14:$AR$18,MATCH(차량DB!$Z$5,잔가map!$B$14:$B$18,0),MATCH(차량DB!Y80,잔가map!$C$13:$AR$13,0)),"")</f>
        <v/>
      </c>
      <c r="AA80" s="527" t="str">
        <f>IFERROR(INDEX(잔가map!$C$14:$AR$18,MATCH(차량DB!$AA$5,잔가map!$B$14:$B$18,0),MATCH(차량DB!Y80,잔가map!$C$13:$AR$13,0)),"")</f>
        <v/>
      </c>
      <c r="AB80" s="527" t="str">
        <f>IFERROR(INDEX(잔가map!$C$14:$AR$18,MATCH(차량DB!$AB$5,잔가map!$B$14:$B$18,0),MATCH(차량DB!Y80,잔가map!$C$13:$AR$13,0)),"")</f>
        <v/>
      </c>
      <c r="AC80" s="527" t="str">
        <f>IFERROR(INDEX(잔가map!$C$14:$AR$18,MATCH(차량DB!$AC$5,잔가map!$B$14:$B$18,0),MATCH(차량DB!Y80,잔가map!$C$13:$AR$13,0)),"")</f>
        <v/>
      </c>
      <c r="AD80" s="527" t="str">
        <f>IFERROR(INDEX(잔가map!$C$14:$AR$18,MATCH(차량DB!$AD$5,잔가map!$B$14:$B$18,0),MATCH(차량DB!Y80,잔가map!$C$13:$AR$13,0)),"")</f>
        <v/>
      </c>
      <c r="AE80" s="643"/>
      <c r="AF80" s="644"/>
      <c r="AG80" s="644"/>
      <c r="AH80" s="644"/>
      <c r="AI80" s="644"/>
      <c r="AJ80" s="644"/>
      <c r="AK80" s="547"/>
      <c r="AL80" s="576"/>
    </row>
    <row r="81" spans="5:38" x14ac:dyDescent="0.3">
      <c r="E81" s="293" t="s">
        <v>558</v>
      </c>
      <c r="F81" s="604" t="s">
        <v>754</v>
      </c>
      <c r="G81" s="294">
        <v>1</v>
      </c>
      <c r="H81" s="295" t="s">
        <v>58</v>
      </c>
      <c r="I81" s="294">
        <v>63700000</v>
      </c>
      <c r="P81" s="295" t="s">
        <v>576</v>
      </c>
      <c r="R81" s="500"/>
      <c r="S81" s="639"/>
      <c r="T81" s="640"/>
      <c r="U81" s="640"/>
      <c r="V81" s="640"/>
      <c r="W81" s="640"/>
      <c r="X81" s="640"/>
      <c r="Y81" s="553"/>
      <c r="Z81" s="527" t="str">
        <f>IFERROR(INDEX(잔가map!$C$14:$AR$18,MATCH(차량DB!$Z$5,잔가map!$B$14:$B$18,0),MATCH(차량DB!Y81,잔가map!$C$13:$AR$13,0)),"")</f>
        <v/>
      </c>
      <c r="AA81" s="527" t="str">
        <f>IFERROR(INDEX(잔가map!$C$14:$AR$18,MATCH(차량DB!$AA$5,잔가map!$B$14:$B$18,0),MATCH(차량DB!Y81,잔가map!$C$13:$AR$13,0)),"")</f>
        <v/>
      </c>
      <c r="AB81" s="527" t="str">
        <f>IFERROR(INDEX(잔가map!$C$14:$AR$18,MATCH(차량DB!$AB$5,잔가map!$B$14:$B$18,0),MATCH(차량DB!Y81,잔가map!$C$13:$AR$13,0)),"")</f>
        <v/>
      </c>
      <c r="AC81" s="527" t="str">
        <f>IFERROR(INDEX(잔가map!$C$14:$AR$18,MATCH(차량DB!$AC$5,잔가map!$B$14:$B$18,0),MATCH(차량DB!Y81,잔가map!$C$13:$AR$13,0)),"")</f>
        <v/>
      </c>
      <c r="AD81" s="527" t="str">
        <f>IFERROR(INDEX(잔가map!$C$14:$AR$18,MATCH(차량DB!$AD$5,잔가map!$B$14:$B$18,0),MATCH(차량DB!Y81,잔가map!$C$13:$AR$13,0)),"")</f>
        <v/>
      </c>
      <c r="AE81" s="643"/>
      <c r="AF81" s="644"/>
      <c r="AG81" s="644"/>
      <c r="AH81" s="644"/>
      <c r="AI81" s="644"/>
      <c r="AJ81" s="644"/>
      <c r="AK81" s="547"/>
      <c r="AL81" s="576"/>
    </row>
    <row r="82" spans="5:38" x14ac:dyDescent="0.3">
      <c r="E82" s="293" t="s">
        <v>558</v>
      </c>
      <c r="F82" s="604" t="s">
        <v>755</v>
      </c>
      <c r="G82" s="294">
        <v>1</v>
      </c>
      <c r="H82" s="295" t="s">
        <v>58</v>
      </c>
      <c r="I82" s="294">
        <v>70700000</v>
      </c>
      <c r="P82" s="295" t="s">
        <v>576</v>
      </c>
      <c r="R82" s="500"/>
      <c r="S82" s="639"/>
      <c r="T82" s="640"/>
      <c r="U82" s="640"/>
      <c r="V82" s="640"/>
      <c r="W82" s="640"/>
      <c r="X82" s="640"/>
      <c r="Y82" s="553"/>
      <c r="Z82" s="527" t="str">
        <f>IFERROR(INDEX(잔가map!$C$14:$AR$18,MATCH(차량DB!$Z$5,잔가map!$B$14:$B$18,0),MATCH(차량DB!Y82,잔가map!$C$13:$AR$13,0)),"")</f>
        <v/>
      </c>
      <c r="AA82" s="527" t="str">
        <f>IFERROR(INDEX(잔가map!$C$14:$AR$18,MATCH(차량DB!$AA$5,잔가map!$B$14:$B$18,0),MATCH(차량DB!Y82,잔가map!$C$13:$AR$13,0)),"")</f>
        <v/>
      </c>
      <c r="AB82" s="527" t="str">
        <f>IFERROR(INDEX(잔가map!$C$14:$AR$18,MATCH(차량DB!$AB$5,잔가map!$B$14:$B$18,0),MATCH(차량DB!Y82,잔가map!$C$13:$AR$13,0)),"")</f>
        <v/>
      </c>
      <c r="AC82" s="527" t="str">
        <f>IFERROR(INDEX(잔가map!$C$14:$AR$18,MATCH(차량DB!$AC$5,잔가map!$B$14:$B$18,0),MATCH(차량DB!Y82,잔가map!$C$13:$AR$13,0)),"")</f>
        <v/>
      </c>
      <c r="AD82" s="527" t="str">
        <f>IFERROR(INDEX(잔가map!$C$14:$AR$18,MATCH(차량DB!$AD$5,잔가map!$B$14:$B$18,0),MATCH(차량DB!Y82,잔가map!$C$13:$AR$13,0)),"")</f>
        <v/>
      </c>
      <c r="AE82" s="643"/>
      <c r="AF82" s="644"/>
      <c r="AG82" s="644"/>
      <c r="AH82" s="644"/>
      <c r="AI82" s="644"/>
      <c r="AJ82" s="644"/>
      <c r="AK82" s="547"/>
      <c r="AL82" s="576"/>
    </row>
    <row r="83" spans="5:38" x14ac:dyDescent="0.3">
      <c r="E83" s="293" t="s">
        <v>558</v>
      </c>
      <c r="F83" s="604" t="s">
        <v>769</v>
      </c>
      <c r="G83" s="294">
        <v>1</v>
      </c>
      <c r="H83" s="295" t="s">
        <v>58</v>
      </c>
      <c r="I83" s="294">
        <v>145200000</v>
      </c>
      <c r="P83" s="295" t="s">
        <v>576</v>
      </c>
      <c r="R83" s="500">
        <v>0</v>
      </c>
      <c r="S83" s="639"/>
      <c r="T83" s="640"/>
      <c r="U83" s="640"/>
      <c r="V83" s="640"/>
      <c r="W83" s="640"/>
      <c r="X83" s="640"/>
      <c r="Y83" s="553"/>
      <c r="Z83" s="527" t="str">
        <f>IFERROR(INDEX(잔가map!$C$14:$AR$18,MATCH(차량DB!$Z$5,잔가map!$B$14:$B$18,0),MATCH(차량DB!Y83,잔가map!$C$13:$AR$13,0)),"")</f>
        <v/>
      </c>
      <c r="AA83" s="527" t="str">
        <f>IFERROR(INDEX(잔가map!$C$14:$AR$18,MATCH(차량DB!$AA$5,잔가map!$B$14:$B$18,0),MATCH(차량DB!Y83,잔가map!$C$13:$AR$13,0)),"")</f>
        <v/>
      </c>
      <c r="AB83" s="527" t="str">
        <f>IFERROR(INDEX(잔가map!$C$14:$AR$18,MATCH(차량DB!$AB$5,잔가map!$B$14:$B$18,0),MATCH(차량DB!Y83,잔가map!$C$13:$AR$13,0)),"")</f>
        <v/>
      </c>
      <c r="AC83" s="527" t="str">
        <f>IFERROR(INDEX(잔가map!$C$14:$AR$18,MATCH(차량DB!$AC$5,잔가map!$B$14:$B$18,0),MATCH(차량DB!Y83,잔가map!$C$13:$AR$13,0)),"")</f>
        <v/>
      </c>
      <c r="AD83" s="527" t="str">
        <f>IFERROR(INDEX(잔가map!$C$14:$AR$18,MATCH(차량DB!$AD$5,잔가map!$B$14:$B$18,0),MATCH(차량DB!Y83,잔가map!$C$13:$AR$13,0)),"")</f>
        <v/>
      </c>
      <c r="AE83" s="643"/>
      <c r="AF83" s="644"/>
      <c r="AG83" s="644"/>
      <c r="AH83" s="644"/>
      <c r="AI83" s="644"/>
      <c r="AJ83" s="644"/>
      <c r="AK83" s="547"/>
      <c r="AL83" s="576"/>
    </row>
    <row r="84" spans="5:38" x14ac:dyDescent="0.3">
      <c r="E84" s="293" t="s">
        <v>558</v>
      </c>
      <c r="F84" s="604" t="s">
        <v>770</v>
      </c>
      <c r="G84" s="294">
        <v>1</v>
      </c>
      <c r="H84" s="295" t="s">
        <v>58</v>
      </c>
      <c r="I84" s="294">
        <v>168200000</v>
      </c>
      <c r="P84" s="295" t="s">
        <v>576</v>
      </c>
      <c r="R84" s="500">
        <v>0</v>
      </c>
      <c r="S84" s="639"/>
      <c r="T84" s="640"/>
      <c r="U84" s="640"/>
      <c r="V84" s="640"/>
      <c r="W84" s="640"/>
      <c r="X84" s="640"/>
      <c r="Y84" s="553"/>
      <c r="Z84" s="527" t="str">
        <f>IFERROR(INDEX(잔가map!$C$14:$AR$18,MATCH(차량DB!$Z$5,잔가map!$B$14:$B$18,0),MATCH(차량DB!Y84,잔가map!$C$13:$AR$13,0)),"")</f>
        <v/>
      </c>
      <c r="AA84" s="527" t="str">
        <f>IFERROR(INDEX(잔가map!$C$14:$AR$18,MATCH(차량DB!$AA$5,잔가map!$B$14:$B$18,0),MATCH(차량DB!Y84,잔가map!$C$13:$AR$13,0)),"")</f>
        <v/>
      </c>
      <c r="AB84" s="527" t="str">
        <f>IFERROR(INDEX(잔가map!$C$14:$AR$18,MATCH(차량DB!$AB$5,잔가map!$B$14:$B$18,0),MATCH(차량DB!Y84,잔가map!$C$13:$AR$13,0)),"")</f>
        <v/>
      </c>
      <c r="AC84" s="527" t="str">
        <f>IFERROR(INDEX(잔가map!$C$14:$AR$18,MATCH(차량DB!$AC$5,잔가map!$B$14:$B$18,0),MATCH(차량DB!Y84,잔가map!$C$13:$AR$13,0)),"")</f>
        <v/>
      </c>
      <c r="AD84" s="527" t="str">
        <f>IFERROR(INDEX(잔가map!$C$14:$AR$18,MATCH(차량DB!$AD$5,잔가map!$B$14:$B$18,0),MATCH(차량DB!Y84,잔가map!$C$13:$AR$13,0)),"")</f>
        <v/>
      </c>
      <c r="AE84" s="643"/>
      <c r="AF84" s="644"/>
      <c r="AG84" s="644"/>
      <c r="AH84" s="644"/>
      <c r="AI84" s="644"/>
      <c r="AJ84" s="644"/>
      <c r="AK84" s="547"/>
      <c r="AL84" s="576"/>
    </row>
    <row r="85" spans="5:38" x14ac:dyDescent="0.3">
      <c r="E85" s="293" t="s">
        <v>558</v>
      </c>
      <c r="F85" s="604" t="s">
        <v>772</v>
      </c>
      <c r="G85" s="294">
        <v>1</v>
      </c>
      <c r="H85" s="295" t="s">
        <v>45</v>
      </c>
      <c r="I85" s="294">
        <v>208200000</v>
      </c>
      <c r="P85" s="295" t="s">
        <v>576</v>
      </c>
      <c r="R85" s="500"/>
      <c r="S85" s="639"/>
      <c r="T85" s="640"/>
      <c r="U85" s="640"/>
      <c r="V85" s="640"/>
      <c r="W85" s="640"/>
      <c r="X85" s="640"/>
      <c r="Y85" s="553"/>
      <c r="Z85" s="527" t="str">
        <f>IFERROR(INDEX(잔가map!$C$14:$AR$18,MATCH(차량DB!$Z$5,잔가map!$B$14:$B$18,0),MATCH(차량DB!Y85,잔가map!$C$13:$AR$13,0)),"")</f>
        <v/>
      </c>
      <c r="AA85" s="527" t="str">
        <f>IFERROR(INDEX(잔가map!$C$14:$AR$18,MATCH(차량DB!$AA$5,잔가map!$B$14:$B$18,0),MATCH(차량DB!Y85,잔가map!$C$13:$AR$13,0)),"")</f>
        <v/>
      </c>
      <c r="AB85" s="527" t="str">
        <f>IFERROR(INDEX(잔가map!$C$14:$AR$18,MATCH(차량DB!$AB$5,잔가map!$B$14:$B$18,0),MATCH(차량DB!Y85,잔가map!$C$13:$AR$13,0)),"")</f>
        <v/>
      </c>
      <c r="AC85" s="527" t="str">
        <f>IFERROR(INDEX(잔가map!$C$14:$AR$18,MATCH(차량DB!$AC$5,잔가map!$B$14:$B$18,0),MATCH(차량DB!Y85,잔가map!$C$13:$AR$13,0)),"")</f>
        <v/>
      </c>
      <c r="AD85" s="527" t="str">
        <f>IFERROR(INDEX(잔가map!$C$14:$AR$18,MATCH(차량DB!$AD$5,잔가map!$B$14:$B$18,0),MATCH(차량DB!Y85,잔가map!$C$13:$AR$13,0)),"")</f>
        <v/>
      </c>
      <c r="AE85" s="643"/>
      <c r="AF85" s="644"/>
      <c r="AG85" s="644"/>
      <c r="AH85" s="644"/>
      <c r="AI85" s="644"/>
      <c r="AJ85" s="644"/>
      <c r="AK85" s="547"/>
      <c r="AL85" s="576"/>
    </row>
    <row r="86" spans="5:38" x14ac:dyDescent="0.3">
      <c r="E86" s="293" t="s">
        <v>558</v>
      </c>
      <c r="F86" s="604" t="s">
        <v>773</v>
      </c>
      <c r="G86" s="294">
        <v>1</v>
      </c>
      <c r="H86" s="295" t="s">
        <v>58</v>
      </c>
      <c r="I86" s="294">
        <v>139100000</v>
      </c>
      <c r="P86" s="295" t="s">
        <v>576</v>
      </c>
      <c r="R86" s="500"/>
      <c r="S86" s="639"/>
      <c r="T86" s="640"/>
      <c r="U86" s="640"/>
      <c r="V86" s="640"/>
      <c r="W86" s="640"/>
      <c r="X86" s="640"/>
      <c r="Y86" s="553"/>
      <c r="Z86" s="527" t="str">
        <f>IFERROR(INDEX(잔가map!$C$14:$AR$18,MATCH(차량DB!$Z$5,잔가map!$B$14:$B$18,0),MATCH(차량DB!Y86,잔가map!$C$13:$AR$13,0)),"")</f>
        <v/>
      </c>
      <c r="AA86" s="527" t="str">
        <f>IFERROR(INDEX(잔가map!$C$14:$AR$18,MATCH(차량DB!$AA$5,잔가map!$B$14:$B$18,0),MATCH(차량DB!Y86,잔가map!$C$13:$AR$13,0)),"")</f>
        <v/>
      </c>
      <c r="AB86" s="527" t="str">
        <f>IFERROR(INDEX(잔가map!$C$14:$AR$18,MATCH(차량DB!$AB$5,잔가map!$B$14:$B$18,0),MATCH(차량DB!Y86,잔가map!$C$13:$AR$13,0)),"")</f>
        <v/>
      </c>
      <c r="AC86" s="527" t="str">
        <f>IFERROR(INDEX(잔가map!$C$14:$AR$18,MATCH(차량DB!$AC$5,잔가map!$B$14:$B$18,0),MATCH(차량DB!Y86,잔가map!$C$13:$AR$13,0)),"")</f>
        <v/>
      </c>
      <c r="AD86" s="527" t="str">
        <f>IFERROR(INDEX(잔가map!$C$14:$AR$18,MATCH(차량DB!$AD$5,잔가map!$B$14:$B$18,0),MATCH(차량DB!Y86,잔가map!$C$13:$AR$13,0)),"")</f>
        <v/>
      </c>
      <c r="AE86" s="643"/>
      <c r="AF86" s="644"/>
      <c r="AG86" s="644"/>
      <c r="AH86" s="644"/>
      <c r="AI86" s="644"/>
      <c r="AJ86" s="644"/>
      <c r="AK86" s="547"/>
      <c r="AL86" s="576"/>
    </row>
    <row r="87" spans="5:38" x14ac:dyDescent="0.3">
      <c r="E87" s="293" t="s">
        <v>558</v>
      </c>
      <c r="F87" s="604" t="s">
        <v>774</v>
      </c>
      <c r="G87" s="294">
        <v>1</v>
      </c>
      <c r="H87" s="295" t="s">
        <v>58</v>
      </c>
      <c r="I87" s="294">
        <v>143100000</v>
      </c>
      <c r="P87" s="295" t="s">
        <v>576</v>
      </c>
      <c r="R87" s="500"/>
      <c r="S87" s="639"/>
      <c r="T87" s="640"/>
      <c r="U87" s="640"/>
      <c r="V87" s="640"/>
      <c r="W87" s="640"/>
      <c r="X87" s="640"/>
      <c r="Y87" s="553"/>
      <c r="Z87" s="527" t="str">
        <f>IFERROR(INDEX(잔가map!$C$14:$AR$18,MATCH(차량DB!$Z$5,잔가map!$B$14:$B$18,0),MATCH(차량DB!Y87,잔가map!$C$13:$AR$13,0)),"")</f>
        <v/>
      </c>
      <c r="AA87" s="527" t="str">
        <f>IFERROR(INDEX(잔가map!$C$14:$AR$18,MATCH(차량DB!$AA$5,잔가map!$B$14:$B$18,0),MATCH(차량DB!Y87,잔가map!$C$13:$AR$13,0)),"")</f>
        <v/>
      </c>
      <c r="AB87" s="527" t="str">
        <f>IFERROR(INDEX(잔가map!$C$14:$AR$18,MATCH(차량DB!$AB$5,잔가map!$B$14:$B$18,0),MATCH(차량DB!Y87,잔가map!$C$13:$AR$13,0)),"")</f>
        <v/>
      </c>
      <c r="AC87" s="527" t="str">
        <f>IFERROR(INDEX(잔가map!$C$14:$AR$18,MATCH(차량DB!$AC$5,잔가map!$B$14:$B$18,0),MATCH(차량DB!Y87,잔가map!$C$13:$AR$13,0)),"")</f>
        <v/>
      </c>
      <c r="AD87" s="527" t="str">
        <f>IFERROR(INDEX(잔가map!$C$14:$AR$18,MATCH(차량DB!$AD$5,잔가map!$B$14:$B$18,0),MATCH(차량DB!Y87,잔가map!$C$13:$AR$13,0)),"")</f>
        <v/>
      </c>
      <c r="AE87" s="643"/>
      <c r="AF87" s="644"/>
      <c r="AG87" s="644"/>
      <c r="AH87" s="644"/>
      <c r="AI87" s="644"/>
      <c r="AJ87" s="644"/>
      <c r="AK87" s="547"/>
      <c r="AL87" s="576"/>
    </row>
    <row r="88" spans="5:38" x14ac:dyDescent="0.3">
      <c r="E88" s="293" t="s">
        <v>558</v>
      </c>
      <c r="F88" s="604" t="s">
        <v>677</v>
      </c>
      <c r="G88" s="294">
        <v>1</v>
      </c>
      <c r="H88" s="295" t="s">
        <v>58</v>
      </c>
      <c r="I88" s="294">
        <v>119000000</v>
      </c>
      <c r="P88" s="295" t="s">
        <v>576</v>
      </c>
      <c r="R88" s="500">
        <v>0</v>
      </c>
      <c r="S88" s="639"/>
      <c r="T88" s="640"/>
      <c r="U88" s="640"/>
      <c r="V88" s="640"/>
      <c r="W88" s="640"/>
      <c r="X88" s="640"/>
      <c r="Y88" s="553"/>
      <c r="Z88" s="527" t="str">
        <f>IFERROR(INDEX(잔가map!$C$14:$AR$18,MATCH(차량DB!$Z$5,잔가map!$B$14:$B$18,0),MATCH(차량DB!Y88,잔가map!$C$13:$AR$13,0)),"")</f>
        <v/>
      </c>
      <c r="AA88" s="527" t="str">
        <f>IFERROR(INDEX(잔가map!$C$14:$AR$18,MATCH(차량DB!$AA$5,잔가map!$B$14:$B$18,0),MATCH(차량DB!Y88,잔가map!$C$13:$AR$13,0)),"")</f>
        <v/>
      </c>
      <c r="AB88" s="527" t="str">
        <f>IFERROR(INDEX(잔가map!$C$14:$AR$18,MATCH(차량DB!$AB$5,잔가map!$B$14:$B$18,0),MATCH(차량DB!Y88,잔가map!$C$13:$AR$13,0)),"")</f>
        <v/>
      </c>
      <c r="AC88" s="527" t="str">
        <f>IFERROR(INDEX(잔가map!$C$14:$AR$18,MATCH(차량DB!$AC$5,잔가map!$B$14:$B$18,0),MATCH(차량DB!Y88,잔가map!$C$13:$AR$13,0)),"")</f>
        <v/>
      </c>
      <c r="AD88" s="527" t="str">
        <f>IFERROR(INDEX(잔가map!$C$14:$AR$18,MATCH(차량DB!$AD$5,잔가map!$B$14:$B$18,0),MATCH(차량DB!Y88,잔가map!$C$13:$AR$13,0)),"")</f>
        <v/>
      </c>
      <c r="AE88" s="643"/>
      <c r="AF88" s="644"/>
      <c r="AG88" s="644"/>
      <c r="AH88" s="644"/>
      <c r="AI88" s="644"/>
      <c r="AJ88" s="644"/>
      <c r="AK88" s="547"/>
      <c r="AL88" s="576"/>
    </row>
    <row r="89" spans="5:38" x14ac:dyDescent="0.3">
      <c r="E89" s="293" t="s">
        <v>558</v>
      </c>
      <c r="F89" s="604" t="s">
        <v>771</v>
      </c>
      <c r="G89" s="294">
        <v>1</v>
      </c>
      <c r="H89" s="295" t="s">
        <v>58</v>
      </c>
      <c r="I89" s="294">
        <v>125000000</v>
      </c>
      <c r="P89" s="295" t="s">
        <v>576</v>
      </c>
      <c r="R89" s="500">
        <v>0</v>
      </c>
      <c r="S89" s="639"/>
      <c r="T89" s="640"/>
      <c r="U89" s="640"/>
      <c r="V89" s="640"/>
      <c r="W89" s="640"/>
      <c r="X89" s="640"/>
      <c r="Y89" s="553"/>
      <c r="Z89" s="527" t="str">
        <f>IFERROR(INDEX(잔가map!$C$14:$AR$18,MATCH(차량DB!$Z$5,잔가map!$B$14:$B$18,0),MATCH(차량DB!Y89,잔가map!$C$13:$AR$13,0)),"")</f>
        <v/>
      </c>
      <c r="AA89" s="527" t="str">
        <f>IFERROR(INDEX(잔가map!$C$14:$AR$18,MATCH(차량DB!$AA$5,잔가map!$B$14:$B$18,0),MATCH(차량DB!Y89,잔가map!$C$13:$AR$13,0)),"")</f>
        <v/>
      </c>
      <c r="AB89" s="527" t="str">
        <f>IFERROR(INDEX(잔가map!$C$14:$AR$18,MATCH(차량DB!$AB$5,잔가map!$B$14:$B$18,0),MATCH(차량DB!Y89,잔가map!$C$13:$AR$13,0)),"")</f>
        <v/>
      </c>
      <c r="AC89" s="527" t="str">
        <f>IFERROR(INDEX(잔가map!$C$14:$AR$18,MATCH(차량DB!$AC$5,잔가map!$B$14:$B$18,0),MATCH(차량DB!Y89,잔가map!$C$13:$AR$13,0)),"")</f>
        <v/>
      </c>
      <c r="AD89" s="527" t="str">
        <f>IFERROR(INDEX(잔가map!$C$14:$AR$18,MATCH(차량DB!$AD$5,잔가map!$B$14:$B$18,0),MATCH(차량DB!Y89,잔가map!$C$13:$AR$13,0)),"")</f>
        <v/>
      </c>
      <c r="AE89" s="643"/>
      <c r="AF89" s="644"/>
      <c r="AG89" s="644"/>
      <c r="AH89" s="644"/>
      <c r="AI89" s="644"/>
      <c r="AJ89" s="644"/>
      <c r="AK89" s="547"/>
      <c r="AL89" s="576"/>
    </row>
    <row r="90" spans="5:38" x14ac:dyDescent="0.3">
      <c r="E90" s="293" t="s">
        <v>343</v>
      </c>
      <c r="F90" s="605" t="s">
        <v>1187</v>
      </c>
      <c r="G90" s="294">
        <v>1998</v>
      </c>
      <c r="H90" s="295" t="s">
        <v>45</v>
      </c>
      <c r="I90" s="294">
        <v>48400000</v>
      </c>
      <c r="P90" s="295" t="s">
        <v>576</v>
      </c>
      <c r="R90" s="500">
        <v>0</v>
      </c>
      <c r="S90" s="639" t="s">
        <v>1254</v>
      </c>
      <c r="T90" s="640"/>
      <c r="U90" s="640"/>
      <c r="V90" s="640"/>
      <c r="W90" s="640"/>
      <c r="X90" s="640"/>
      <c r="Y90" s="553"/>
      <c r="Z90" s="527" t="str">
        <f>IFERROR(INDEX(잔가map!$C$14:$AR$18,MATCH(차량DB!$Z$5,잔가map!$B$14:$B$18,0),MATCH(차량DB!Y90,잔가map!$C$13:$AR$13,0)),"")</f>
        <v/>
      </c>
      <c r="AA90" s="527" t="str">
        <f>IFERROR(INDEX(잔가map!$C$14:$AR$18,MATCH(차량DB!$AA$5,잔가map!$B$14:$B$18,0),MATCH(차량DB!Y90,잔가map!$C$13:$AR$13,0)),"")</f>
        <v/>
      </c>
      <c r="AB90" s="527" t="str">
        <f>IFERROR(INDEX(잔가map!$C$14:$AR$18,MATCH(차량DB!$AB$5,잔가map!$B$14:$B$18,0),MATCH(차량DB!Y90,잔가map!$C$13:$AR$13,0)),"")</f>
        <v/>
      </c>
      <c r="AC90" s="527" t="str">
        <f>IFERROR(INDEX(잔가map!$C$14:$AR$18,MATCH(차량DB!$AC$5,잔가map!$B$14:$B$18,0),MATCH(차량DB!Y90,잔가map!$C$13:$AR$13,0)),"")</f>
        <v/>
      </c>
      <c r="AD90" s="527" t="str">
        <f>IFERROR(INDEX(잔가map!$C$14:$AR$18,MATCH(차량DB!$AD$5,잔가map!$B$14:$B$18,0),MATCH(차량DB!Y90,잔가map!$C$13:$AR$13,0)),"")</f>
        <v/>
      </c>
      <c r="AE90" s="643"/>
      <c r="AF90" s="644"/>
      <c r="AG90" s="644"/>
      <c r="AH90" s="644"/>
      <c r="AI90" s="644"/>
      <c r="AJ90" s="644"/>
      <c r="AK90" s="547"/>
      <c r="AL90" s="576"/>
    </row>
    <row r="91" spans="5:38" x14ac:dyDescent="0.3">
      <c r="E91" s="293" t="s">
        <v>343</v>
      </c>
      <c r="F91" s="605" t="s">
        <v>1188</v>
      </c>
      <c r="G91" s="294">
        <v>1998</v>
      </c>
      <c r="H91" s="295" t="s">
        <v>45</v>
      </c>
      <c r="I91" s="294">
        <v>52800000</v>
      </c>
      <c r="P91" s="295" t="s">
        <v>1269</v>
      </c>
      <c r="R91" s="500"/>
      <c r="S91" s="639" t="s">
        <v>1255</v>
      </c>
      <c r="T91" s="640"/>
      <c r="U91" s="640"/>
      <c r="V91" s="640"/>
      <c r="W91" s="640"/>
      <c r="X91" s="640"/>
      <c r="Y91" s="553"/>
      <c r="Z91" s="527" t="str">
        <f>IFERROR(INDEX(잔가map!$C$14:$AR$18,MATCH(차량DB!$Z$5,잔가map!$B$14:$B$18,0),MATCH(차량DB!Y91,잔가map!$C$13:$AR$13,0)),"")</f>
        <v/>
      </c>
      <c r="AA91" s="527" t="str">
        <f>IFERROR(INDEX(잔가map!$C$14:$AR$18,MATCH(차량DB!$AA$5,잔가map!$B$14:$B$18,0),MATCH(차량DB!Y91,잔가map!$C$13:$AR$13,0)),"")</f>
        <v/>
      </c>
      <c r="AB91" s="527" t="str">
        <f>IFERROR(INDEX(잔가map!$C$14:$AR$18,MATCH(차량DB!$AB$5,잔가map!$B$14:$B$18,0),MATCH(차량DB!Y91,잔가map!$C$13:$AR$13,0)),"")</f>
        <v/>
      </c>
      <c r="AC91" s="527" t="str">
        <f>IFERROR(INDEX(잔가map!$C$14:$AR$18,MATCH(차량DB!$AC$5,잔가map!$B$14:$B$18,0),MATCH(차량DB!Y91,잔가map!$C$13:$AR$13,0)),"")</f>
        <v/>
      </c>
      <c r="AD91" s="527" t="str">
        <f>IFERROR(INDEX(잔가map!$C$14:$AR$18,MATCH(차량DB!$AD$5,잔가map!$B$14:$B$18,0),MATCH(차량DB!Y91,잔가map!$C$13:$AR$13,0)),"")</f>
        <v/>
      </c>
      <c r="AE91" s="643"/>
      <c r="AF91" s="644"/>
      <c r="AG91" s="644"/>
      <c r="AH91" s="644"/>
      <c r="AI91" s="644"/>
      <c r="AJ91" s="644"/>
      <c r="AK91" s="547"/>
      <c r="AL91" s="576"/>
    </row>
    <row r="92" spans="5:38" x14ac:dyDescent="0.3">
      <c r="E92" s="293" t="s">
        <v>343</v>
      </c>
      <c r="F92" s="605" t="s">
        <v>1189</v>
      </c>
      <c r="G92" s="294">
        <v>1998</v>
      </c>
      <c r="H92" s="295" t="s">
        <v>45</v>
      </c>
      <c r="I92" s="294">
        <v>61800000</v>
      </c>
      <c r="P92" s="295" t="s">
        <v>576</v>
      </c>
      <c r="R92" s="500">
        <v>0</v>
      </c>
      <c r="S92" s="639" t="s">
        <v>1285</v>
      </c>
      <c r="T92" s="640"/>
      <c r="U92" s="640"/>
      <c r="V92" s="640"/>
      <c r="W92" s="640"/>
      <c r="X92" s="640"/>
      <c r="Y92" s="553" t="s">
        <v>360</v>
      </c>
      <c r="Z92" s="527">
        <f>IFERROR(INDEX(잔가map!$C$14:$AR$18,MATCH(차량DB!$Z$5,잔가map!$B$14:$B$18,0),MATCH(차량DB!Y92,잔가map!$C$13:$AR$13,0)),"")</f>
        <v>0.69</v>
      </c>
      <c r="AA92" s="527">
        <f>IFERROR(INDEX(잔가map!$C$14:$AR$18,MATCH(차량DB!$AA$5,잔가map!$B$14:$B$18,0),MATCH(차량DB!Y92,잔가map!$C$13:$AR$13,0)),"")</f>
        <v>0.61</v>
      </c>
      <c r="AB92" s="527">
        <f>IFERROR(INDEX(잔가map!$C$14:$AR$18,MATCH(차량DB!$AB$5,잔가map!$B$14:$B$18,0),MATCH(차량DB!Y92,잔가map!$C$13:$AR$13,0)),"")</f>
        <v>0.51999999999999991</v>
      </c>
      <c r="AC92" s="527">
        <f>IFERROR(INDEX(잔가map!$C$14:$AR$18,MATCH(차량DB!$AC$5,잔가map!$B$14:$B$18,0),MATCH(차량DB!Y92,잔가map!$C$13:$AR$13,0)),"")</f>
        <v>0.44</v>
      </c>
      <c r="AD92" s="527">
        <f>IFERROR(INDEX(잔가map!$C$14:$AR$18,MATCH(차량DB!$AD$5,잔가map!$B$14:$B$18,0),MATCH(차량DB!Y92,잔가map!$C$13:$AR$13,0)),"")</f>
        <v>0.38</v>
      </c>
      <c r="AE92" s="643"/>
      <c r="AF92" s="644"/>
      <c r="AG92" s="644"/>
      <c r="AH92" s="644"/>
      <c r="AI92" s="644"/>
      <c r="AJ92" s="644"/>
      <c r="AK92" s="547"/>
      <c r="AL92" s="576"/>
    </row>
    <row r="93" spans="5:38" x14ac:dyDescent="0.3">
      <c r="E93" s="293" t="s">
        <v>343</v>
      </c>
      <c r="F93" s="605" t="s">
        <v>802</v>
      </c>
      <c r="G93" s="294">
        <v>1998</v>
      </c>
      <c r="H93" s="295" t="s">
        <v>45</v>
      </c>
      <c r="I93" s="294">
        <v>61900000</v>
      </c>
      <c r="P93" s="295" t="s">
        <v>576</v>
      </c>
      <c r="R93" s="500">
        <v>0</v>
      </c>
      <c r="S93" s="639" t="s">
        <v>1286</v>
      </c>
      <c r="T93" s="640"/>
      <c r="U93" s="640"/>
      <c r="V93" s="640"/>
      <c r="W93" s="640"/>
      <c r="X93" s="640"/>
      <c r="Y93" s="553" t="s">
        <v>360</v>
      </c>
      <c r="Z93" s="527">
        <f>IFERROR(INDEX(잔가map!$C$14:$AR$18,MATCH(차량DB!$Z$5,잔가map!$B$14:$B$18,0),MATCH(차량DB!Y93,잔가map!$C$13:$AR$13,0)),"")</f>
        <v>0.69</v>
      </c>
      <c r="AA93" s="527">
        <f>IFERROR(INDEX(잔가map!$C$14:$AR$18,MATCH(차량DB!$AA$5,잔가map!$B$14:$B$18,0),MATCH(차량DB!Y93,잔가map!$C$13:$AR$13,0)),"")</f>
        <v>0.61</v>
      </c>
      <c r="AB93" s="527">
        <f>IFERROR(INDEX(잔가map!$C$14:$AR$18,MATCH(차량DB!$AB$5,잔가map!$B$14:$B$18,0),MATCH(차량DB!Y93,잔가map!$C$13:$AR$13,0)),"")</f>
        <v>0.51999999999999991</v>
      </c>
      <c r="AC93" s="527">
        <f>IFERROR(INDEX(잔가map!$C$14:$AR$18,MATCH(차량DB!$AC$5,잔가map!$B$14:$B$18,0),MATCH(차량DB!Y93,잔가map!$C$13:$AR$13,0)),"")</f>
        <v>0.44</v>
      </c>
      <c r="AD93" s="527">
        <f>IFERROR(INDEX(잔가map!$C$14:$AR$18,MATCH(차량DB!$AD$5,잔가map!$B$14:$B$18,0),MATCH(차량DB!Y93,잔가map!$C$13:$AR$13,0)),"")</f>
        <v>0.38</v>
      </c>
      <c r="AE93" s="643"/>
      <c r="AF93" s="644"/>
      <c r="AG93" s="644"/>
      <c r="AH93" s="644"/>
      <c r="AI93" s="644"/>
      <c r="AJ93" s="644"/>
      <c r="AK93" s="547"/>
      <c r="AL93" s="576"/>
    </row>
    <row r="94" spans="5:38" x14ac:dyDescent="0.3">
      <c r="E94" s="293" t="s">
        <v>343</v>
      </c>
      <c r="F94" s="605" t="s">
        <v>703</v>
      </c>
      <c r="G94" s="294">
        <v>1995</v>
      </c>
      <c r="H94" s="295" t="s">
        <v>45</v>
      </c>
      <c r="I94" s="294">
        <v>47200000</v>
      </c>
      <c r="P94" s="295" t="s">
        <v>576</v>
      </c>
      <c r="R94" s="500">
        <v>0</v>
      </c>
      <c r="S94" s="639" t="s">
        <v>1263</v>
      </c>
      <c r="T94" s="640"/>
      <c r="U94" s="640"/>
      <c r="V94" s="640"/>
      <c r="W94" s="640"/>
      <c r="X94" s="640"/>
      <c r="Y94" s="553"/>
      <c r="Z94" s="527" t="str">
        <f>IFERROR(INDEX(잔가map!$C$14:$AR$18,MATCH(차량DB!$Z$5,잔가map!$B$14:$B$18,0),MATCH(차량DB!Y94,잔가map!$C$13:$AR$13,0)),"")</f>
        <v/>
      </c>
      <c r="AA94" s="527" t="str">
        <f>IFERROR(INDEX(잔가map!$C$14:$AR$18,MATCH(차량DB!$AA$5,잔가map!$B$14:$B$18,0),MATCH(차량DB!Y94,잔가map!$C$13:$AR$13,0)),"")</f>
        <v/>
      </c>
      <c r="AB94" s="527" t="str">
        <f>IFERROR(INDEX(잔가map!$C$14:$AR$18,MATCH(차량DB!$AB$5,잔가map!$B$14:$B$18,0),MATCH(차량DB!Y94,잔가map!$C$13:$AR$13,0)),"")</f>
        <v/>
      </c>
      <c r="AC94" s="527" t="str">
        <f>IFERROR(INDEX(잔가map!$C$14:$AR$18,MATCH(차량DB!$AC$5,잔가map!$B$14:$B$18,0),MATCH(차량DB!Y94,잔가map!$C$13:$AR$13,0)),"")</f>
        <v/>
      </c>
      <c r="AD94" s="527" t="str">
        <f>IFERROR(INDEX(잔가map!$C$14:$AR$18,MATCH(차량DB!$AD$5,잔가map!$B$14:$B$18,0),MATCH(차량DB!Y94,잔가map!$C$13:$AR$13,0)),"")</f>
        <v/>
      </c>
      <c r="AE94" s="643"/>
      <c r="AF94" s="644"/>
      <c r="AG94" s="644"/>
      <c r="AH94" s="644"/>
      <c r="AI94" s="644"/>
      <c r="AJ94" s="644"/>
      <c r="AK94" s="547"/>
      <c r="AL94" s="576"/>
    </row>
    <row r="95" spans="5:38" x14ac:dyDescent="0.3">
      <c r="E95" s="293" t="s">
        <v>343</v>
      </c>
      <c r="F95" s="605" t="s">
        <v>704</v>
      </c>
      <c r="G95" s="294">
        <v>1995</v>
      </c>
      <c r="H95" s="295" t="s">
        <v>45</v>
      </c>
      <c r="I95" s="294">
        <v>50300000</v>
      </c>
      <c r="P95" s="295" t="s">
        <v>576</v>
      </c>
      <c r="R95" s="500">
        <v>0</v>
      </c>
      <c r="S95" s="639" t="s">
        <v>1262</v>
      </c>
      <c r="T95" s="640"/>
      <c r="U95" s="640"/>
      <c r="V95" s="640"/>
      <c r="W95" s="640"/>
      <c r="X95" s="640"/>
      <c r="Y95" s="553"/>
      <c r="Z95" s="527" t="str">
        <f>IFERROR(INDEX(잔가map!$C$14:$AR$18,MATCH(차량DB!$Z$5,잔가map!$B$14:$B$18,0),MATCH(차량DB!Y95,잔가map!$C$13:$AR$13,0)),"")</f>
        <v/>
      </c>
      <c r="AA95" s="527" t="str">
        <f>IFERROR(INDEX(잔가map!$C$14:$AR$18,MATCH(차량DB!$AA$5,잔가map!$B$14:$B$18,0),MATCH(차량DB!Y95,잔가map!$C$13:$AR$13,0)),"")</f>
        <v/>
      </c>
      <c r="AB95" s="527" t="str">
        <f>IFERROR(INDEX(잔가map!$C$14:$AR$18,MATCH(차량DB!$AB$5,잔가map!$B$14:$B$18,0),MATCH(차량DB!Y95,잔가map!$C$13:$AR$13,0)),"")</f>
        <v/>
      </c>
      <c r="AC95" s="527" t="str">
        <f>IFERROR(INDEX(잔가map!$C$14:$AR$18,MATCH(차량DB!$AC$5,잔가map!$B$14:$B$18,0),MATCH(차량DB!Y95,잔가map!$C$13:$AR$13,0)),"")</f>
        <v/>
      </c>
      <c r="AD95" s="527" t="str">
        <f>IFERROR(INDEX(잔가map!$C$14:$AR$18,MATCH(차량DB!$AD$5,잔가map!$B$14:$B$18,0),MATCH(차량DB!Y95,잔가map!$C$13:$AR$13,0)),"")</f>
        <v/>
      </c>
      <c r="AE95" s="643"/>
      <c r="AF95" s="644"/>
      <c r="AG95" s="644"/>
      <c r="AH95" s="644"/>
      <c r="AI95" s="644"/>
      <c r="AJ95" s="644"/>
      <c r="AK95" s="547"/>
      <c r="AL95" s="576"/>
    </row>
    <row r="96" spans="5:38" x14ac:dyDescent="0.3">
      <c r="E96" s="293" t="s">
        <v>343</v>
      </c>
      <c r="F96" s="604" t="s">
        <v>780</v>
      </c>
      <c r="G96" s="294">
        <v>1998</v>
      </c>
      <c r="H96" s="295" t="s">
        <v>45</v>
      </c>
      <c r="I96" s="294">
        <v>44000000</v>
      </c>
      <c r="P96" s="295" t="s">
        <v>576</v>
      </c>
      <c r="R96" s="500"/>
      <c r="S96" s="639" t="s">
        <v>1262</v>
      </c>
      <c r="T96" s="640"/>
      <c r="U96" s="640"/>
      <c r="V96" s="640"/>
      <c r="W96" s="640"/>
      <c r="X96" s="640"/>
      <c r="Y96" s="553"/>
      <c r="Z96" s="527" t="str">
        <f>IFERROR(INDEX(잔가map!$C$14:$AR$18,MATCH(차량DB!$Z$5,잔가map!$B$14:$B$18,0),MATCH(차량DB!Y96,잔가map!$C$13:$AR$13,0)),"")</f>
        <v/>
      </c>
      <c r="AA96" s="527" t="str">
        <f>IFERROR(INDEX(잔가map!$C$14:$AR$18,MATCH(차량DB!$AA$5,잔가map!$B$14:$B$18,0),MATCH(차량DB!Y96,잔가map!$C$13:$AR$13,0)),"")</f>
        <v/>
      </c>
      <c r="AB96" s="527" t="str">
        <f>IFERROR(INDEX(잔가map!$C$14:$AR$18,MATCH(차량DB!$AB$5,잔가map!$B$14:$B$18,0),MATCH(차량DB!Y96,잔가map!$C$13:$AR$13,0)),"")</f>
        <v/>
      </c>
      <c r="AC96" s="527" t="str">
        <f>IFERROR(INDEX(잔가map!$C$14:$AR$18,MATCH(차량DB!$AC$5,잔가map!$B$14:$B$18,0),MATCH(차량DB!Y96,잔가map!$C$13:$AR$13,0)),"")</f>
        <v/>
      </c>
      <c r="AD96" s="527" t="str">
        <f>IFERROR(INDEX(잔가map!$C$14:$AR$18,MATCH(차량DB!$AD$5,잔가map!$B$14:$B$18,0),MATCH(차량DB!Y96,잔가map!$C$13:$AR$13,0)),"")</f>
        <v/>
      </c>
      <c r="AE96" s="643"/>
      <c r="AF96" s="644"/>
      <c r="AG96" s="644"/>
      <c r="AH96" s="644"/>
      <c r="AI96" s="644"/>
      <c r="AJ96" s="644"/>
      <c r="AK96" s="547"/>
      <c r="AL96" s="576"/>
    </row>
    <row r="97" spans="5:38" x14ac:dyDescent="0.3">
      <c r="E97" s="293" t="s">
        <v>343</v>
      </c>
      <c r="F97" s="604" t="s">
        <v>781</v>
      </c>
      <c r="G97" s="294">
        <v>1998</v>
      </c>
      <c r="H97" s="295" t="s">
        <v>45</v>
      </c>
      <c r="I97" s="294">
        <v>47600000</v>
      </c>
      <c r="P97" s="295" t="s">
        <v>576</v>
      </c>
      <c r="R97" s="500"/>
      <c r="S97" s="639" t="s">
        <v>1262</v>
      </c>
      <c r="T97" s="640"/>
      <c r="U97" s="640"/>
      <c r="V97" s="640"/>
      <c r="W97" s="640"/>
      <c r="X97" s="640"/>
      <c r="Y97" s="553"/>
      <c r="Z97" s="527" t="str">
        <f>IFERROR(INDEX(잔가map!$C$14:$AR$18,MATCH(차량DB!$Z$5,잔가map!$B$14:$B$18,0),MATCH(차량DB!Y97,잔가map!$C$13:$AR$13,0)),"")</f>
        <v/>
      </c>
      <c r="AA97" s="527" t="str">
        <f>IFERROR(INDEX(잔가map!$C$14:$AR$18,MATCH(차량DB!$AA$5,잔가map!$B$14:$B$18,0),MATCH(차량DB!Y97,잔가map!$C$13:$AR$13,0)),"")</f>
        <v/>
      </c>
      <c r="AB97" s="527" t="str">
        <f>IFERROR(INDEX(잔가map!$C$14:$AR$18,MATCH(차량DB!$AB$5,잔가map!$B$14:$B$18,0),MATCH(차량DB!Y97,잔가map!$C$13:$AR$13,0)),"")</f>
        <v/>
      </c>
      <c r="AC97" s="527" t="str">
        <f>IFERROR(INDEX(잔가map!$C$14:$AR$18,MATCH(차량DB!$AC$5,잔가map!$B$14:$B$18,0),MATCH(차량DB!Y97,잔가map!$C$13:$AR$13,0)),"")</f>
        <v/>
      </c>
      <c r="AD97" s="527" t="str">
        <f>IFERROR(INDEX(잔가map!$C$14:$AR$18,MATCH(차량DB!$AD$5,잔가map!$B$14:$B$18,0),MATCH(차량DB!Y97,잔가map!$C$13:$AR$13,0)),"")</f>
        <v/>
      </c>
      <c r="AE97" s="643"/>
      <c r="AF97" s="644"/>
      <c r="AG97" s="644"/>
      <c r="AH97" s="644"/>
      <c r="AI97" s="644"/>
      <c r="AJ97" s="644"/>
      <c r="AK97" s="547"/>
      <c r="AL97" s="576"/>
    </row>
    <row r="98" spans="5:38" x14ac:dyDescent="0.3">
      <c r="E98" s="293" t="s">
        <v>343</v>
      </c>
      <c r="F98" s="604" t="s">
        <v>782</v>
      </c>
      <c r="G98" s="294">
        <v>1998</v>
      </c>
      <c r="H98" s="295" t="s">
        <v>45</v>
      </c>
      <c r="I98" s="294">
        <v>49300000</v>
      </c>
      <c r="P98" s="295" t="s">
        <v>576</v>
      </c>
      <c r="R98" s="500"/>
      <c r="S98" s="639" t="s">
        <v>1262</v>
      </c>
      <c r="T98" s="640"/>
      <c r="U98" s="640"/>
      <c r="V98" s="640"/>
      <c r="W98" s="640"/>
      <c r="X98" s="640"/>
      <c r="Y98" s="553"/>
      <c r="Z98" s="527" t="str">
        <f>IFERROR(INDEX(잔가map!$C$14:$AR$18,MATCH(차량DB!$Z$5,잔가map!$B$14:$B$18,0),MATCH(차량DB!Y98,잔가map!$C$13:$AR$13,0)),"")</f>
        <v/>
      </c>
      <c r="AA98" s="527" t="str">
        <f>IFERROR(INDEX(잔가map!$C$14:$AR$18,MATCH(차량DB!$AA$5,잔가map!$B$14:$B$18,0),MATCH(차량DB!Y98,잔가map!$C$13:$AR$13,0)),"")</f>
        <v/>
      </c>
      <c r="AB98" s="527" t="str">
        <f>IFERROR(INDEX(잔가map!$C$14:$AR$18,MATCH(차량DB!$AB$5,잔가map!$B$14:$B$18,0),MATCH(차량DB!Y98,잔가map!$C$13:$AR$13,0)),"")</f>
        <v/>
      </c>
      <c r="AC98" s="527" t="str">
        <f>IFERROR(INDEX(잔가map!$C$14:$AR$18,MATCH(차량DB!$AC$5,잔가map!$B$14:$B$18,0),MATCH(차량DB!Y98,잔가map!$C$13:$AR$13,0)),"")</f>
        <v/>
      </c>
      <c r="AD98" s="527" t="str">
        <f>IFERROR(INDEX(잔가map!$C$14:$AR$18,MATCH(차량DB!$AD$5,잔가map!$B$14:$B$18,0),MATCH(차량DB!Y98,잔가map!$C$13:$AR$13,0)),"")</f>
        <v/>
      </c>
      <c r="AE98" s="643"/>
      <c r="AF98" s="644"/>
      <c r="AG98" s="644"/>
      <c r="AH98" s="644"/>
      <c r="AI98" s="644"/>
      <c r="AJ98" s="644"/>
      <c r="AK98" s="547"/>
      <c r="AL98" s="576"/>
    </row>
    <row r="99" spans="5:38" x14ac:dyDescent="0.3">
      <c r="E99" s="293" t="s">
        <v>343</v>
      </c>
      <c r="F99" s="604" t="s">
        <v>705</v>
      </c>
      <c r="G99" s="294">
        <v>1998</v>
      </c>
      <c r="H99" s="295" t="s">
        <v>45</v>
      </c>
      <c r="I99" s="294">
        <v>50900000</v>
      </c>
      <c r="P99" s="295" t="s">
        <v>576</v>
      </c>
      <c r="R99" s="500">
        <v>0</v>
      </c>
      <c r="S99" s="639" t="s">
        <v>1262</v>
      </c>
      <c r="T99" s="640"/>
      <c r="U99" s="640"/>
      <c r="V99" s="640"/>
      <c r="W99" s="640"/>
      <c r="X99" s="640"/>
      <c r="Y99" s="553"/>
      <c r="Z99" s="527" t="str">
        <f>IFERROR(INDEX(잔가map!$C$14:$AR$18,MATCH(차량DB!$Z$5,잔가map!$B$14:$B$18,0),MATCH(차량DB!Y99,잔가map!$C$13:$AR$13,0)),"")</f>
        <v/>
      </c>
      <c r="AA99" s="527" t="str">
        <f>IFERROR(INDEX(잔가map!$C$14:$AR$18,MATCH(차량DB!$AA$5,잔가map!$B$14:$B$18,0),MATCH(차량DB!Y99,잔가map!$C$13:$AR$13,0)),"")</f>
        <v/>
      </c>
      <c r="AB99" s="527" t="str">
        <f>IFERROR(INDEX(잔가map!$C$14:$AR$18,MATCH(차량DB!$AB$5,잔가map!$B$14:$B$18,0),MATCH(차량DB!Y99,잔가map!$C$13:$AR$13,0)),"")</f>
        <v/>
      </c>
      <c r="AC99" s="527" t="str">
        <f>IFERROR(INDEX(잔가map!$C$14:$AR$18,MATCH(차량DB!$AC$5,잔가map!$B$14:$B$18,0),MATCH(차량DB!Y99,잔가map!$C$13:$AR$13,0)),"")</f>
        <v/>
      </c>
      <c r="AD99" s="527" t="str">
        <f>IFERROR(INDEX(잔가map!$C$14:$AR$18,MATCH(차량DB!$AD$5,잔가map!$B$14:$B$18,0),MATCH(차량DB!Y99,잔가map!$C$13:$AR$13,0)),"")</f>
        <v/>
      </c>
      <c r="AE99" s="643"/>
      <c r="AF99" s="644"/>
      <c r="AG99" s="644"/>
      <c r="AH99" s="644"/>
      <c r="AI99" s="644"/>
      <c r="AJ99" s="644"/>
      <c r="AK99" s="547"/>
      <c r="AL99" s="576"/>
    </row>
    <row r="100" spans="5:38" x14ac:dyDescent="0.3">
      <c r="E100" s="293" t="s">
        <v>343</v>
      </c>
      <c r="F100" s="604" t="s">
        <v>783</v>
      </c>
      <c r="G100" s="294">
        <v>1998</v>
      </c>
      <c r="H100" s="295" t="s">
        <v>45</v>
      </c>
      <c r="I100" s="294">
        <v>48200000</v>
      </c>
      <c r="P100" s="295" t="s">
        <v>576</v>
      </c>
      <c r="R100" s="500"/>
      <c r="S100" s="639" t="s">
        <v>1262</v>
      </c>
      <c r="T100" s="640"/>
      <c r="U100" s="640"/>
      <c r="V100" s="640"/>
      <c r="W100" s="640"/>
      <c r="X100" s="640"/>
      <c r="Y100" s="553"/>
      <c r="Z100" s="527" t="str">
        <f>IFERROR(INDEX(잔가map!$C$14:$AR$18,MATCH(차량DB!$Z$5,잔가map!$B$14:$B$18,0),MATCH(차량DB!Y100,잔가map!$C$13:$AR$13,0)),"")</f>
        <v/>
      </c>
      <c r="AA100" s="527" t="str">
        <f>IFERROR(INDEX(잔가map!$C$14:$AR$18,MATCH(차량DB!$AA$5,잔가map!$B$14:$B$18,0),MATCH(차량DB!Y100,잔가map!$C$13:$AR$13,0)),"")</f>
        <v/>
      </c>
      <c r="AB100" s="527" t="str">
        <f>IFERROR(INDEX(잔가map!$C$14:$AR$18,MATCH(차량DB!$AB$5,잔가map!$B$14:$B$18,0),MATCH(차량DB!Y100,잔가map!$C$13:$AR$13,0)),"")</f>
        <v/>
      </c>
      <c r="AC100" s="527" t="str">
        <f>IFERROR(INDEX(잔가map!$C$14:$AR$18,MATCH(차량DB!$AC$5,잔가map!$B$14:$B$18,0),MATCH(차량DB!Y100,잔가map!$C$13:$AR$13,0)),"")</f>
        <v/>
      </c>
      <c r="AD100" s="527" t="str">
        <f>IFERROR(INDEX(잔가map!$C$14:$AR$18,MATCH(차량DB!$AD$5,잔가map!$B$14:$B$18,0),MATCH(차량DB!Y100,잔가map!$C$13:$AR$13,0)),"")</f>
        <v/>
      </c>
      <c r="AE100" s="643"/>
      <c r="AF100" s="644"/>
      <c r="AG100" s="644"/>
      <c r="AH100" s="644"/>
      <c r="AI100" s="644"/>
      <c r="AJ100" s="644"/>
      <c r="AK100" s="547"/>
      <c r="AL100" s="576"/>
    </row>
    <row r="101" spans="5:38" x14ac:dyDescent="0.3">
      <c r="E101" s="293" t="s">
        <v>343</v>
      </c>
      <c r="F101" s="604" t="s">
        <v>803</v>
      </c>
      <c r="G101" s="294">
        <v>1998</v>
      </c>
      <c r="H101" s="295" t="s">
        <v>45</v>
      </c>
      <c r="I101" s="294">
        <v>64500000</v>
      </c>
      <c r="P101" s="295" t="s">
        <v>576</v>
      </c>
      <c r="R101" s="500">
        <v>0</v>
      </c>
      <c r="S101" s="639" t="s">
        <v>1287</v>
      </c>
      <c r="T101" s="640"/>
      <c r="U101" s="640"/>
      <c r="V101" s="640"/>
      <c r="W101" s="640"/>
      <c r="X101" s="640"/>
      <c r="Y101" s="553" t="s">
        <v>360</v>
      </c>
      <c r="Z101" s="527">
        <f>IFERROR(INDEX(잔가map!$C$14:$AR$18,MATCH(차량DB!$Z$5,잔가map!$B$14:$B$18,0),MATCH(차량DB!Y101,잔가map!$C$13:$AR$13,0)),"")</f>
        <v>0.69</v>
      </c>
      <c r="AA101" s="527">
        <f>IFERROR(INDEX(잔가map!$C$14:$AR$18,MATCH(차량DB!$AA$5,잔가map!$B$14:$B$18,0),MATCH(차량DB!Y101,잔가map!$C$13:$AR$13,0)),"")</f>
        <v>0.61</v>
      </c>
      <c r="AB101" s="527">
        <f>IFERROR(INDEX(잔가map!$C$14:$AR$18,MATCH(차량DB!$AB$5,잔가map!$B$14:$B$18,0),MATCH(차량DB!Y101,잔가map!$C$13:$AR$13,0)),"")</f>
        <v>0.51999999999999991</v>
      </c>
      <c r="AC101" s="527">
        <f>IFERROR(INDEX(잔가map!$C$14:$AR$18,MATCH(차량DB!$AC$5,잔가map!$B$14:$B$18,0),MATCH(차량DB!Y101,잔가map!$C$13:$AR$13,0)),"")</f>
        <v>0.44</v>
      </c>
      <c r="AD101" s="527">
        <f>IFERROR(INDEX(잔가map!$C$14:$AR$18,MATCH(차량DB!$AD$5,잔가map!$B$14:$B$18,0),MATCH(차량DB!Y101,잔가map!$C$13:$AR$13,0)),"")</f>
        <v>0.38</v>
      </c>
      <c r="AE101" s="643"/>
      <c r="AF101" s="644"/>
      <c r="AG101" s="644"/>
      <c r="AH101" s="644"/>
      <c r="AI101" s="644"/>
      <c r="AJ101" s="644"/>
      <c r="AK101" s="547"/>
      <c r="AL101" s="576"/>
    </row>
    <row r="102" spans="5:38" x14ac:dyDescent="0.3">
      <c r="E102" s="293" t="s">
        <v>343</v>
      </c>
      <c r="F102" s="604" t="s">
        <v>804</v>
      </c>
      <c r="G102" s="294">
        <v>2998</v>
      </c>
      <c r="H102" s="295" t="s">
        <v>45</v>
      </c>
      <c r="I102" s="294">
        <v>73600000</v>
      </c>
      <c r="P102" s="295" t="s">
        <v>576</v>
      </c>
      <c r="R102" s="500"/>
      <c r="S102" s="639" t="s">
        <v>1288</v>
      </c>
      <c r="T102" s="640"/>
      <c r="U102" s="640"/>
      <c r="V102" s="640"/>
      <c r="W102" s="640"/>
      <c r="X102" s="640"/>
      <c r="Y102" s="553" t="s">
        <v>360</v>
      </c>
      <c r="Z102" s="527">
        <f>IFERROR(INDEX(잔가map!$C$14:$AR$18,MATCH(차량DB!$Z$5,잔가map!$B$14:$B$18,0),MATCH(차량DB!Y102,잔가map!$C$13:$AR$13,0)),"")</f>
        <v>0.69</v>
      </c>
      <c r="AA102" s="527">
        <f>IFERROR(INDEX(잔가map!$C$14:$AR$18,MATCH(차량DB!$AA$5,잔가map!$B$14:$B$18,0),MATCH(차량DB!Y102,잔가map!$C$13:$AR$13,0)),"")</f>
        <v>0.61</v>
      </c>
      <c r="AB102" s="527">
        <f>IFERROR(INDEX(잔가map!$C$14:$AR$18,MATCH(차량DB!$AB$5,잔가map!$B$14:$B$18,0),MATCH(차량DB!Y102,잔가map!$C$13:$AR$13,0)),"")</f>
        <v>0.51999999999999991</v>
      </c>
      <c r="AC102" s="527">
        <f>IFERROR(INDEX(잔가map!$C$14:$AR$18,MATCH(차량DB!$AC$5,잔가map!$B$14:$B$18,0),MATCH(차량DB!Y102,잔가map!$C$13:$AR$13,0)),"")</f>
        <v>0.44</v>
      </c>
      <c r="AD102" s="527">
        <f>IFERROR(INDEX(잔가map!$C$14:$AR$18,MATCH(차량DB!$AD$5,잔가map!$B$14:$B$18,0),MATCH(차량DB!Y102,잔가map!$C$13:$AR$13,0)),"")</f>
        <v>0.38</v>
      </c>
      <c r="AE102" s="643"/>
      <c r="AF102" s="644"/>
      <c r="AG102" s="644"/>
      <c r="AH102" s="644"/>
      <c r="AI102" s="644"/>
      <c r="AJ102" s="644"/>
      <c r="AK102" s="547"/>
      <c r="AL102" s="576"/>
    </row>
    <row r="103" spans="5:38" x14ac:dyDescent="0.3">
      <c r="E103" s="293" t="s">
        <v>343</v>
      </c>
      <c r="F103" s="604" t="s">
        <v>453</v>
      </c>
      <c r="G103" s="294">
        <v>1995</v>
      </c>
      <c r="H103" s="295" t="s">
        <v>45</v>
      </c>
      <c r="I103" s="294">
        <v>61400000</v>
      </c>
      <c r="P103" s="295" t="s">
        <v>576</v>
      </c>
      <c r="R103" s="500">
        <v>0</v>
      </c>
      <c r="S103" s="639" t="s">
        <v>1233</v>
      </c>
      <c r="T103" s="640"/>
      <c r="U103" s="640"/>
      <c r="V103" s="640"/>
      <c r="W103" s="640"/>
      <c r="X103" s="640"/>
      <c r="Y103" s="553" t="s">
        <v>353</v>
      </c>
      <c r="Z103" s="527">
        <f>IFERROR(INDEX(잔가map!$C$14:$AR$18,MATCH(차량DB!$Z$5,잔가map!$B$14:$B$18,0),MATCH(차량DB!Y103,잔가map!$C$13:$AR$13,0)),"")</f>
        <v>0.78</v>
      </c>
      <c r="AA103" s="527">
        <f>IFERROR(INDEX(잔가map!$C$14:$AR$18,MATCH(차량DB!$AA$5,잔가map!$B$14:$B$18,0),MATCH(차량DB!Y103,잔가map!$C$13:$AR$13,0)),"")</f>
        <v>0.70000000000000007</v>
      </c>
      <c r="AB103" s="527">
        <f>IFERROR(INDEX(잔가map!$C$14:$AR$18,MATCH(차량DB!$AB$5,잔가map!$B$14:$B$18,0),MATCH(차량DB!Y103,잔가map!$C$13:$AR$13,0)),"")</f>
        <v>0.61</v>
      </c>
      <c r="AC103" s="527">
        <f>IFERROR(INDEX(잔가map!$C$14:$AR$18,MATCH(차량DB!$AC$5,잔가map!$B$14:$B$18,0),MATCH(차량DB!Y103,잔가map!$C$13:$AR$13,0)),"")</f>
        <v>0.53</v>
      </c>
      <c r="AD103" s="527">
        <f>IFERROR(INDEX(잔가map!$C$14:$AR$18,MATCH(차량DB!$AD$5,잔가map!$B$14:$B$18,0),MATCH(차량DB!Y103,잔가map!$C$13:$AR$13,0)),"")</f>
        <v>0.47000000000000008</v>
      </c>
      <c r="AE103" s="643"/>
      <c r="AF103" s="644"/>
      <c r="AG103" s="644"/>
      <c r="AH103" s="644"/>
      <c r="AI103" s="644"/>
      <c r="AJ103" s="644"/>
      <c r="AK103" s="547"/>
      <c r="AL103" s="576"/>
    </row>
    <row r="104" spans="5:38" x14ac:dyDescent="0.3">
      <c r="E104" s="293" t="s">
        <v>343</v>
      </c>
      <c r="F104" s="604" t="s">
        <v>784</v>
      </c>
      <c r="G104" s="294">
        <v>1995</v>
      </c>
      <c r="H104" s="295" t="s">
        <v>45</v>
      </c>
      <c r="I104" s="294">
        <v>64100000</v>
      </c>
      <c r="P104" s="295" t="s">
        <v>576</v>
      </c>
      <c r="R104" s="500">
        <v>0</v>
      </c>
      <c r="S104" s="639" t="s">
        <v>1241</v>
      </c>
      <c r="T104" s="640"/>
      <c r="U104" s="640"/>
      <c r="V104" s="640"/>
      <c r="W104" s="640"/>
      <c r="X104" s="640"/>
      <c r="Y104" s="553" t="s">
        <v>353</v>
      </c>
      <c r="Z104" s="527">
        <f>IFERROR(INDEX(잔가map!$C$14:$AR$18,MATCH(차량DB!$Z$5,잔가map!$B$14:$B$18,0),MATCH(차량DB!Y104,잔가map!$C$13:$AR$13,0)),"")</f>
        <v>0.78</v>
      </c>
      <c r="AA104" s="527">
        <f>IFERROR(INDEX(잔가map!$C$14:$AR$18,MATCH(차량DB!$AA$5,잔가map!$B$14:$B$18,0),MATCH(차량DB!Y104,잔가map!$C$13:$AR$13,0)),"")</f>
        <v>0.70000000000000007</v>
      </c>
      <c r="AB104" s="527">
        <f>IFERROR(INDEX(잔가map!$C$14:$AR$18,MATCH(차량DB!$AB$5,잔가map!$B$14:$B$18,0),MATCH(차량DB!Y104,잔가map!$C$13:$AR$13,0)),"")</f>
        <v>0.61</v>
      </c>
      <c r="AC104" s="527">
        <f>IFERROR(INDEX(잔가map!$C$14:$AR$18,MATCH(차량DB!$AC$5,잔가map!$B$14:$B$18,0),MATCH(차량DB!Y104,잔가map!$C$13:$AR$13,0)),"")</f>
        <v>0.53</v>
      </c>
      <c r="AD104" s="527">
        <f>IFERROR(INDEX(잔가map!$C$14:$AR$18,MATCH(차량DB!$AD$5,잔가map!$B$14:$B$18,0),MATCH(차량DB!Y104,잔가map!$C$13:$AR$13,0)),"")</f>
        <v>0.47000000000000008</v>
      </c>
      <c r="AE104" s="643"/>
      <c r="AF104" s="644"/>
      <c r="AG104" s="644"/>
      <c r="AH104" s="644"/>
      <c r="AI104" s="644"/>
      <c r="AJ104" s="644"/>
      <c r="AK104" s="547"/>
      <c r="AL104" s="576"/>
    </row>
    <row r="105" spans="5:38" x14ac:dyDescent="0.3">
      <c r="E105" s="293" t="s">
        <v>343</v>
      </c>
      <c r="F105" s="605" t="s">
        <v>454</v>
      </c>
      <c r="G105" s="294">
        <v>1995</v>
      </c>
      <c r="H105" s="295" t="s">
        <v>45</v>
      </c>
      <c r="I105" s="294">
        <v>64400000</v>
      </c>
      <c r="P105" s="295" t="s">
        <v>576</v>
      </c>
      <c r="R105" s="500">
        <v>0</v>
      </c>
      <c r="S105" s="639" t="s">
        <v>1233</v>
      </c>
      <c r="T105" s="640"/>
      <c r="U105" s="640"/>
      <c r="V105" s="640"/>
      <c r="W105" s="640"/>
      <c r="X105" s="640"/>
      <c r="Y105" s="553" t="s">
        <v>353</v>
      </c>
      <c r="Z105" s="527">
        <f>IFERROR(INDEX(잔가map!$C$14:$AR$18,MATCH(차량DB!$Z$5,잔가map!$B$14:$B$18,0),MATCH(차량DB!Y105,잔가map!$C$13:$AR$13,0)),"")</f>
        <v>0.78</v>
      </c>
      <c r="AA105" s="527">
        <f>IFERROR(INDEX(잔가map!$C$14:$AR$18,MATCH(차량DB!$AA$5,잔가map!$B$14:$B$18,0),MATCH(차량DB!Y105,잔가map!$C$13:$AR$13,0)),"")</f>
        <v>0.70000000000000007</v>
      </c>
      <c r="AB105" s="527">
        <f>IFERROR(INDEX(잔가map!$C$14:$AR$18,MATCH(차량DB!$AB$5,잔가map!$B$14:$B$18,0),MATCH(차량DB!Y105,잔가map!$C$13:$AR$13,0)),"")</f>
        <v>0.61</v>
      </c>
      <c r="AC105" s="527">
        <f>IFERROR(INDEX(잔가map!$C$14:$AR$18,MATCH(차량DB!$AC$5,잔가map!$B$14:$B$18,0),MATCH(차량DB!Y105,잔가map!$C$13:$AR$13,0)),"")</f>
        <v>0.53</v>
      </c>
      <c r="AD105" s="527">
        <f>IFERROR(INDEX(잔가map!$C$14:$AR$18,MATCH(차량DB!$AD$5,잔가map!$B$14:$B$18,0),MATCH(차량DB!Y105,잔가map!$C$13:$AR$13,0)),"")</f>
        <v>0.47000000000000008</v>
      </c>
      <c r="AE105" s="643"/>
      <c r="AF105" s="644"/>
      <c r="AG105" s="644"/>
      <c r="AH105" s="644"/>
      <c r="AI105" s="644"/>
      <c r="AJ105" s="644"/>
      <c r="AK105" s="547"/>
      <c r="AL105" s="576"/>
    </row>
    <row r="106" spans="5:38" x14ac:dyDescent="0.3">
      <c r="E106" s="293" t="s">
        <v>343</v>
      </c>
      <c r="F106" s="604" t="s">
        <v>455</v>
      </c>
      <c r="G106" s="294">
        <v>1995</v>
      </c>
      <c r="H106" s="295" t="s">
        <v>45</v>
      </c>
      <c r="I106" s="294">
        <v>67100000</v>
      </c>
      <c r="P106" s="295" t="s">
        <v>576</v>
      </c>
      <c r="R106" s="500">
        <v>0</v>
      </c>
      <c r="S106" s="639" t="s">
        <v>1233</v>
      </c>
      <c r="T106" s="640"/>
      <c r="U106" s="640"/>
      <c r="V106" s="640"/>
      <c r="W106" s="640"/>
      <c r="X106" s="640"/>
      <c r="Y106" s="553" t="s">
        <v>353</v>
      </c>
      <c r="Z106" s="527">
        <f>IFERROR(INDEX(잔가map!$C$14:$AR$18,MATCH(차량DB!$Z$5,잔가map!$B$14:$B$18,0),MATCH(차량DB!Y106,잔가map!$C$13:$AR$13,0)),"")</f>
        <v>0.78</v>
      </c>
      <c r="AA106" s="527">
        <f>IFERROR(INDEX(잔가map!$C$14:$AR$18,MATCH(차량DB!$AA$5,잔가map!$B$14:$B$18,0),MATCH(차량DB!Y106,잔가map!$C$13:$AR$13,0)),"")</f>
        <v>0.70000000000000007</v>
      </c>
      <c r="AB106" s="527">
        <f>IFERROR(INDEX(잔가map!$C$14:$AR$18,MATCH(차량DB!$AB$5,잔가map!$B$14:$B$18,0),MATCH(차량DB!Y106,잔가map!$C$13:$AR$13,0)),"")</f>
        <v>0.61</v>
      </c>
      <c r="AC106" s="527">
        <f>IFERROR(INDEX(잔가map!$C$14:$AR$18,MATCH(차량DB!$AC$5,잔가map!$B$14:$B$18,0),MATCH(차량DB!Y106,잔가map!$C$13:$AR$13,0)),"")</f>
        <v>0.53</v>
      </c>
      <c r="AD106" s="527">
        <f>IFERROR(INDEX(잔가map!$C$14:$AR$18,MATCH(차량DB!$AD$5,잔가map!$B$14:$B$18,0),MATCH(차량DB!Y106,잔가map!$C$13:$AR$13,0)),"")</f>
        <v>0.47000000000000008</v>
      </c>
      <c r="AE106" s="643"/>
      <c r="AF106" s="644"/>
      <c r="AG106" s="644"/>
      <c r="AH106" s="644"/>
      <c r="AI106" s="644"/>
      <c r="AJ106" s="644"/>
      <c r="AK106" s="547"/>
      <c r="AL106" s="576"/>
    </row>
    <row r="107" spans="5:38" x14ac:dyDescent="0.3">
      <c r="E107" s="293" t="s">
        <v>343</v>
      </c>
      <c r="F107" s="605" t="s">
        <v>456</v>
      </c>
      <c r="G107" s="294">
        <v>1998</v>
      </c>
      <c r="H107" s="295" t="s">
        <v>45</v>
      </c>
      <c r="I107" s="294">
        <v>58600000</v>
      </c>
      <c r="P107" s="295" t="s">
        <v>576</v>
      </c>
      <c r="R107" s="500">
        <v>0</v>
      </c>
      <c r="S107" s="639" t="s">
        <v>1233</v>
      </c>
      <c r="T107" s="640"/>
      <c r="U107" s="640"/>
      <c r="V107" s="640"/>
      <c r="W107" s="640"/>
      <c r="X107" s="640"/>
      <c r="Y107" s="553" t="s">
        <v>353</v>
      </c>
      <c r="Z107" s="527">
        <f>IFERROR(INDEX(잔가map!$C$14:$AR$18,MATCH(차량DB!$Z$5,잔가map!$B$14:$B$18,0),MATCH(차량DB!Y107,잔가map!$C$13:$AR$13,0)),"")</f>
        <v>0.78</v>
      </c>
      <c r="AA107" s="527">
        <f>IFERROR(INDEX(잔가map!$C$14:$AR$18,MATCH(차량DB!$AA$5,잔가map!$B$14:$B$18,0),MATCH(차량DB!Y107,잔가map!$C$13:$AR$13,0)),"")</f>
        <v>0.70000000000000007</v>
      </c>
      <c r="AB107" s="527">
        <f>IFERROR(INDEX(잔가map!$C$14:$AR$18,MATCH(차량DB!$AB$5,잔가map!$B$14:$B$18,0),MATCH(차량DB!Y107,잔가map!$C$13:$AR$13,0)),"")</f>
        <v>0.61</v>
      </c>
      <c r="AC107" s="527">
        <f>IFERROR(INDEX(잔가map!$C$14:$AR$18,MATCH(차량DB!$AC$5,잔가map!$B$14:$B$18,0),MATCH(차량DB!Y107,잔가map!$C$13:$AR$13,0)),"")</f>
        <v>0.53</v>
      </c>
      <c r="AD107" s="527">
        <f>IFERROR(INDEX(잔가map!$C$14:$AR$18,MATCH(차량DB!$AD$5,잔가map!$B$14:$B$18,0),MATCH(차량DB!Y107,잔가map!$C$13:$AR$13,0)),"")</f>
        <v>0.47000000000000008</v>
      </c>
      <c r="AE107" s="643"/>
      <c r="AF107" s="644"/>
      <c r="AG107" s="644"/>
      <c r="AH107" s="644"/>
      <c r="AI107" s="644"/>
      <c r="AJ107" s="644"/>
      <c r="AK107" s="547"/>
      <c r="AL107" s="576"/>
    </row>
    <row r="108" spans="5:38" x14ac:dyDescent="0.3">
      <c r="E108" s="293" t="s">
        <v>343</v>
      </c>
      <c r="F108" s="605" t="s">
        <v>457</v>
      </c>
      <c r="G108" s="294">
        <v>1998</v>
      </c>
      <c r="H108" s="295" t="s">
        <v>45</v>
      </c>
      <c r="I108" s="294">
        <v>61800000</v>
      </c>
      <c r="P108" s="295" t="s">
        <v>576</v>
      </c>
      <c r="R108" s="500">
        <v>0</v>
      </c>
      <c r="S108" s="639" t="s">
        <v>1233</v>
      </c>
      <c r="T108" s="640"/>
      <c r="U108" s="640"/>
      <c r="V108" s="640"/>
      <c r="W108" s="640"/>
      <c r="X108" s="640"/>
      <c r="Y108" s="553" t="s">
        <v>353</v>
      </c>
      <c r="Z108" s="527">
        <f>IFERROR(INDEX(잔가map!$C$14:$AR$18,MATCH(차량DB!$Z$5,잔가map!$B$14:$B$18,0),MATCH(차량DB!Y108,잔가map!$C$13:$AR$13,0)),"")</f>
        <v>0.78</v>
      </c>
      <c r="AA108" s="527">
        <f>IFERROR(INDEX(잔가map!$C$14:$AR$18,MATCH(차량DB!$AA$5,잔가map!$B$14:$B$18,0),MATCH(차량DB!Y108,잔가map!$C$13:$AR$13,0)),"")</f>
        <v>0.70000000000000007</v>
      </c>
      <c r="AB108" s="527">
        <f>IFERROR(INDEX(잔가map!$C$14:$AR$18,MATCH(차량DB!$AB$5,잔가map!$B$14:$B$18,0),MATCH(차량DB!Y108,잔가map!$C$13:$AR$13,0)),"")</f>
        <v>0.61</v>
      </c>
      <c r="AC108" s="527">
        <f>IFERROR(INDEX(잔가map!$C$14:$AR$18,MATCH(차량DB!$AC$5,잔가map!$B$14:$B$18,0),MATCH(차량DB!Y108,잔가map!$C$13:$AR$13,0)),"")</f>
        <v>0.53</v>
      </c>
      <c r="AD108" s="527">
        <f>IFERROR(INDEX(잔가map!$C$14:$AR$18,MATCH(차량DB!$AD$5,잔가map!$B$14:$B$18,0),MATCH(차량DB!Y108,잔가map!$C$13:$AR$13,0)),"")</f>
        <v>0.47000000000000008</v>
      </c>
      <c r="AE108" s="643"/>
      <c r="AF108" s="644"/>
      <c r="AG108" s="644"/>
      <c r="AH108" s="644"/>
      <c r="AI108" s="644"/>
      <c r="AJ108" s="644"/>
      <c r="AK108" s="547"/>
      <c r="AL108" s="576"/>
    </row>
    <row r="109" spans="5:38" x14ac:dyDescent="0.3">
      <c r="E109" s="293" t="s">
        <v>343</v>
      </c>
      <c r="F109" s="605" t="s">
        <v>458</v>
      </c>
      <c r="G109" s="294">
        <v>2998</v>
      </c>
      <c r="H109" s="295" t="s">
        <v>45</v>
      </c>
      <c r="I109" s="294">
        <v>82200000</v>
      </c>
      <c r="P109" s="295" t="s">
        <v>576</v>
      </c>
      <c r="R109" s="500">
        <v>0</v>
      </c>
      <c r="S109" s="639" t="s">
        <v>1285</v>
      </c>
      <c r="T109" s="640"/>
      <c r="U109" s="640"/>
      <c r="V109" s="640"/>
      <c r="W109" s="640"/>
      <c r="X109" s="640"/>
      <c r="Y109" s="553" t="s">
        <v>365</v>
      </c>
      <c r="Z109" s="527">
        <f>IFERROR(INDEX(잔가map!$C$14:$AR$18,MATCH(차량DB!$Z$5,잔가map!$B$14:$B$18,0),MATCH(차량DB!Y109,잔가map!$C$13:$AR$13,0)),"")</f>
        <v>0.7</v>
      </c>
      <c r="AA109" s="527">
        <f>IFERROR(INDEX(잔가map!$C$14:$AR$18,MATCH(차량DB!$AA$5,잔가map!$B$14:$B$18,0),MATCH(차량DB!Y109,잔가map!$C$13:$AR$13,0)),"")</f>
        <v>0.62</v>
      </c>
      <c r="AB109" s="527">
        <f>IFERROR(INDEX(잔가map!$C$14:$AR$18,MATCH(차량DB!$AB$5,잔가map!$B$14:$B$18,0),MATCH(차량DB!Y109,잔가map!$C$13:$AR$13,0)),"")</f>
        <v>0.52999999999999992</v>
      </c>
      <c r="AC109" s="527">
        <f>IFERROR(INDEX(잔가map!$C$14:$AR$18,MATCH(차량DB!$AC$5,잔가map!$B$14:$B$18,0),MATCH(차량DB!Y109,잔가map!$C$13:$AR$13,0)),"")</f>
        <v>0.45</v>
      </c>
      <c r="AD109" s="527">
        <f>IFERROR(INDEX(잔가map!$C$14:$AR$18,MATCH(차량DB!$AD$5,잔가map!$B$14:$B$18,0),MATCH(차량DB!Y109,잔가map!$C$13:$AR$13,0)),"")</f>
        <v>0.39</v>
      </c>
      <c r="AE109" s="643"/>
      <c r="AF109" s="644"/>
      <c r="AG109" s="644"/>
      <c r="AH109" s="644"/>
      <c r="AI109" s="644"/>
      <c r="AJ109" s="644"/>
      <c r="AK109" s="547"/>
      <c r="AL109" s="576"/>
    </row>
    <row r="110" spans="5:38" x14ac:dyDescent="0.3">
      <c r="E110" s="293" t="s">
        <v>343</v>
      </c>
      <c r="F110" s="605" t="s">
        <v>806</v>
      </c>
      <c r="G110" s="294">
        <v>2998</v>
      </c>
      <c r="H110" s="295" t="s">
        <v>45</v>
      </c>
      <c r="I110" s="294">
        <v>87800000</v>
      </c>
      <c r="P110" s="295" t="s">
        <v>576</v>
      </c>
      <c r="R110" s="500">
        <v>0</v>
      </c>
      <c r="S110" s="639" t="s">
        <v>1285</v>
      </c>
      <c r="T110" s="640"/>
      <c r="U110" s="640"/>
      <c r="V110" s="640"/>
      <c r="W110" s="640"/>
      <c r="X110" s="640"/>
      <c r="Y110" s="553" t="s">
        <v>360</v>
      </c>
      <c r="Z110" s="527">
        <f>IFERROR(INDEX(잔가map!$C$14:$AR$18,MATCH(차량DB!$Z$5,잔가map!$B$14:$B$18,0),MATCH(차량DB!Y110,잔가map!$C$13:$AR$13,0)),"")</f>
        <v>0.69</v>
      </c>
      <c r="AA110" s="527">
        <f>IFERROR(INDEX(잔가map!$C$14:$AR$18,MATCH(차량DB!$AA$5,잔가map!$B$14:$B$18,0),MATCH(차량DB!Y110,잔가map!$C$13:$AR$13,0)),"")</f>
        <v>0.61</v>
      </c>
      <c r="AB110" s="527">
        <f>IFERROR(INDEX(잔가map!$C$14:$AR$18,MATCH(차량DB!$AB$5,잔가map!$B$14:$B$18,0),MATCH(차량DB!Y110,잔가map!$C$13:$AR$13,0)),"")</f>
        <v>0.51999999999999991</v>
      </c>
      <c r="AC110" s="527">
        <f>IFERROR(INDEX(잔가map!$C$14:$AR$18,MATCH(차량DB!$AC$5,잔가map!$B$14:$B$18,0),MATCH(차량DB!Y110,잔가map!$C$13:$AR$13,0)),"")</f>
        <v>0.44</v>
      </c>
      <c r="AD110" s="527">
        <f>IFERROR(INDEX(잔가map!$C$14:$AR$18,MATCH(차량DB!$AD$5,잔가map!$B$14:$B$18,0),MATCH(차량DB!Y110,잔가map!$C$13:$AR$13,0)),"")</f>
        <v>0.38</v>
      </c>
      <c r="AE110" s="643"/>
      <c r="AF110" s="644"/>
      <c r="AG110" s="644"/>
      <c r="AH110" s="644"/>
      <c r="AI110" s="644"/>
      <c r="AJ110" s="644"/>
      <c r="AK110" s="547"/>
      <c r="AL110" s="576"/>
    </row>
    <row r="111" spans="5:38" x14ac:dyDescent="0.3">
      <c r="E111" s="293" t="s">
        <v>343</v>
      </c>
      <c r="F111" s="604" t="s">
        <v>459</v>
      </c>
      <c r="G111" s="294">
        <v>1998</v>
      </c>
      <c r="H111" s="295" t="s">
        <v>45</v>
      </c>
      <c r="I111" s="294">
        <v>69600000</v>
      </c>
      <c r="P111" s="295" t="s">
        <v>576</v>
      </c>
      <c r="R111" s="500">
        <v>0</v>
      </c>
      <c r="S111" s="639" t="s">
        <v>1233</v>
      </c>
      <c r="T111" s="640"/>
      <c r="U111" s="640"/>
      <c r="V111" s="640"/>
      <c r="W111" s="640"/>
      <c r="X111" s="640"/>
      <c r="Y111" s="553" t="s">
        <v>362</v>
      </c>
      <c r="Z111" s="527">
        <f>IFERROR(INDEX(잔가map!$C$14:$AR$18,MATCH(차량DB!$Z$5,잔가map!$B$14:$B$18,0),MATCH(차량DB!Y111,잔가map!$C$13:$AR$13,0)),"")</f>
        <v>0.71</v>
      </c>
      <c r="AA111" s="527">
        <f>IFERROR(INDEX(잔가map!$C$14:$AR$18,MATCH(차량DB!$AA$5,잔가map!$B$14:$B$18,0),MATCH(차량DB!Y111,잔가map!$C$13:$AR$13,0)),"")</f>
        <v>0.63</v>
      </c>
      <c r="AB111" s="527">
        <f>IFERROR(INDEX(잔가map!$C$14:$AR$18,MATCH(차량DB!$AB$5,잔가map!$B$14:$B$18,0),MATCH(차량DB!Y111,잔가map!$C$13:$AR$13,0)),"")</f>
        <v>0.53999999999999992</v>
      </c>
      <c r="AC111" s="527">
        <f>IFERROR(INDEX(잔가map!$C$14:$AR$18,MATCH(차량DB!$AC$5,잔가map!$B$14:$B$18,0),MATCH(차량DB!Y111,잔가map!$C$13:$AR$13,0)),"")</f>
        <v>0.46</v>
      </c>
      <c r="AD111" s="527">
        <f>IFERROR(INDEX(잔가map!$C$14:$AR$18,MATCH(차량DB!$AD$5,잔가map!$B$14:$B$18,0),MATCH(차량DB!Y111,잔가map!$C$13:$AR$13,0)),"")</f>
        <v>0.4</v>
      </c>
      <c r="AE111" s="643"/>
      <c r="AF111" s="644"/>
      <c r="AG111" s="644"/>
      <c r="AH111" s="644"/>
      <c r="AI111" s="644"/>
      <c r="AJ111" s="644"/>
      <c r="AK111" s="547"/>
      <c r="AL111" s="576"/>
    </row>
    <row r="112" spans="5:38" x14ac:dyDescent="0.3">
      <c r="E112" s="293" t="s">
        <v>343</v>
      </c>
      <c r="F112" s="605" t="s">
        <v>786</v>
      </c>
      <c r="G112" s="294">
        <v>1998</v>
      </c>
      <c r="H112" s="295" t="s">
        <v>45</v>
      </c>
      <c r="I112" s="294">
        <v>61000000</v>
      </c>
      <c r="P112" s="295" t="s">
        <v>576</v>
      </c>
      <c r="R112" s="500">
        <v>0</v>
      </c>
      <c r="S112" s="639" t="s">
        <v>1262</v>
      </c>
      <c r="T112" s="640"/>
      <c r="U112" s="640"/>
      <c r="V112" s="640"/>
      <c r="W112" s="640"/>
      <c r="X112" s="640"/>
      <c r="Y112" s="553" t="s">
        <v>362</v>
      </c>
      <c r="Z112" s="527">
        <f>IFERROR(INDEX(잔가map!$C$14:$AR$18,MATCH(차량DB!$Z$5,잔가map!$B$14:$B$18,0),MATCH(차량DB!Y112,잔가map!$C$13:$AR$13,0)),"")</f>
        <v>0.71</v>
      </c>
      <c r="AA112" s="527">
        <f>IFERROR(INDEX(잔가map!$C$14:$AR$18,MATCH(차량DB!$AA$5,잔가map!$B$14:$B$18,0),MATCH(차량DB!Y112,잔가map!$C$13:$AR$13,0)),"")</f>
        <v>0.63</v>
      </c>
      <c r="AB112" s="527">
        <f>IFERROR(INDEX(잔가map!$C$14:$AR$18,MATCH(차량DB!$AB$5,잔가map!$B$14:$B$18,0),MATCH(차량DB!Y112,잔가map!$C$13:$AR$13,0)),"")</f>
        <v>0.53999999999999992</v>
      </c>
      <c r="AC112" s="527">
        <f>IFERROR(INDEX(잔가map!$C$14:$AR$18,MATCH(차량DB!$AC$5,잔가map!$B$14:$B$18,0),MATCH(차량DB!Y112,잔가map!$C$13:$AR$13,0)),"")</f>
        <v>0.46</v>
      </c>
      <c r="AD112" s="527">
        <f>IFERROR(INDEX(잔가map!$C$14:$AR$18,MATCH(차량DB!$AD$5,잔가map!$B$14:$B$18,0),MATCH(차량DB!Y112,잔가map!$C$13:$AR$13,0)),"")</f>
        <v>0.4</v>
      </c>
      <c r="AE112" s="643"/>
      <c r="AF112" s="644"/>
      <c r="AG112" s="644"/>
      <c r="AH112" s="644"/>
      <c r="AI112" s="644"/>
      <c r="AJ112" s="644"/>
      <c r="AK112" s="547"/>
      <c r="AL112" s="576"/>
    </row>
    <row r="113" spans="1:38" x14ac:dyDescent="0.3">
      <c r="E113" s="293" t="s">
        <v>343</v>
      </c>
      <c r="F113" s="605" t="s">
        <v>787</v>
      </c>
      <c r="G113" s="294">
        <v>1998</v>
      </c>
      <c r="H113" s="295" t="s">
        <v>45</v>
      </c>
      <c r="I113" s="294">
        <v>63800000</v>
      </c>
      <c r="P113" s="295" t="s">
        <v>576</v>
      </c>
      <c r="R113" s="500">
        <v>0</v>
      </c>
      <c r="S113" s="639" t="s">
        <v>1264</v>
      </c>
      <c r="T113" s="640"/>
      <c r="U113" s="640"/>
      <c r="V113" s="640"/>
      <c r="W113" s="640"/>
      <c r="X113" s="640"/>
      <c r="Y113" s="553" t="s">
        <v>362</v>
      </c>
      <c r="Z113" s="527">
        <f>IFERROR(INDEX(잔가map!$C$14:$AR$18,MATCH(차량DB!$Z$5,잔가map!$B$14:$B$18,0),MATCH(차량DB!Y113,잔가map!$C$13:$AR$13,0)),"")</f>
        <v>0.71</v>
      </c>
      <c r="AA113" s="527">
        <f>IFERROR(INDEX(잔가map!$C$14:$AR$18,MATCH(차량DB!$AA$5,잔가map!$B$14:$B$18,0),MATCH(차량DB!Y113,잔가map!$C$13:$AR$13,0)),"")</f>
        <v>0.63</v>
      </c>
      <c r="AB113" s="527">
        <f>IFERROR(INDEX(잔가map!$C$14:$AR$18,MATCH(차량DB!$AB$5,잔가map!$B$14:$B$18,0),MATCH(차량DB!Y113,잔가map!$C$13:$AR$13,0)),"")</f>
        <v>0.53999999999999992</v>
      </c>
      <c r="AC113" s="527">
        <f>IFERROR(INDEX(잔가map!$C$14:$AR$18,MATCH(차량DB!$AC$5,잔가map!$B$14:$B$18,0),MATCH(차량DB!Y113,잔가map!$C$13:$AR$13,0)),"")</f>
        <v>0.46</v>
      </c>
      <c r="AD113" s="527">
        <f>IFERROR(INDEX(잔가map!$C$14:$AR$18,MATCH(차량DB!$AD$5,잔가map!$B$14:$B$18,0),MATCH(차량DB!Y113,잔가map!$C$13:$AR$13,0)),"")</f>
        <v>0.4</v>
      </c>
      <c r="AE113" s="643"/>
      <c r="AF113" s="644"/>
      <c r="AG113" s="644"/>
      <c r="AH113" s="644"/>
      <c r="AI113" s="644"/>
      <c r="AJ113" s="644"/>
      <c r="AK113" s="547"/>
      <c r="AL113" s="576"/>
    </row>
    <row r="114" spans="1:38" x14ac:dyDescent="0.3">
      <c r="E114" s="293" t="s">
        <v>343</v>
      </c>
      <c r="F114" s="604" t="s">
        <v>785</v>
      </c>
      <c r="G114" s="294">
        <v>1995</v>
      </c>
      <c r="H114" s="295" t="s">
        <v>45</v>
      </c>
      <c r="I114" s="294">
        <v>63800000</v>
      </c>
      <c r="P114" s="295" t="s">
        <v>576</v>
      </c>
      <c r="R114" s="500">
        <v>0</v>
      </c>
      <c r="S114" s="639" t="s">
        <v>1262</v>
      </c>
      <c r="T114" s="640"/>
      <c r="U114" s="640"/>
      <c r="V114" s="640"/>
      <c r="W114" s="640"/>
      <c r="X114" s="640"/>
      <c r="Y114" s="553" t="s">
        <v>362</v>
      </c>
      <c r="Z114" s="527">
        <f>IFERROR(INDEX(잔가map!$C$14:$AR$18,MATCH(차량DB!$Z$5,잔가map!$B$14:$B$18,0),MATCH(차량DB!Y114,잔가map!$C$13:$AR$13,0)),"")</f>
        <v>0.71</v>
      </c>
      <c r="AA114" s="527">
        <f>IFERROR(INDEX(잔가map!$C$14:$AR$18,MATCH(차량DB!$AA$5,잔가map!$B$14:$B$18,0),MATCH(차량DB!Y114,잔가map!$C$13:$AR$13,0)),"")</f>
        <v>0.63</v>
      </c>
      <c r="AB114" s="527">
        <f>IFERROR(INDEX(잔가map!$C$14:$AR$18,MATCH(차량DB!$AB$5,잔가map!$B$14:$B$18,0),MATCH(차량DB!Y114,잔가map!$C$13:$AR$13,0)),"")</f>
        <v>0.53999999999999992</v>
      </c>
      <c r="AC114" s="527">
        <f>IFERROR(INDEX(잔가map!$C$14:$AR$18,MATCH(차량DB!$AC$5,잔가map!$B$14:$B$18,0),MATCH(차량DB!Y114,잔가map!$C$13:$AR$13,0)),"")</f>
        <v>0.46</v>
      </c>
      <c r="AD114" s="527">
        <f>IFERROR(INDEX(잔가map!$C$14:$AR$18,MATCH(차량DB!$AD$5,잔가map!$B$14:$B$18,0),MATCH(차량DB!Y114,잔가map!$C$13:$AR$13,0)),"")</f>
        <v>0.4</v>
      </c>
      <c r="AE114" s="643"/>
      <c r="AF114" s="644"/>
      <c r="AG114" s="644"/>
      <c r="AH114" s="644"/>
      <c r="AI114" s="644"/>
      <c r="AJ114" s="644"/>
      <c r="AK114" s="547"/>
      <c r="AL114" s="576"/>
    </row>
    <row r="115" spans="1:38" x14ac:dyDescent="0.3">
      <c r="E115" s="293" t="s">
        <v>343</v>
      </c>
      <c r="F115" s="604" t="s">
        <v>460</v>
      </c>
      <c r="G115" s="294">
        <v>1995</v>
      </c>
      <c r="H115" s="295" t="s">
        <v>45</v>
      </c>
      <c r="I115" s="294">
        <v>66700000</v>
      </c>
      <c r="P115" s="295" t="s">
        <v>576</v>
      </c>
      <c r="R115" s="500">
        <v>0</v>
      </c>
      <c r="S115" s="639" t="s">
        <v>1264</v>
      </c>
      <c r="T115" s="640"/>
      <c r="U115" s="640"/>
      <c r="V115" s="640"/>
      <c r="W115" s="640"/>
      <c r="X115" s="640"/>
      <c r="Y115" s="553" t="s">
        <v>362</v>
      </c>
      <c r="Z115" s="527">
        <f>IFERROR(INDEX(잔가map!$C$14:$AR$18,MATCH(차량DB!$Z$5,잔가map!$B$14:$B$18,0),MATCH(차량DB!Y115,잔가map!$C$13:$AR$13,0)),"")</f>
        <v>0.71</v>
      </c>
      <c r="AA115" s="527">
        <f>IFERROR(INDEX(잔가map!$C$14:$AR$18,MATCH(차량DB!$AA$5,잔가map!$B$14:$B$18,0),MATCH(차량DB!Y115,잔가map!$C$13:$AR$13,0)),"")</f>
        <v>0.63</v>
      </c>
      <c r="AB115" s="527">
        <f>IFERROR(INDEX(잔가map!$C$14:$AR$18,MATCH(차량DB!$AB$5,잔가map!$B$14:$B$18,0),MATCH(차량DB!Y115,잔가map!$C$13:$AR$13,0)),"")</f>
        <v>0.53999999999999992</v>
      </c>
      <c r="AC115" s="527">
        <f>IFERROR(INDEX(잔가map!$C$14:$AR$18,MATCH(차량DB!$AC$5,잔가map!$B$14:$B$18,0),MATCH(차량DB!Y115,잔가map!$C$13:$AR$13,0)),"")</f>
        <v>0.46</v>
      </c>
      <c r="AD115" s="527">
        <f>IFERROR(INDEX(잔가map!$C$14:$AR$18,MATCH(차량DB!$AD$5,잔가map!$B$14:$B$18,0),MATCH(차량DB!Y115,잔가map!$C$13:$AR$13,0)),"")</f>
        <v>0.4</v>
      </c>
      <c r="AE115" s="643"/>
      <c r="AF115" s="644"/>
      <c r="AG115" s="644"/>
      <c r="AH115" s="644"/>
      <c r="AI115" s="644"/>
      <c r="AJ115" s="644"/>
      <c r="AK115" s="547"/>
      <c r="AL115" s="576"/>
    </row>
    <row r="116" spans="1:38" s="494" customFormat="1" x14ac:dyDescent="0.3">
      <c r="A116" s="295"/>
      <c r="B116" s="295"/>
      <c r="C116" s="295"/>
      <c r="D116" s="295"/>
      <c r="E116" s="293" t="s">
        <v>343</v>
      </c>
      <c r="F116" s="604" t="s">
        <v>808</v>
      </c>
      <c r="G116" s="294">
        <v>2998</v>
      </c>
      <c r="H116" s="295" t="s">
        <v>45</v>
      </c>
      <c r="I116" s="294">
        <v>93700000</v>
      </c>
      <c r="J116" s="487"/>
      <c r="K116" s="487"/>
      <c r="L116" s="487"/>
      <c r="M116" s="487"/>
      <c r="N116" s="487"/>
      <c r="O116" s="294"/>
      <c r="P116" s="295" t="s">
        <v>576</v>
      </c>
      <c r="Q116" s="295"/>
      <c r="R116" s="500">
        <v>0</v>
      </c>
      <c r="S116" s="639" t="s">
        <v>1287</v>
      </c>
      <c r="T116" s="640"/>
      <c r="U116" s="640"/>
      <c r="V116" s="640"/>
      <c r="W116" s="640"/>
      <c r="X116" s="640"/>
      <c r="Y116" s="553" t="s">
        <v>360</v>
      </c>
      <c r="Z116" s="527">
        <f>IFERROR(INDEX(잔가map!$C$14:$AR$18,MATCH(차량DB!$Z$5,잔가map!$B$14:$B$18,0),MATCH(차량DB!Y116,잔가map!$C$13:$AR$13,0)),"")</f>
        <v>0.69</v>
      </c>
      <c r="AA116" s="527">
        <f>IFERROR(INDEX(잔가map!$C$14:$AR$18,MATCH(차량DB!$AA$5,잔가map!$B$14:$B$18,0),MATCH(차량DB!Y116,잔가map!$C$13:$AR$13,0)),"")</f>
        <v>0.61</v>
      </c>
      <c r="AB116" s="527">
        <f>IFERROR(INDEX(잔가map!$C$14:$AR$18,MATCH(차량DB!$AB$5,잔가map!$B$14:$B$18,0),MATCH(차량DB!Y116,잔가map!$C$13:$AR$13,0)),"")</f>
        <v>0.51999999999999991</v>
      </c>
      <c r="AC116" s="527">
        <f>IFERROR(INDEX(잔가map!$C$14:$AR$18,MATCH(차량DB!$AC$5,잔가map!$B$14:$B$18,0),MATCH(차량DB!Y116,잔가map!$C$13:$AR$13,0)),"")</f>
        <v>0.44</v>
      </c>
      <c r="AD116" s="527">
        <f>IFERROR(INDEX(잔가map!$C$14:$AR$18,MATCH(차량DB!$AD$5,잔가map!$B$14:$B$18,0),MATCH(차량DB!Y116,잔가map!$C$13:$AR$13,0)),"")</f>
        <v>0.38</v>
      </c>
      <c r="AE116" s="643"/>
      <c r="AF116" s="644"/>
      <c r="AG116" s="644"/>
      <c r="AH116" s="644"/>
      <c r="AI116" s="644"/>
      <c r="AJ116" s="644"/>
      <c r="AK116" s="547"/>
      <c r="AL116" s="576"/>
    </row>
    <row r="117" spans="1:38" s="494" customFormat="1" x14ac:dyDescent="0.3">
      <c r="A117" s="295"/>
      <c r="B117" s="295"/>
      <c r="C117" s="295"/>
      <c r="D117" s="295"/>
      <c r="E117" s="293" t="s">
        <v>343</v>
      </c>
      <c r="F117" s="604" t="s">
        <v>807</v>
      </c>
      <c r="G117" s="294">
        <v>2998</v>
      </c>
      <c r="H117" s="295" t="s">
        <v>45</v>
      </c>
      <c r="I117" s="294">
        <v>100700000</v>
      </c>
      <c r="J117" s="487"/>
      <c r="K117" s="487"/>
      <c r="L117" s="487"/>
      <c r="M117" s="487"/>
      <c r="N117" s="487"/>
      <c r="O117" s="294"/>
      <c r="P117" s="295" t="s">
        <v>576</v>
      </c>
      <c r="Q117" s="295"/>
      <c r="R117" s="500">
        <v>0</v>
      </c>
      <c r="S117" s="639" t="s">
        <v>1287</v>
      </c>
      <c r="T117" s="640"/>
      <c r="U117" s="640"/>
      <c r="V117" s="640"/>
      <c r="W117" s="640"/>
      <c r="X117" s="640"/>
      <c r="Y117" s="553" t="s">
        <v>360</v>
      </c>
      <c r="Z117" s="527">
        <f>IFERROR(INDEX(잔가map!$C$14:$AR$18,MATCH(차량DB!$Z$5,잔가map!$B$14:$B$18,0),MATCH(차량DB!Y117,잔가map!$C$13:$AR$13,0)),"")</f>
        <v>0.69</v>
      </c>
      <c r="AA117" s="527">
        <f>IFERROR(INDEX(잔가map!$C$14:$AR$18,MATCH(차량DB!$AA$5,잔가map!$B$14:$B$18,0),MATCH(차량DB!Y117,잔가map!$C$13:$AR$13,0)),"")</f>
        <v>0.61</v>
      </c>
      <c r="AB117" s="527">
        <f>IFERROR(INDEX(잔가map!$C$14:$AR$18,MATCH(차량DB!$AB$5,잔가map!$B$14:$B$18,0),MATCH(차량DB!Y117,잔가map!$C$13:$AR$13,0)),"")</f>
        <v>0.51999999999999991</v>
      </c>
      <c r="AC117" s="527">
        <f>IFERROR(INDEX(잔가map!$C$14:$AR$18,MATCH(차량DB!$AC$5,잔가map!$B$14:$B$18,0),MATCH(차량DB!Y117,잔가map!$C$13:$AR$13,0)),"")</f>
        <v>0.44</v>
      </c>
      <c r="AD117" s="527">
        <f>IFERROR(INDEX(잔가map!$C$14:$AR$18,MATCH(차량DB!$AD$5,잔가map!$B$14:$B$18,0),MATCH(차량DB!Y117,잔가map!$C$13:$AR$13,0)),"")</f>
        <v>0.38</v>
      </c>
      <c r="AE117" s="643"/>
      <c r="AF117" s="644"/>
      <c r="AG117" s="644"/>
      <c r="AH117" s="644"/>
      <c r="AI117" s="644"/>
      <c r="AJ117" s="644"/>
      <c r="AK117" s="547"/>
      <c r="AL117" s="576"/>
    </row>
    <row r="118" spans="1:38" x14ac:dyDescent="0.3">
      <c r="E118" s="293" t="s">
        <v>343</v>
      </c>
      <c r="F118" s="604" t="s">
        <v>461</v>
      </c>
      <c r="G118" s="294">
        <v>1995</v>
      </c>
      <c r="H118" s="295" t="s">
        <v>45</v>
      </c>
      <c r="I118" s="294">
        <v>62300000</v>
      </c>
      <c r="P118" s="295" t="s">
        <v>576</v>
      </c>
      <c r="R118" s="500">
        <v>0</v>
      </c>
      <c r="S118" s="639" t="s">
        <v>1242</v>
      </c>
      <c r="T118" s="640"/>
      <c r="U118" s="640"/>
      <c r="V118" s="640"/>
      <c r="W118" s="640"/>
      <c r="X118" s="640"/>
      <c r="Y118" s="553" t="s">
        <v>353</v>
      </c>
      <c r="Z118" s="527">
        <f>IFERROR(INDEX(잔가map!$C$14:$AR$18,MATCH(차량DB!$Z$5,잔가map!$B$14:$B$18,0),MATCH(차량DB!Y118,잔가map!$C$13:$AR$13,0)),"")</f>
        <v>0.78</v>
      </c>
      <c r="AA118" s="527">
        <f>IFERROR(INDEX(잔가map!$C$14:$AR$18,MATCH(차량DB!$AA$5,잔가map!$B$14:$B$18,0),MATCH(차량DB!Y118,잔가map!$C$13:$AR$13,0)),"")</f>
        <v>0.70000000000000007</v>
      </c>
      <c r="AB118" s="527">
        <f>IFERROR(INDEX(잔가map!$C$14:$AR$18,MATCH(차량DB!$AB$5,잔가map!$B$14:$B$18,0),MATCH(차량DB!Y118,잔가map!$C$13:$AR$13,0)),"")</f>
        <v>0.61</v>
      </c>
      <c r="AC118" s="527">
        <f>IFERROR(INDEX(잔가map!$C$14:$AR$18,MATCH(차량DB!$AC$5,잔가map!$B$14:$B$18,0),MATCH(차량DB!Y118,잔가map!$C$13:$AR$13,0)),"")</f>
        <v>0.53</v>
      </c>
      <c r="AD118" s="527">
        <f>IFERROR(INDEX(잔가map!$C$14:$AR$18,MATCH(차량DB!$AD$5,잔가map!$B$14:$B$18,0),MATCH(차량DB!Y118,잔가map!$C$13:$AR$13,0)),"")</f>
        <v>0.47000000000000008</v>
      </c>
      <c r="AE118" s="643"/>
      <c r="AF118" s="644"/>
      <c r="AG118" s="644"/>
      <c r="AH118" s="644"/>
      <c r="AI118" s="644"/>
      <c r="AJ118" s="644"/>
      <c r="AK118" s="547"/>
      <c r="AL118" s="576"/>
    </row>
    <row r="119" spans="1:38" x14ac:dyDescent="0.3">
      <c r="E119" s="293" t="s">
        <v>343</v>
      </c>
      <c r="F119" s="604" t="s">
        <v>788</v>
      </c>
      <c r="G119" s="294">
        <v>1995</v>
      </c>
      <c r="H119" s="295" t="s">
        <v>45</v>
      </c>
      <c r="I119" s="294">
        <v>64300000</v>
      </c>
      <c r="P119" s="295" t="s">
        <v>576</v>
      </c>
      <c r="R119" s="500"/>
      <c r="S119" s="639" t="s">
        <v>1233</v>
      </c>
      <c r="T119" s="640"/>
      <c r="U119" s="640"/>
      <c r="V119" s="640"/>
      <c r="W119" s="640"/>
      <c r="X119" s="640"/>
      <c r="Y119" s="553" t="s">
        <v>353</v>
      </c>
      <c r="Z119" s="527">
        <f>IFERROR(INDEX(잔가map!$C$14:$AR$18,MATCH(차량DB!$Z$5,잔가map!$B$14:$B$18,0),MATCH(차량DB!Y119,잔가map!$C$13:$AR$13,0)),"")</f>
        <v>0.78</v>
      </c>
      <c r="AA119" s="527">
        <f>IFERROR(INDEX(잔가map!$C$14:$AR$18,MATCH(차량DB!$AA$5,잔가map!$B$14:$B$18,0),MATCH(차량DB!Y119,잔가map!$C$13:$AR$13,0)),"")</f>
        <v>0.70000000000000007</v>
      </c>
      <c r="AB119" s="527">
        <f>IFERROR(INDEX(잔가map!$C$14:$AR$18,MATCH(차량DB!$AB$5,잔가map!$B$14:$B$18,0),MATCH(차량DB!Y119,잔가map!$C$13:$AR$13,0)),"")</f>
        <v>0.61</v>
      </c>
      <c r="AC119" s="527">
        <f>IFERROR(INDEX(잔가map!$C$14:$AR$18,MATCH(차량DB!$AC$5,잔가map!$B$14:$B$18,0),MATCH(차량DB!Y119,잔가map!$C$13:$AR$13,0)),"")</f>
        <v>0.53</v>
      </c>
      <c r="AD119" s="527">
        <f>IFERROR(INDEX(잔가map!$C$14:$AR$18,MATCH(차량DB!$AD$5,잔가map!$B$14:$B$18,0),MATCH(차량DB!Y119,잔가map!$C$13:$AR$13,0)),"")</f>
        <v>0.47000000000000008</v>
      </c>
      <c r="AE119" s="643"/>
      <c r="AF119" s="644"/>
      <c r="AG119" s="644"/>
      <c r="AH119" s="644"/>
      <c r="AI119" s="644"/>
      <c r="AJ119" s="644"/>
      <c r="AK119" s="547"/>
      <c r="AL119" s="576"/>
    </row>
    <row r="120" spans="1:38" x14ac:dyDescent="0.3">
      <c r="E120" s="293" t="s">
        <v>343</v>
      </c>
      <c r="F120" s="604" t="s">
        <v>789</v>
      </c>
      <c r="G120" s="294">
        <v>1995</v>
      </c>
      <c r="H120" s="295" t="s">
        <v>45</v>
      </c>
      <c r="I120" s="294">
        <v>67000000</v>
      </c>
      <c r="P120" s="295" t="s">
        <v>576</v>
      </c>
      <c r="R120" s="500"/>
      <c r="S120" s="639" t="s">
        <v>1233</v>
      </c>
      <c r="T120" s="640"/>
      <c r="U120" s="640"/>
      <c r="V120" s="640"/>
      <c r="W120" s="640"/>
      <c r="X120" s="640"/>
      <c r="Y120" s="553" t="s">
        <v>353</v>
      </c>
      <c r="Z120" s="527">
        <f>IFERROR(INDEX(잔가map!$C$14:$AR$18,MATCH(차량DB!$Z$5,잔가map!$B$14:$B$18,0),MATCH(차량DB!Y120,잔가map!$C$13:$AR$13,0)),"")</f>
        <v>0.78</v>
      </c>
      <c r="AA120" s="527">
        <f>IFERROR(INDEX(잔가map!$C$14:$AR$18,MATCH(차량DB!$AA$5,잔가map!$B$14:$B$18,0),MATCH(차량DB!Y120,잔가map!$C$13:$AR$13,0)),"")</f>
        <v>0.70000000000000007</v>
      </c>
      <c r="AB120" s="527">
        <f>IFERROR(INDEX(잔가map!$C$14:$AR$18,MATCH(차량DB!$AB$5,잔가map!$B$14:$B$18,0),MATCH(차량DB!Y120,잔가map!$C$13:$AR$13,0)),"")</f>
        <v>0.61</v>
      </c>
      <c r="AC120" s="527">
        <f>IFERROR(INDEX(잔가map!$C$14:$AR$18,MATCH(차량DB!$AC$5,잔가map!$B$14:$B$18,0),MATCH(차량DB!Y120,잔가map!$C$13:$AR$13,0)),"")</f>
        <v>0.53</v>
      </c>
      <c r="AD120" s="527">
        <f>IFERROR(INDEX(잔가map!$C$14:$AR$18,MATCH(차량DB!$AD$5,잔가map!$B$14:$B$18,0),MATCH(차량DB!Y120,잔가map!$C$13:$AR$13,0)),"")</f>
        <v>0.47000000000000008</v>
      </c>
      <c r="AE120" s="643"/>
      <c r="AF120" s="644"/>
      <c r="AG120" s="644"/>
      <c r="AH120" s="644"/>
      <c r="AI120" s="644"/>
      <c r="AJ120" s="644"/>
      <c r="AK120" s="547"/>
      <c r="AL120" s="576"/>
    </row>
    <row r="121" spans="1:38" x14ac:dyDescent="0.3">
      <c r="E121" s="293" t="s">
        <v>343</v>
      </c>
      <c r="F121" s="604" t="s">
        <v>462</v>
      </c>
      <c r="G121" s="294">
        <v>1998</v>
      </c>
      <c r="H121" s="295" t="s">
        <v>45</v>
      </c>
      <c r="I121" s="294">
        <v>73200000</v>
      </c>
      <c r="P121" s="295" t="s">
        <v>576</v>
      </c>
      <c r="R121" s="500">
        <v>0</v>
      </c>
      <c r="S121" s="639" t="s">
        <v>1241</v>
      </c>
      <c r="T121" s="640"/>
      <c r="U121" s="640"/>
      <c r="V121" s="640"/>
      <c r="W121" s="640"/>
      <c r="X121" s="640"/>
      <c r="Y121" s="553" t="s">
        <v>353</v>
      </c>
      <c r="Z121" s="527">
        <f>IFERROR(INDEX(잔가map!$C$14:$AR$18,MATCH(차량DB!$Z$5,잔가map!$B$14:$B$18,0),MATCH(차량DB!Y121,잔가map!$C$13:$AR$13,0)),"")</f>
        <v>0.78</v>
      </c>
      <c r="AA121" s="527">
        <f>IFERROR(INDEX(잔가map!$C$14:$AR$18,MATCH(차량DB!$AA$5,잔가map!$B$14:$B$18,0),MATCH(차량DB!Y121,잔가map!$C$13:$AR$13,0)),"")</f>
        <v>0.70000000000000007</v>
      </c>
      <c r="AB121" s="527">
        <f>IFERROR(INDEX(잔가map!$C$14:$AR$18,MATCH(차량DB!$AB$5,잔가map!$B$14:$B$18,0),MATCH(차량DB!Y121,잔가map!$C$13:$AR$13,0)),"")</f>
        <v>0.61</v>
      </c>
      <c r="AC121" s="527">
        <f>IFERROR(INDEX(잔가map!$C$14:$AR$18,MATCH(차량DB!$AC$5,잔가map!$B$14:$B$18,0),MATCH(차량DB!Y121,잔가map!$C$13:$AR$13,0)),"")</f>
        <v>0.53</v>
      </c>
      <c r="AD121" s="527">
        <f>IFERROR(INDEX(잔가map!$C$14:$AR$18,MATCH(차량DB!$AD$5,잔가map!$B$14:$B$18,0),MATCH(차량DB!Y121,잔가map!$C$13:$AR$13,0)),"")</f>
        <v>0.47000000000000008</v>
      </c>
      <c r="AE121" s="643"/>
      <c r="AF121" s="644"/>
      <c r="AG121" s="644"/>
      <c r="AH121" s="644"/>
      <c r="AI121" s="644"/>
      <c r="AJ121" s="644"/>
      <c r="AK121" s="547"/>
      <c r="AL121" s="576"/>
    </row>
    <row r="122" spans="1:38" x14ac:dyDescent="0.3">
      <c r="E122" s="293" t="s">
        <v>343</v>
      </c>
      <c r="F122" s="604" t="s">
        <v>790</v>
      </c>
      <c r="G122" s="294">
        <v>1998</v>
      </c>
      <c r="H122" s="295" t="s">
        <v>45</v>
      </c>
      <c r="I122" s="294">
        <v>74800000</v>
      </c>
      <c r="P122" s="295" t="s">
        <v>576</v>
      </c>
      <c r="R122" s="500"/>
      <c r="S122" s="639" t="s">
        <v>1237</v>
      </c>
      <c r="T122" s="640"/>
      <c r="U122" s="640"/>
      <c r="V122" s="640"/>
      <c r="W122" s="640"/>
      <c r="X122" s="640"/>
      <c r="Y122" s="553" t="s">
        <v>353</v>
      </c>
      <c r="Z122" s="527">
        <f>IFERROR(INDEX(잔가map!$C$14:$AR$18,MATCH(차량DB!$Z$5,잔가map!$B$14:$B$18,0),MATCH(차량DB!Y122,잔가map!$C$13:$AR$13,0)),"")</f>
        <v>0.78</v>
      </c>
      <c r="AA122" s="527">
        <f>IFERROR(INDEX(잔가map!$C$14:$AR$18,MATCH(차량DB!$AA$5,잔가map!$B$14:$B$18,0),MATCH(차량DB!Y122,잔가map!$C$13:$AR$13,0)),"")</f>
        <v>0.70000000000000007</v>
      </c>
      <c r="AB122" s="527">
        <f>IFERROR(INDEX(잔가map!$C$14:$AR$18,MATCH(차량DB!$AB$5,잔가map!$B$14:$B$18,0),MATCH(차량DB!Y122,잔가map!$C$13:$AR$13,0)),"")</f>
        <v>0.61</v>
      </c>
      <c r="AC122" s="527">
        <f>IFERROR(INDEX(잔가map!$C$14:$AR$18,MATCH(차량DB!$AC$5,잔가map!$B$14:$B$18,0),MATCH(차량DB!Y122,잔가map!$C$13:$AR$13,0)),"")</f>
        <v>0.53</v>
      </c>
      <c r="AD122" s="527">
        <f>IFERROR(INDEX(잔가map!$C$14:$AR$18,MATCH(차량DB!$AD$5,잔가map!$B$14:$B$18,0),MATCH(차량DB!Y122,잔가map!$C$13:$AR$13,0)),"")</f>
        <v>0.47000000000000008</v>
      </c>
      <c r="AE122" s="643"/>
      <c r="AF122" s="644"/>
      <c r="AG122" s="644"/>
      <c r="AH122" s="644"/>
      <c r="AI122" s="644"/>
      <c r="AJ122" s="644"/>
      <c r="AK122" s="547"/>
      <c r="AL122" s="576"/>
    </row>
    <row r="123" spans="1:38" x14ac:dyDescent="0.3">
      <c r="E123" s="293" t="s">
        <v>343</v>
      </c>
      <c r="F123" s="604" t="s">
        <v>791</v>
      </c>
      <c r="G123" s="294">
        <v>1998</v>
      </c>
      <c r="H123" s="295" t="s">
        <v>45</v>
      </c>
      <c r="I123" s="294">
        <v>62200000</v>
      </c>
      <c r="P123" s="295" t="s">
        <v>576</v>
      </c>
      <c r="R123" s="500"/>
      <c r="S123" s="639" t="s">
        <v>1233</v>
      </c>
      <c r="T123" s="640"/>
      <c r="U123" s="640"/>
      <c r="V123" s="640"/>
      <c r="W123" s="640"/>
      <c r="X123" s="640"/>
      <c r="Y123" s="553" t="s">
        <v>353</v>
      </c>
      <c r="Z123" s="527">
        <f>IFERROR(INDEX(잔가map!$C$14:$AR$18,MATCH(차량DB!$Z$5,잔가map!$B$14:$B$18,0),MATCH(차량DB!Y123,잔가map!$C$13:$AR$13,0)),"")</f>
        <v>0.78</v>
      </c>
      <c r="AA123" s="527">
        <f>IFERROR(INDEX(잔가map!$C$14:$AR$18,MATCH(차량DB!$AA$5,잔가map!$B$14:$B$18,0),MATCH(차량DB!Y123,잔가map!$C$13:$AR$13,0)),"")</f>
        <v>0.70000000000000007</v>
      </c>
      <c r="AB123" s="527">
        <f>IFERROR(INDEX(잔가map!$C$14:$AR$18,MATCH(차량DB!$AB$5,잔가map!$B$14:$B$18,0),MATCH(차량DB!Y123,잔가map!$C$13:$AR$13,0)),"")</f>
        <v>0.61</v>
      </c>
      <c r="AC123" s="527">
        <f>IFERROR(INDEX(잔가map!$C$14:$AR$18,MATCH(차량DB!$AC$5,잔가map!$B$14:$B$18,0),MATCH(차량DB!Y123,잔가map!$C$13:$AR$13,0)),"")</f>
        <v>0.53</v>
      </c>
      <c r="AD123" s="527">
        <f>IFERROR(INDEX(잔가map!$C$14:$AR$18,MATCH(차량DB!$AD$5,잔가map!$B$14:$B$18,0),MATCH(차량DB!Y123,잔가map!$C$13:$AR$13,0)),"")</f>
        <v>0.47000000000000008</v>
      </c>
      <c r="AE123" s="643"/>
      <c r="AF123" s="644"/>
      <c r="AG123" s="644"/>
      <c r="AH123" s="644"/>
      <c r="AI123" s="644"/>
      <c r="AJ123" s="644"/>
      <c r="AK123" s="547"/>
      <c r="AL123" s="576"/>
    </row>
    <row r="124" spans="1:38" x14ac:dyDescent="0.3">
      <c r="E124" s="293" t="s">
        <v>343</v>
      </c>
      <c r="F124" s="604" t="s">
        <v>792</v>
      </c>
      <c r="G124" s="294">
        <v>1998</v>
      </c>
      <c r="H124" s="295" t="s">
        <v>45</v>
      </c>
      <c r="I124" s="294">
        <v>64800000</v>
      </c>
      <c r="P124" s="295" t="s">
        <v>576</v>
      </c>
      <c r="R124" s="500"/>
      <c r="S124" s="639" t="s">
        <v>1237</v>
      </c>
      <c r="T124" s="640"/>
      <c r="U124" s="640"/>
      <c r="V124" s="640"/>
      <c r="W124" s="640"/>
      <c r="X124" s="640"/>
      <c r="Y124" s="553" t="s">
        <v>353</v>
      </c>
      <c r="Z124" s="527">
        <f>IFERROR(INDEX(잔가map!$C$14:$AR$18,MATCH(차량DB!$Z$5,잔가map!$B$14:$B$18,0),MATCH(차량DB!Y124,잔가map!$C$13:$AR$13,0)),"")</f>
        <v>0.78</v>
      </c>
      <c r="AA124" s="527">
        <f>IFERROR(INDEX(잔가map!$C$14:$AR$18,MATCH(차량DB!$AA$5,잔가map!$B$14:$B$18,0),MATCH(차량DB!Y124,잔가map!$C$13:$AR$13,0)),"")</f>
        <v>0.70000000000000007</v>
      </c>
      <c r="AB124" s="527">
        <f>IFERROR(INDEX(잔가map!$C$14:$AR$18,MATCH(차량DB!$AB$5,잔가map!$B$14:$B$18,0),MATCH(차량DB!Y124,잔가map!$C$13:$AR$13,0)),"")</f>
        <v>0.61</v>
      </c>
      <c r="AC124" s="527">
        <f>IFERROR(INDEX(잔가map!$C$14:$AR$18,MATCH(차량DB!$AC$5,잔가map!$B$14:$B$18,0),MATCH(차량DB!Y124,잔가map!$C$13:$AR$13,0)),"")</f>
        <v>0.53</v>
      </c>
      <c r="AD124" s="527">
        <f>IFERROR(INDEX(잔가map!$C$14:$AR$18,MATCH(차량DB!$AD$5,잔가map!$B$14:$B$18,0),MATCH(차량DB!Y124,잔가map!$C$13:$AR$13,0)),"")</f>
        <v>0.47000000000000008</v>
      </c>
      <c r="AE124" s="643"/>
      <c r="AF124" s="644"/>
      <c r="AG124" s="644"/>
      <c r="AH124" s="644"/>
      <c r="AI124" s="644"/>
      <c r="AJ124" s="644"/>
      <c r="AK124" s="547"/>
      <c r="AL124" s="576"/>
    </row>
    <row r="125" spans="1:38" x14ac:dyDescent="0.3">
      <c r="E125" s="293" t="s">
        <v>343</v>
      </c>
      <c r="F125" s="604" t="s">
        <v>599</v>
      </c>
      <c r="G125" s="294">
        <v>1998</v>
      </c>
      <c r="H125" s="295" t="s">
        <v>45</v>
      </c>
      <c r="I125" s="294">
        <v>69500000</v>
      </c>
      <c r="P125" s="295" t="s">
        <v>576</v>
      </c>
      <c r="R125" s="500">
        <v>0</v>
      </c>
      <c r="S125" s="639" t="s">
        <v>1209</v>
      </c>
      <c r="T125" s="640">
        <f>INDEX(잔가map!$C$3:$AB$7,MATCH(차량DB!$T$5,잔가map!$B$3:$B$7,0),MATCH(차량DB!S125,잔가map!$C$2:$AB$2,0))</f>
        <v>0.79999999999999993</v>
      </c>
      <c r="U125" s="640">
        <f>INDEX(잔가map!$C$3:$AB$7,MATCH(차량DB!$U$5,잔가map!$B$3:$B$7,0),MATCH(차량DB!S125,잔가map!$C$2:$AB$2,0))</f>
        <v>0.72</v>
      </c>
      <c r="V125" s="640">
        <f>INDEX(잔가map!$C$3:$AB$7,MATCH(차량DB!$V$5,잔가map!$B$3:$B$7,0),MATCH(차량DB!S125,잔가map!$C$2:$AB$2,0))</f>
        <v>0.63</v>
      </c>
      <c r="W125" s="640">
        <f>INDEX(잔가map!$C$3:$AB$7,MATCH(차량DB!$W$5,잔가map!$B$3:$B$7,0),MATCH(차량DB!S125,잔가map!$C$2:$AB$2,0))</f>
        <v>0.54999999999999993</v>
      </c>
      <c r="X125" s="640">
        <f>INDEX(잔가map!$C$3:$AB$7,MATCH(차량DB!$X$5,잔가map!$B$3:$B$7,0),MATCH(차량DB!S125,잔가map!$C$2:$AB$2,0))</f>
        <v>0.49</v>
      </c>
      <c r="Y125" s="553" t="s">
        <v>1331</v>
      </c>
      <c r="Z125" s="527">
        <f>IFERROR(INDEX(잔가map!$C$14:$AR$18,MATCH(차량DB!$Z$5,잔가map!$B$14:$B$18,0),MATCH(차량DB!Y125,잔가map!$C$13:$AR$13,0)),"")</f>
        <v>0.80500000000000005</v>
      </c>
      <c r="AA125" s="527">
        <f>IFERROR(INDEX(잔가map!$C$14:$AR$18,MATCH(차량DB!$AA$5,잔가map!$B$14:$B$18,0),MATCH(차량DB!Y125,잔가map!$C$13:$AR$13,0)),"")</f>
        <v>0.72499999999999998</v>
      </c>
      <c r="AB125" s="527">
        <f>IFERROR(INDEX(잔가map!$C$14:$AR$18,MATCH(차량DB!$AB$5,잔가map!$B$14:$B$18,0),MATCH(차량DB!Y125,잔가map!$C$13:$AR$13,0)),"")</f>
        <v>0.63500000000000001</v>
      </c>
      <c r="AC125" s="527">
        <f>IFERROR(INDEX(잔가map!$C$14:$AR$18,MATCH(차량DB!$AC$5,잔가map!$B$14:$B$18,0),MATCH(차량DB!Y125,잔가map!$C$13:$AR$13,0)),"")</f>
        <v>0.55500000000000005</v>
      </c>
      <c r="AD125" s="527">
        <f>IFERROR(INDEX(잔가map!$C$14:$AR$18,MATCH(차량DB!$AD$5,잔가map!$B$14:$B$18,0),MATCH(차량DB!Y125,잔가map!$C$13:$AR$13,0)),"")</f>
        <v>0.495</v>
      </c>
      <c r="AE125" s="643"/>
      <c r="AF125" s="644"/>
      <c r="AG125" s="644"/>
      <c r="AH125" s="644"/>
      <c r="AI125" s="644"/>
      <c r="AJ125" s="644"/>
      <c r="AK125" s="547"/>
      <c r="AL125" s="576"/>
    </row>
    <row r="126" spans="1:38" x14ac:dyDescent="0.3">
      <c r="E126" s="293" t="s">
        <v>343</v>
      </c>
      <c r="F126" s="604" t="s">
        <v>600</v>
      </c>
      <c r="G126" s="294">
        <v>1998</v>
      </c>
      <c r="H126" s="295" t="s">
        <v>45</v>
      </c>
      <c r="I126" s="294">
        <v>74000000</v>
      </c>
      <c r="P126" s="295" t="s">
        <v>576</v>
      </c>
      <c r="R126" s="500">
        <v>0</v>
      </c>
      <c r="S126" s="639" t="s">
        <v>1209</v>
      </c>
      <c r="T126" s="640">
        <f>INDEX(잔가map!$C$3:$AB$7,MATCH(차량DB!$T$5,잔가map!$B$3:$B$7,0),MATCH(차량DB!S126,잔가map!$C$2:$AB$2,0))</f>
        <v>0.79999999999999993</v>
      </c>
      <c r="U126" s="640">
        <f>INDEX(잔가map!$C$3:$AB$7,MATCH(차량DB!$U$5,잔가map!$B$3:$B$7,0),MATCH(차량DB!S126,잔가map!$C$2:$AB$2,0))</f>
        <v>0.72</v>
      </c>
      <c r="V126" s="640">
        <f>INDEX(잔가map!$C$3:$AB$7,MATCH(차량DB!$V$5,잔가map!$B$3:$B$7,0),MATCH(차량DB!S126,잔가map!$C$2:$AB$2,0))</f>
        <v>0.63</v>
      </c>
      <c r="W126" s="640">
        <f>INDEX(잔가map!$C$3:$AB$7,MATCH(차량DB!$W$5,잔가map!$B$3:$B$7,0),MATCH(차량DB!S126,잔가map!$C$2:$AB$2,0))</f>
        <v>0.54999999999999993</v>
      </c>
      <c r="X126" s="640">
        <f>INDEX(잔가map!$C$3:$AB$7,MATCH(차량DB!$X$5,잔가map!$B$3:$B$7,0),MATCH(차량DB!S126,잔가map!$C$2:$AB$2,0))</f>
        <v>0.49</v>
      </c>
      <c r="Y126" s="553" t="s">
        <v>1331</v>
      </c>
      <c r="Z126" s="527">
        <f>IFERROR(INDEX(잔가map!$C$14:$AR$18,MATCH(차량DB!$Z$5,잔가map!$B$14:$B$18,0),MATCH(차량DB!Y126,잔가map!$C$13:$AR$13,0)),"")</f>
        <v>0.80500000000000005</v>
      </c>
      <c r="AA126" s="527">
        <f>IFERROR(INDEX(잔가map!$C$14:$AR$18,MATCH(차량DB!$AA$5,잔가map!$B$14:$B$18,0),MATCH(차량DB!Y126,잔가map!$C$13:$AR$13,0)),"")</f>
        <v>0.72499999999999998</v>
      </c>
      <c r="AB126" s="527">
        <f>IFERROR(INDEX(잔가map!$C$14:$AR$18,MATCH(차량DB!$AB$5,잔가map!$B$14:$B$18,0),MATCH(차량DB!Y126,잔가map!$C$13:$AR$13,0)),"")</f>
        <v>0.63500000000000001</v>
      </c>
      <c r="AC126" s="527">
        <f>IFERROR(INDEX(잔가map!$C$14:$AR$18,MATCH(차량DB!$AC$5,잔가map!$B$14:$B$18,0),MATCH(차량DB!Y126,잔가map!$C$13:$AR$13,0)),"")</f>
        <v>0.55500000000000005</v>
      </c>
      <c r="AD126" s="527">
        <f>IFERROR(INDEX(잔가map!$C$14:$AR$18,MATCH(차량DB!$AD$5,잔가map!$B$14:$B$18,0),MATCH(차량DB!Y126,잔가map!$C$13:$AR$13,0)),"")</f>
        <v>0.495</v>
      </c>
      <c r="AE126" s="643"/>
      <c r="AF126" s="644"/>
      <c r="AG126" s="644"/>
      <c r="AH126" s="644"/>
      <c r="AI126" s="644"/>
      <c r="AJ126" s="644"/>
      <c r="AK126" s="547"/>
      <c r="AL126" s="576"/>
    </row>
    <row r="127" spans="1:38" x14ac:dyDescent="0.3">
      <c r="E127" s="293" t="s">
        <v>343</v>
      </c>
      <c r="F127" s="605" t="s">
        <v>1144</v>
      </c>
      <c r="G127" s="294">
        <v>1998</v>
      </c>
      <c r="H127" s="295" t="s">
        <v>45</v>
      </c>
      <c r="I127" s="294">
        <v>84200000</v>
      </c>
      <c r="P127" s="295" t="s">
        <v>576</v>
      </c>
      <c r="R127" s="500">
        <v>0</v>
      </c>
      <c r="S127" s="639" t="s">
        <v>1209</v>
      </c>
      <c r="T127" s="640">
        <f>INDEX(잔가map!$C$3:$AB$7,MATCH(차량DB!$T$5,잔가map!$B$3:$B$7,0),MATCH(차량DB!S127,잔가map!$C$2:$AB$2,0))</f>
        <v>0.79999999999999993</v>
      </c>
      <c r="U127" s="640">
        <f>INDEX(잔가map!$C$3:$AB$7,MATCH(차량DB!$U$5,잔가map!$B$3:$B$7,0),MATCH(차량DB!S127,잔가map!$C$2:$AB$2,0))</f>
        <v>0.72</v>
      </c>
      <c r="V127" s="640">
        <f>INDEX(잔가map!$C$3:$AB$7,MATCH(차량DB!$V$5,잔가map!$B$3:$B$7,0),MATCH(차량DB!S127,잔가map!$C$2:$AB$2,0))</f>
        <v>0.63</v>
      </c>
      <c r="W127" s="640">
        <f>INDEX(잔가map!$C$3:$AB$7,MATCH(차량DB!$W$5,잔가map!$B$3:$B$7,0),MATCH(차량DB!S127,잔가map!$C$2:$AB$2,0))</f>
        <v>0.54999999999999993</v>
      </c>
      <c r="X127" s="640">
        <f>INDEX(잔가map!$C$3:$AB$7,MATCH(차량DB!$X$5,잔가map!$B$3:$B$7,0),MATCH(차량DB!S127,잔가map!$C$2:$AB$2,0))</f>
        <v>0.49</v>
      </c>
      <c r="Y127" s="553" t="s">
        <v>1331</v>
      </c>
      <c r="Z127" s="527">
        <f>IFERROR(INDEX(잔가map!$C$14:$AR$18,MATCH(차량DB!$Z$5,잔가map!$B$14:$B$18,0),MATCH(차량DB!Y127,잔가map!$C$13:$AR$13,0)),"")</f>
        <v>0.80500000000000005</v>
      </c>
      <c r="AA127" s="527">
        <f>IFERROR(INDEX(잔가map!$C$14:$AR$18,MATCH(차량DB!$AA$5,잔가map!$B$14:$B$18,0),MATCH(차량DB!Y127,잔가map!$C$13:$AR$13,0)),"")</f>
        <v>0.72499999999999998</v>
      </c>
      <c r="AB127" s="527">
        <f>IFERROR(INDEX(잔가map!$C$14:$AR$18,MATCH(차량DB!$AB$5,잔가map!$B$14:$B$18,0),MATCH(차량DB!Y127,잔가map!$C$13:$AR$13,0)),"")</f>
        <v>0.63500000000000001</v>
      </c>
      <c r="AC127" s="527">
        <f>IFERROR(INDEX(잔가map!$C$14:$AR$18,MATCH(차량DB!$AC$5,잔가map!$B$14:$B$18,0),MATCH(차량DB!Y127,잔가map!$C$13:$AR$13,0)),"")</f>
        <v>0.55500000000000005</v>
      </c>
      <c r="AD127" s="527">
        <f>IFERROR(INDEX(잔가map!$C$14:$AR$18,MATCH(차량DB!$AD$5,잔가map!$B$14:$B$18,0),MATCH(차량DB!Y127,잔가map!$C$13:$AR$13,0)),"")</f>
        <v>0.495</v>
      </c>
      <c r="AE127" s="643"/>
      <c r="AF127" s="644"/>
      <c r="AG127" s="644"/>
      <c r="AH127" s="644"/>
      <c r="AI127" s="644"/>
      <c r="AJ127" s="644"/>
      <c r="AK127" s="547"/>
      <c r="AL127" s="576"/>
    </row>
    <row r="128" spans="1:38" x14ac:dyDescent="0.3">
      <c r="E128" s="293" t="s">
        <v>343</v>
      </c>
      <c r="F128" s="605" t="s">
        <v>601</v>
      </c>
      <c r="G128" s="294">
        <v>1998</v>
      </c>
      <c r="H128" s="295" t="s">
        <v>45</v>
      </c>
      <c r="I128" s="294">
        <v>92500000</v>
      </c>
      <c r="P128" s="295" t="s">
        <v>576</v>
      </c>
      <c r="R128" s="500">
        <v>0</v>
      </c>
      <c r="S128" s="639" t="s">
        <v>1209</v>
      </c>
      <c r="T128" s="640">
        <f>INDEX(잔가map!$C$3:$AB$7,MATCH(차량DB!$T$5,잔가map!$B$3:$B$7,0),MATCH(차량DB!S128,잔가map!$C$2:$AB$2,0))</f>
        <v>0.79999999999999993</v>
      </c>
      <c r="U128" s="640">
        <f>INDEX(잔가map!$C$3:$AB$7,MATCH(차량DB!$U$5,잔가map!$B$3:$B$7,0),MATCH(차량DB!S128,잔가map!$C$2:$AB$2,0))</f>
        <v>0.72</v>
      </c>
      <c r="V128" s="640">
        <f>INDEX(잔가map!$C$3:$AB$7,MATCH(차량DB!$V$5,잔가map!$B$3:$B$7,0),MATCH(차량DB!S128,잔가map!$C$2:$AB$2,0))</f>
        <v>0.63</v>
      </c>
      <c r="W128" s="640">
        <f>INDEX(잔가map!$C$3:$AB$7,MATCH(차량DB!$W$5,잔가map!$B$3:$B$7,0),MATCH(차량DB!S128,잔가map!$C$2:$AB$2,0))</f>
        <v>0.54999999999999993</v>
      </c>
      <c r="X128" s="640">
        <f>INDEX(잔가map!$C$3:$AB$7,MATCH(차량DB!$X$5,잔가map!$B$3:$B$7,0),MATCH(차량DB!S128,잔가map!$C$2:$AB$2,0))</f>
        <v>0.49</v>
      </c>
      <c r="Y128" s="553" t="s">
        <v>1331</v>
      </c>
      <c r="Z128" s="527">
        <f>IFERROR(INDEX(잔가map!$C$14:$AR$18,MATCH(차량DB!$Z$5,잔가map!$B$14:$B$18,0),MATCH(차량DB!Y128,잔가map!$C$13:$AR$13,0)),"")</f>
        <v>0.80500000000000005</v>
      </c>
      <c r="AA128" s="527">
        <f>IFERROR(INDEX(잔가map!$C$14:$AR$18,MATCH(차량DB!$AA$5,잔가map!$B$14:$B$18,0),MATCH(차량DB!Y128,잔가map!$C$13:$AR$13,0)),"")</f>
        <v>0.72499999999999998</v>
      </c>
      <c r="AB128" s="527">
        <f>IFERROR(INDEX(잔가map!$C$14:$AR$18,MATCH(차량DB!$AB$5,잔가map!$B$14:$B$18,0),MATCH(차량DB!Y128,잔가map!$C$13:$AR$13,0)),"")</f>
        <v>0.63500000000000001</v>
      </c>
      <c r="AC128" s="527">
        <f>IFERROR(INDEX(잔가map!$C$14:$AR$18,MATCH(차량DB!$AC$5,잔가map!$B$14:$B$18,0),MATCH(차량DB!Y128,잔가map!$C$13:$AR$13,0)),"")</f>
        <v>0.55500000000000005</v>
      </c>
      <c r="AD128" s="527">
        <f>IFERROR(INDEX(잔가map!$C$14:$AR$18,MATCH(차량DB!$AD$5,잔가map!$B$14:$B$18,0),MATCH(차량DB!Y128,잔가map!$C$13:$AR$13,0)),"")</f>
        <v>0.495</v>
      </c>
      <c r="AE128" s="643"/>
      <c r="AF128" s="644"/>
      <c r="AG128" s="644"/>
      <c r="AH128" s="644"/>
      <c r="AI128" s="644"/>
      <c r="AJ128" s="644"/>
      <c r="AK128" s="547"/>
      <c r="AL128" s="576"/>
    </row>
    <row r="129" spans="5:38" x14ac:dyDescent="0.3">
      <c r="E129" s="293" t="s">
        <v>343</v>
      </c>
      <c r="F129" s="605" t="s">
        <v>602</v>
      </c>
      <c r="G129" s="294">
        <v>4395</v>
      </c>
      <c r="H129" s="295" t="s">
        <v>45</v>
      </c>
      <c r="I129" s="294">
        <v>124600000</v>
      </c>
      <c r="P129" s="295" t="s">
        <v>576</v>
      </c>
      <c r="R129" s="500">
        <v>0</v>
      </c>
      <c r="S129" s="639" t="s">
        <v>1284</v>
      </c>
      <c r="T129" s="640"/>
      <c r="U129" s="640"/>
      <c r="V129" s="640"/>
      <c r="W129" s="640"/>
      <c r="X129" s="640"/>
      <c r="Y129" s="553"/>
      <c r="Z129" s="527" t="str">
        <f>IFERROR(INDEX(잔가map!$C$14:$AR$18,MATCH(차량DB!$Z$5,잔가map!$B$14:$B$18,0),MATCH(차량DB!Y129,잔가map!$C$13:$AR$13,0)),"")</f>
        <v/>
      </c>
      <c r="AA129" s="527" t="str">
        <f>IFERROR(INDEX(잔가map!$C$14:$AR$18,MATCH(차량DB!$AA$5,잔가map!$B$14:$B$18,0),MATCH(차량DB!Y129,잔가map!$C$13:$AR$13,0)),"")</f>
        <v/>
      </c>
      <c r="AB129" s="527" t="str">
        <f>IFERROR(INDEX(잔가map!$C$14:$AR$18,MATCH(차량DB!$AB$5,잔가map!$B$14:$B$18,0),MATCH(차량DB!Y129,잔가map!$C$13:$AR$13,0)),"")</f>
        <v/>
      </c>
      <c r="AC129" s="527" t="str">
        <f>IFERROR(INDEX(잔가map!$C$14:$AR$18,MATCH(차량DB!$AC$5,잔가map!$B$14:$B$18,0),MATCH(차량DB!Y129,잔가map!$C$13:$AR$13,0)),"")</f>
        <v/>
      </c>
      <c r="AD129" s="527" t="str">
        <f>IFERROR(INDEX(잔가map!$C$14:$AR$18,MATCH(차량DB!$AD$5,잔가map!$B$14:$B$18,0),MATCH(차량DB!Y129,잔가map!$C$13:$AR$13,0)),"")</f>
        <v/>
      </c>
      <c r="AE129" s="643"/>
      <c r="AF129" s="644"/>
      <c r="AG129" s="644"/>
      <c r="AH129" s="644"/>
      <c r="AI129" s="644"/>
      <c r="AJ129" s="644"/>
      <c r="AK129" s="547"/>
      <c r="AL129" s="576"/>
    </row>
    <row r="130" spans="5:38" x14ac:dyDescent="0.3">
      <c r="E130" s="293" t="s">
        <v>343</v>
      </c>
      <c r="F130" s="605" t="s">
        <v>1145</v>
      </c>
      <c r="G130" s="294">
        <v>1995</v>
      </c>
      <c r="H130" s="295" t="s">
        <v>45</v>
      </c>
      <c r="I130" s="294">
        <v>76500000</v>
      </c>
      <c r="P130" s="295" t="s">
        <v>576</v>
      </c>
      <c r="R130" s="500">
        <v>0</v>
      </c>
      <c r="S130" s="639" t="s">
        <v>1210</v>
      </c>
      <c r="T130" s="640">
        <f>INDEX(잔가map!$C$3:$AB$7,MATCH(차량DB!$T$5,잔가map!$B$3:$B$7,0),MATCH(차량DB!S130,잔가map!$C$2:$AB$2,0))</f>
        <v>0.79999999999999993</v>
      </c>
      <c r="U130" s="640">
        <f>INDEX(잔가map!$C$3:$AB$7,MATCH(차량DB!$U$5,잔가map!$B$3:$B$7,0),MATCH(차량DB!S130,잔가map!$C$2:$AB$2,0))</f>
        <v>0.72</v>
      </c>
      <c r="V130" s="640">
        <f>INDEX(잔가map!$C$3:$AB$7,MATCH(차량DB!$V$5,잔가map!$B$3:$B$7,0),MATCH(차량DB!S130,잔가map!$C$2:$AB$2,0))</f>
        <v>0.63</v>
      </c>
      <c r="W130" s="640">
        <f>INDEX(잔가map!$C$3:$AB$7,MATCH(차량DB!$W$5,잔가map!$B$3:$B$7,0),MATCH(차량DB!S130,잔가map!$C$2:$AB$2,0))</f>
        <v>0.54999999999999993</v>
      </c>
      <c r="X130" s="640">
        <f>INDEX(잔가map!$C$3:$AB$7,MATCH(차량DB!$X$5,잔가map!$B$3:$B$7,0),MATCH(차량DB!S130,잔가map!$C$2:$AB$2,0))</f>
        <v>0.49</v>
      </c>
      <c r="Y130" s="553" t="s">
        <v>1331</v>
      </c>
      <c r="Z130" s="527">
        <f>IFERROR(INDEX(잔가map!$C$14:$AR$18,MATCH(차량DB!$Z$5,잔가map!$B$14:$B$18,0),MATCH(차량DB!Y130,잔가map!$C$13:$AR$13,0)),"")</f>
        <v>0.80500000000000005</v>
      </c>
      <c r="AA130" s="527">
        <f>IFERROR(INDEX(잔가map!$C$14:$AR$18,MATCH(차량DB!$AA$5,잔가map!$B$14:$B$18,0),MATCH(차량DB!Y130,잔가map!$C$13:$AR$13,0)),"")</f>
        <v>0.72499999999999998</v>
      </c>
      <c r="AB130" s="527">
        <f>IFERROR(INDEX(잔가map!$C$14:$AR$18,MATCH(차량DB!$AB$5,잔가map!$B$14:$B$18,0),MATCH(차량DB!Y130,잔가map!$C$13:$AR$13,0)),"")</f>
        <v>0.63500000000000001</v>
      </c>
      <c r="AC130" s="527">
        <f>IFERROR(INDEX(잔가map!$C$14:$AR$18,MATCH(차량DB!$AC$5,잔가map!$B$14:$B$18,0),MATCH(차량DB!Y130,잔가map!$C$13:$AR$13,0)),"")</f>
        <v>0.55500000000000005</v>
      </c>
      <c r="AD130" s="527">
        <f>IFERROR(INDEX(잔가map!$C$14:$AR$18,MATCH(차량DB!$AD$5,잔가map!$B$14:$B$18,0),MATCH(차량DB!Y130,잔가map!$C$13:$AR$13,0)),"")</f>
        <v>0.495</v>
      </c>
      <c r="AE130" s="643"/>
      <c r="AF130" s="644"/>
      <c r="AG130" s="644"/>
      <c r="AH130" s="644"/>
      <c r="AI130" s="644"/>
      <c r="AJ130" s="644"/>
      <c r="AK130" s="547"/>
      <c r="AL130" s="576"/>
    </row>
    <row r="131" spans="5:38" x14ac:dyDescent="0.3">
      <c r="E131" s="293" t="s">
        <v>343</v>
      </c>
      <c r="F131" s="605" t="s">
        <v>603</v>
      </c>
      <c r="G131" s="294">
        <v>1995</v>
      </c>
      <c r="H131" s="295" t="s">
        <v>45</v>
      </c>
      <c r="I131" s="294">
        <v>81000000</v>
      </c>
      <c r="P131" s="295" t="s">
        <v>576</v>
      </c>
      <c r="R131" s="500">
        <v>0</v>
      </c>
      <c r="S131" s="639" t="s">
        <v>1209</v>
      </c>
      <c r="T131" s="640">
        <f>INDEX(잔가map!$C$3:$AB$7,MATCH(차량DB!$T$5,잔가map!$B$3:$B$7,0),MATCH(차량DB!S131,잔가map!$C$2:$AB$2,0))</f>
        <v>0.79999999999999993</v>
      </c>
      <c r="U131" s="640">
        <f>INDEX(잔가map!$C$3:$AB$7,MATCH(차량DB!$U$5,잔가map!$B$3:$B$7,0),MATCH(차량DB!S131,잔가map!$C$2:$AB$2,0))</f>
        <v>0.72</v>
      </c>
      <c r="V131" s="640">
        <f>INDEX(잔가map!$C$3:$AB$7,MATCH(차량DB!$V$5,잔가map!$B$3:$B$7,0),MATCH(차량DB!S131,잔가map!$C$2:$AB$2,0))</f>
        <v>0.63</v>
      </c>
      <c r="W131" s="640">
        <f>INDEX(잔가map!$C$3:$AB$7,MATCH(차량DB!$W$5,잔가map!$B$3:$B$7,0),MATCH(차량DB!S131,잔가map!$C$2:$AB$2,0))</f>
        <v>0.54999999999999993</v>
      </c>
      <c r="X131" s="640">
        <f>INDEX(잔가map!$C$3:$AB$7,MATCH(차량DB!$X$5,잔가map!$B$3:$B$7,0),MATCH(차량DB!S131,잔가map!$C$2:$AB$2,0))</f>
        <v>0.49</v>
      </c>
      <c r="Y131" s="553" t="s">
        <v>1331</v>
      </c>
      <c r="Z131" s="527">
        <f>IFERROR(INDEX(잔가map!$C$14:$AR$18,MATCH(차량DB!$Z$5,잔가map!$B$14:$B$18,0),MATCH(차량DB!Y131,잔가map!$C$13:$AR$13,0)),"")</f>
        <v>0.80500000000000005</v>
      </c>
      <c r="AA131" s="527">
        <f>IFERROR(INDEX(잔가map!$C$14:$AR$18,MATCH(차량DB!$AA$5,잔가map!$B$14:$B$18,0),MATCH(차량DB!Y131,잔가map!$C$13:$AR$13,0)),"")</f>
        <v>0.72499999999999998</v>
      </c>
      <c r="AB131" s="527">
        <f>IFERROR(INDEX(잔가map!$C$14:$AR$18,MATCH(차량DB!$AB$5,잔가map!$B$14:$B$18,0),MATCH(차량DB!Y131,잔가map!$C$13:$AR$13,0)),"")</f>
        <v>0.63500000000000001</v>
      </c>
      <c r="AC131" s="527">
        <f>IFERROR(INDEX(잔가map!$C$14:$AR$18,MATCH(차량DB!$AC$5,잔가map!$B$14:$B$18,0),MATCH(차량DB!Y131,잔가map!$C$13:$AR$13,0)),"")</f>
        <v>0.55500000000000005</v>
      </c>
      <c r="AD131" s="527">
        <f>IFERROR(INDEX(잔가map!$C$14:$AR$18,MATCH(차량DB!$AD$5,잔가map!$B$14:$B$18,0),MATCH(차량DB!Y131,잔가map!$C$13:$AR$13,0)),"")</f>
        <v>0.495</v>
      </c>
      <c r="AE131" s="643"/>
      <c r="AF131" s="644"/>
      <c r="AG131" s="644"/>
      <c r="AH131" s="644"/>
      <c r="AI131" s="644"/>
      <c r="AJ131" s="644"/>
      <c r="AK131" s="547"/>
      <c r="AL131" s="576"/>
    </row>
    <row r="132" spans="5:38" x14ac:dyDescent="0.3">
      <c r="E132" s="293" t="s">
        <v>343</v>
      </c>
      <c r="F132" s="605" t="s">
        <v>1147</v>
      </c>
      <c r="G132" s="294">
        <v>1995</v>
      </c>
      <c r="H132" s="295" t="s">
        <v>45</v>
      </c>
      <c r="I132" s="294">
        <v>79500000</v>
      </c>
      <c r="P132" s="295" t="s">
        <v>576</v>
      </c>
      <c r="R132" s="500">
        <v>0</v>
      </c>
      <c r="S132" s="639" t="s">
        <v>1211</v>
      </c>
      <c r="T132" s="640">
        <f>INDEX(잔가map!$C$3:$AB$7,MATCH(차량DB!$T$5,잔가map!$B$3:$B$7,0),MATCH(차량DB!S132,잔가map!$C$2:$AB$2,0))</f>
        <v>0.79999999999999993</v>
      </c>
      <c r="U132" s="640">
        <f>INDEX(잔가map!$C$3:$AB$7,MATCH(차량DB!$U$5,잔가map!$B$3:$B$7,0),MATCH(차량DB!S132,잔가map!$C$2:$AB$2,0))</f>
        <v>0.72</v>
      </c>
      <c r="V132" s="640">
        <f>INDEX(잔가map!$C$3:$AB$7,MATCH(차량DB!$V$5,잔가map!$B$3:$B$7,0),MATCH(차량DB!S132,잔가map!$C$2:$AB$2,0))</f>
        <v>0.63</v>
      </c>
      <c r="W132" s="640">
        <f>INDEX(잔가map!$C$3:$AB$7,MATCH(차량DB!$W$5,잔가map!$B$3:$B$7,0),MATCH(차량DB!S132,잔가map!$C$2:$AB$2,0))</f>
        <v>0.54999999999999993</v>
      </c>
      <c r="X132" s="640">
        <f>INDEX(잔가map!$C$3:$AB$7,MATCH(차량DB!$X$5,잔가map!$B$3:$B$7,0),MATCH(차량DB!S132,잔가map!$C$2:$AB$2,0))</f>
        <v>0.49</v>
      </c>
      <c r="Y132" s="553" t="s">
        <v>1331</v>
      </c>
      <c r="Z132" s="527">
        <f>IFERROR(INDEX(잔가map!$C$14:$AR$18,MATCH(차량DB!$Z$5,잔가map!$B$14:$B$18,0),MATCH(차량DB!Y132,잔가map!$C$13:$AR$13,0)),"")</f>
        <v>0.80500000000000005</v>
      </c>
      <c r="AA132" s="527">
        <f>IFERROR(INDEX(잔가map!$C$14:$AR$18,MATCH(차량DB!$AA$5,잔가map!$B$14:$B$18,0),MATCH(차량DB!Y132,잔가map!$C$13:$AR$13,0)),"")</f>
        <v>0.72499999999999998</v>
      </c>
      <c r="AB132" s="527">
        <f>IFERROR(INDEX(잔가map!$C$14:$AR$18,MATCH(차량DB!$AB$5,잔가map!$B$14:$B$18,0),MATCH(차량DB!Y132,잔가map!$C$13:$AR$13,0)),"")</f>
        <v>0.63500000000000001</v>
      </c>
      <c r="AC132" s="527">
        <f>IFERROR(INDEX(잔가map!$C$14:$AR$18,MATCH(차량DB!$AC$5,잔가map!$B$14:$B$18,0),MATCH(차량DB!Y132,잔가map!$C$13:$AR$13,0)),"")</f>
        <v>0.55500000000000005</v>
      </c>
      <c r="AD132" s="527">
        <f>IFERROR(INDEX(잔가map!$C$14:$AR$18,MATCH(차량DB!$AD$5,잔가map!$B$14:$B$18,0),MATCH(차량DB!Y132,잔가map!$C$13:$AR$13,0)),"")</f>
        <v>0.495</v>
      </c>
      <c r="AE132" s="643"/>
      <c r="AF132" s="644"/>
      <c r="AG132" s="644"/>
      <c r="AH132" s="644"/>
      <c r="AI132" s="644"/>
      <c r="AJ132" s="644"/>
      <c r="AK132" s="547"/>
      <c r="AL132" s="576"/>
    </row>
    <row r="133" spans="5:38" x14ac:dyDescent="0.3">
      <c r="E133" s="293" t="s">
        <v>343</v>
      </c>
      <c r="F133" s="605" t="s">
        <v>604</v>
      </c>
      <c r="G133" s="294">
        <v>1995</v>
      </c>
      <c r="H133" s="295" t="s">
        <v>45</v>
      </c>
      <c r="I133" s="294">
        <v>84000000</v>
      </c>
      <c r="P133" s="295" t="s">
        <v>576</v>
      </c>
      <c r="R133" s="500">
        <v>0</v>
      </c>
      <c r="S133" s="639" t="s">
        <v>1209</v>
      </c>
      <c r="T133" s="640">
        <f>INDEX(잔가map!$C$3:$AB$7,MATCH(차량DB!$T$5,잔가map!$B$3:$B$7,0),MATCH(차량DB!S133,잔가map!$C$2:$AB$2,0))</f>
        <v>0.79999999999999993</v>
      </c>
      <c r="U133" s="640">
        <f>INDEX(잔가map!$C$3:$AB$7,MATCH(차량DB!$U$5,잔가map!$B$3:$B$7,0),MATCH(차량DB!S133,잔가map!$C$2:$AB$2,0))</f>
        <v>0.72</v>
      </c>
      <c r="V133" s="640">
        <f>INDEX(잔가map!$C$3:$AB$7,MATCH(차량DB!$V$5,잔가map!$B$3:$B$7,0),MATCH(차량DB!S133,잔가map!$C$2:$AB$2,0))</f>
        <v>0.63</v>
      </c>
      <c r="W133" s="640">
        <f>INDEX(잔가map!$C$3:$AB$7,MATCH(차량DB!$W$5,잔가map!$B$3:$B$7,0),MATCH(차량DB!S133,잔가map!$C$2:$AB$2,0))</f>
        <v>0.54999999999999993</v>
      </c>
      <c r="X133" s="640">
        <f>INDEX(잔가map!$C$3:$AB$7,MATCH(차량DB!$X$5,잔가map!$B$3:$B$7,0),MATCH(차량DB!S133,잔가map!$C$2:$AB$2,0))</f>
        <v>0.49</v>
      </c>
      <c r="Y133" s="553" t="s">
        <v>1331</v>
      </c>
      <c r="Z133" s="527">
        <f>IFERROR(INDEX(잔가map!$C$14:$AR$18,MATCH(차량DB!$Z$5,잔가map!$B$14:$B$18,0),MATCH(차량DB!Y133,잔가map!$C$13:$AR$13,0)),"")</f>
        <v>0.80500000000000005</v>
      </c>
      <c r="AA133" s="527">
        <f>IFERROR(INDEX(잔가map!$C$14:$AR$18,MATCH(차량DB!$AA$5,잔가map!$B$14:$B$18,0),MATCH(차량DB!Y133,잔가map!$C$13:$AR$13,0)),"")</f>
        <v>0.72499999999999998</v>
      </c>
      <c r="AB133" s="527">
        <f>IFERROR(INDEX(잔가map!$C$14:$AR$18,MATCH(차량DB!$AB$5,잔가map!$B$14:$B$18,0),MATCH(차량DB!Y133,잔가map!$C$13:$AR$13,0)),"")</f>
        <v>0.63500000000000001</v>
      </c>
      <c r="AC133" s="527">
        <f>IFERROR(INDEX(잔가map!$C$14:$AR$18,MATCH(차량DB!$AC$5,잔가map!$B$14:$B$18,0),MATCH(차량DB!Y133,잔가map!$C$13:$AR$13,0)),"")</f>
        <v>0.55500000000000005</v>
      </c>
      <c r="AD133" s="527">
        <f>IFERROR(INDEX(잔가map!$C$14:$AR$18,MATCH(차량DB!$AD$5,잔가map!$B$14:$B$18,0),MATCH(차량DB!Y133,잔가map!$C$13:$AR$13,0)),"")</f>
        <v>0.495</v>
      </c>
      <c r="AE133" s="643"/>
      <c r="AF133" s="644"/>
      <c r="AG133" s="644"/>
      <c r="AH133" s="644"/>
      <c r="AI133" s="644"/>
      <c r="AJ133" s="644"/>
      <c r="AK133" s="547"/>
      <c r="AL133" s="576"/>
    </row>
    <row r="134" spans="5:38" x14ac:dyDescent="0.3">
      <c r="E134" s="293" t="s">
        <v>343</v>
      </c>
      <c r="F134" s="604" t="s">
        <v>1146</v>
      </c>
      <c r="G134" s="294">
        <v>1998</v>
      </c>
      <c r="H134" s="295" t="s">
        <v>45</v>
      </c>
      <c r="I134" s="294">
        <v>89200000</v>
      </c>
      <c r="P134" s="295" t="s">
        <v>576</v>
      </c>
      <c r="R134" s="500">
        <v>0</v>
      </c>
      <c r="S134" s="639" t="s">
        <v>1209</v>
      </c>
      <c r="T134" s="640">
        <f>INDEX(잔가map!$C$3:$AB$7,MATCH(차량DB!$T$5,잔가map!$B$3:$B$7,0),MATCH(차량DB!S134,잔가map!$C$2:$AB$2,0))</f>
        <v>0.79999999999999993</v>
      </c>
      <c r="U134" s="640">
        <f>INDEX(잔가map!$C$3:$AB$7,MATCH(차량DB!$U$5,잔가map!$B$3:$B$7,0),MATCH(차량DB!S134,잔가map!$C$2:$AB$2,0))</f>
        <v>0.72</v>
      </c>
      <c r="V134" s="640">
        <f>INDEX(잔가map!$C$3:$AB$7,MATCH(차량DB!$V$5,잔가map!$B$3:$B$7,0),MATCH(차량DB!S134,잔가map!$C$2:$AB$2,0))</f>
        <v>0.63</v>
      </c>
      <c r="W134" s="640">
        <f>INDEX(잔가map!$C$3:$AB$7,MATCH(차량DB!$W$5,잔가map!$B$3:$B$7,0),MATCH(차량DB!S134,잔가map!$C$2:$AB$2,0))</f>
        <v>0.54999999999999993</v>
      </c>
      <c r="X134" s="640">
        <f>INDEX(잔가map!$C$3:$AB$7,MATCH(차량DB!$X$5,잔가map!$B$3:$B$7,0),MATCH(차량DB!S134,잔가map!$C$2:$AB$2,0))</f>
        <v>0.49</v>
      </c>
      <c r="Y134" s="553" t="s">
        <v>1331</v>
      </c>
      <c r="Z134" s="527">
        <f>IFERROR(INDEX(잔가map!$C$14:$AR$18,MATCH(차량DB!$Z$5,잔가map!$B$14:$B$18,0),MATCH(차량DB!Y134,잔가map!$C$13:$AR$13,0)),"")</f>
        <v>0.80500000000000005</v>
      </c>
      <c r="AA134" s="527">
        <f>IFERROR(INDEX(잔가map!$C$14:$AR$18,MATCH(차량DB!$AA$5,잔가map!$B$14:$B$18,0),MATCH(차량DB!Y134,잔가map!$C$13:$AR$13,0)),"")</f>
        <v>0.72499999999999998</v>
      </c>
      <c r="AB134" s="527">
        <f>IFERROR(INDEX(잔가map!$C$14:$AR$18,MATCH(차량DB!$AB$5,잔가map!$B$14:$B$18,0),MATCH(차량DB!Y134,잔가map!$C$13:$AR$13,0)),"")</f>
        <v>0.63500000000000001</v>
      </c>
      <c r="AC134" s="527">
        <f>IFERROR(INDEX(잔가map!$C$14:$AR$18,MATCH(차량DB!$AC$5,잔가map!$B$14:$B$18,0),MATCH(차량DB!Y134,잔가map!$C$13:$AR$13,0)),"")</f>
        <v>0.55500000000000005</v>
      </c>
      <c r="AD134" s="527">
        <f>IFERROR(INDEX(잔가map!$C$14:$AR$18,MATCH(차량DB!$AD$5,잔가map!$B$14:$B$18,0),MATCH(차량DB!Y134,잔가map!$C$13:$AR$13,0)),"")</f>
        <v>0.495</v>
      </c>
      <c r="AE134" s="643"/>
      <c r="AF134" s="644"/>
      <c r="AG134" s="644"/>
      <c r="AH134" s="644"/>
      <c r="AI134" s="644"/>
      <c r="AJ134" s="644"/>
      <c r="AK134" s="574"/>
      <c r="AL134" s="576"/>
    </row>
    <row r="135" spans="5:38" x14ac:dyDescent="0.3">
      <c r="E135" s="293" t="s">
        <v>343</v>
      </c>
      <c r="F135" s="604" t="s">
        <v>605</v>
      </c>
      <c r="G135" s="294">
        <v>1998</v>
      </c>
      <c r="H135" s="295" t="s">
        <v>45</v>
      </c>
      <c r="I135" s="294">
        <v>92200000</v>
      </c>
      <c r="P135" s="295" t="s">
        <v>576</v>
      </c>
      <c r="R135" s="500">
        <v>0</v>
      </c>
      <c r="S135" s="639" t="s">
        <v>1212</v>
      </c>
      <c r="T135" s="640">
        <f>INDEX(잔가map!$C$3:$AB$7,MATCH(차량DB!$T$5,잔가map!$B$3:$B$7,0),MATCH(차량DB!S135,잔가map!$C$2:$AB$2,0))</f>
        <v>0.79999999999999993</v>
      </c>
      <c r="U135" s="640">
        <f>INDEX(잔가map!$C$3:$AB$7,MATCH(차량DB!$U$5,잔가map!$B$3:$B$7,0),MATCH(차량DB!S135,잔가map!$C$2:$AB$2,0))</f>
        <v>0.72</v>
      </c>
      <c r="V135" s="640">
        <f>INDEX(잔가map!$C$3:$AB$7,MATCH(차량DB!$V$5,잔가map!$B$3:$B$7,0),MATCH(차량DB!S135,잔가map!$C$2:$AB$2,0))</f>
        <v>0.63</v>
      </c>
      <c r="W135" s="640">
        <f>INDEX(잔가map!$C$3:$AB$7,MATCH(차량DB!$W$5,잔가map!$B$3:$B$7,0),MATCH(차량DB!S135,잔가map!$C$2:$AB$2,0))</f>
        <v>0.54999999999999993</v>
      </c>
      <c r="X135" s="640">
        <f>INDEX(잔가map!$C$3:$AB$7,MATCH(차량DB!$X$5,잔가map!$B$3:$B$7,0),MATCH(차량DB!S135,잔가map!$C$2:$AB$2,0))</f>
        <v>0.49</v>
      </c>
      <c r="Y135" s="553" t="s">
        <v>1331</v>
      </c>
      <c r="Z135" s="527">
        <f>IFERROR(INDEX(잔가map!$C$14:$AR$18,MATCH(차량DB!$Z$5,잔가map!$B$14:$B$18,0),MATCH(차량DB!Y135,잔가map!$C$13:$AR$13,0)),"")</f>
        <v>0.80500000000000005</v>
      </c>
      <c r="AA135" s="527">
        <f>IFERROR(INDEX(잔가map!$C$14:$AR$18,MATCH(차량DB!$AA$5,잔가map!$B$14:$B$18,0),MATCH(차량DB!Y135,잔가map!$C$13:$AR$13,0)),"")</f>
        <v>0.72499999999999998</v>
      </c>
      <c r="AB135" s="527">
        <f>IFERROR(INDEX(잔가map!$C$14:$AR$18,MATCH(차량DB!$AB$5,잔가map!$B$14:$B$18,0),MATCH(차량DB!Y135,잔가map!$C$13:$AR$13,0)),"")</f>
        <v>0.63500000000000001</v>
      </c>
      <c r="AC135" s="527">
        <f>IFERROR(INDEX(잔가map!$C$14:$AR$18,MATCH(차량DB!$AC$5,잔가map!$B$14:$B$18,0),MATCH(차량DB!Y135,잔가map!$C$13:$AR$13,0)),"")</f>
        <v>0.55500000000000005</v>
      </c>
      <c r="AD135" s="527">
        <f>IFERROR(INDEX(잔가map!$C$14:$AR$18,MATCH(차량DB!$AD$5,잔가map!$B$14:$B$18,0),MATCH(차량DB!Y135,잔가map!$C$13:$AR$13,0)),"")</f>
        <v>0.495</v>
      </c>
      <c r="AE135" s="643"/>
      <c r="AF135" s="644"/>
      <c r="AG135" s="644"/>
      <c r="AH135" s="644"/>
      <c r="AI135" s="644"/>
      <c r="AJ135" s="644"/>
      <c r="AK135" s="574"/>
      <c r="AL135" s="576"/>
    </row>
    <row r="136" spans="5:38" x14ac:dyDescent="0.3">
      <c r="E136" s="293" t="s">
        <v>343</v>
      </c>
      <c r="F136" s="604" t="s">
        <v>1148</v>
      </c>
      <c r="G136" s="294">
        <v>1998</v>
      </c>
      <c r="H136" s="295" t="s">
        <v>45</v>
      </c>
      <c r="I136" s="294">
        <v>95300000</v>
      </c>
      <c r="P136" s="295" t="s">
        <v>1150</v>
      </c>
      <c r="R136" s="500"/>
      <c r="S136" s="639" t="s">
        <v>1209</v>
      </c>
      <c r="T136" s="640">
        <f>INDEX(잔가map!$C$3:$AB$7,MATCH(차량DB!$T$5,잔가map!$B$3:$B$7,0),MATCH(차량DB!S136,잔가map!$C$2:$AB$2,0))</f>
        <v>0.79999999999999993</v>
      </c>
      <c r="U136" s="640">
        <f>INDEX(잔가map!$C$3:$AB$7,MATCH(차량DB!$U$5,잔가map!$B$3:$B$7,0),MATCH(차량DB!S136,잔가map!$C$2:$AB$2,0))</f>
        <v>0.72</v>
      </c>
      <c r="V136" s="640">
        <f>INDEX(잔가map!$C$3:$AB$7,MATCH(차량DB!$V$5,잔가map!$B$3:$B$7,0),MATCH(차량DB!S136,잔가map!$C$2:$AB$2,0))</f>
        <v>0.63</v>
      </c>
      <c r="W136" s="640">
        <f>INDEX(잔가map!$C$3:$AB$7,MATCH(차량DB!$W$5,잔가map!$B$3:$B$7,0),MATCH(차량DB!S136,잔가map!$C$2:$AB$2,0))</f>
        <v>0.54999999999999993</v>
      </c>
      <c r="X136" s="640">
        <f>INDEX(잔가map!$C$3:$AB$7,MATCH(차량DB!$X$5,잔가map!$B$3:$B$7,0),MATCH(차량DB!S136,잔가map!$C$2:$AB$2,0))</f>
        <v>0.49</v>
      </c>
      <c r="Y136" s="553" t="s">
        <v>1331</v>
      </c>
      <c r="Z136" s="527">
        <f>IFERROR(INDEX(잔가map!$C$14:$AR$18,MATCH(차량DB!$Z$5,잔가map!$B$14:$B$18,0),MATCH(차량DB!Y136,잔가map!$C$13:$AR$13,0)),"")</f>
        <v>0.80500000000000005</v>
      </c>
      <c r="AA136" s="527">
        <f>IFERROR(INDEX(잔가map!$C$14:$AR$18,MATCH(차량DB!$AA$5,잔가map!$B$14:$B$18,0),MATCH(차량DB!Y136,잔가map!$C$13:$AR$13,0)),"")</f>
        <v>0.72499999999999998</v>
      </c>
      <c r="AB136" s="527">
        <f>IFERROR(INDEX(잔가map!$C$14:$AR$18,MATCH(차량DB!$AB$5,잔가map!$B$14:$B$18,0),MATCH(차량DB!Y136,잔가map!$C$13:$AR$13,0)),"")</f>
        <v>0.63500000000000001</v>
      </c>
      <c r="AC136" s="527">
        <f>IFERROR(INDEX(잔가map!$C$14:$AR$18,MATCH(차량DB!$AC$5,잔가map!$B$14:$B$18,0),MATCH(차량DB!Y136,잔가map!$C$13:$AR$13,0)),"")</f>
        <v>0.55500000000000005</v>
      </c>
      <c r="AD136" s="527">
        <f>IFERROR(INDEX(잔가map!$C$14:$AR$18,MATCH(차량DB!$AD$5,잔가map!$B$14:$B$18,0),MATCH(차량DB!Y136,잔가map!$C$13:$AR$13,0)),"")</f>
        <v>0.495</v>
      </c>
      <c r="AE136" s="643"/>
      <c r="AF136" s="644"/>
      <c r="AG136" s="644"/>
      <c r="AH136" s="644"/>
      <c r="AI136" s="644"/>
      <c r="AJ136" s="644"/>
      <c r="AK136" s="574"/>
      <c r="AL136" s="576"/>
    </row>
    <row r="137" spans="5:38" x14ac:dyDescent="0.3">
      <c r="E137" s="293" t="s">
        <v>343</v>
      </c>
      <c r="F137" s="604" t="s">
        <v>1149</v>
      </c>
      <c r="G137" s="294">
        <v>1998</v>
      </c>
      <c r="H137" s="295" t="s">
        <v>45</v>
      </c>
      <c r="I137" s="294">
        <v>98500000</v>
      </c>
      <c r="P137" s="295" t="s">
        <v>1151</v>
      </c>
      <c r="R137" s="500"/>
      <c r="S137" s="639" t="s">
        <v>1209</v>
      </c>
      <c r="T137" s="640">
        <f>INDEX(잔가map!$C$3:$AB$7,MATCH(차량DB!$T$5,잔가map!$B$3:$B$7,0),MATCH(차량DB!S137,잔가map!$C$2:$AB$2,0))</f>
        <v>0.79999999999999993</v>
      </c>
      <c r="U137" s="640">
        <f>INDEX(잔가map!$C$3:$AB$7,MATCH(차량DB!$U$5,잔가map!$B$3:$B$7,0),MATCH(차량DB!S137,잔가map!$C$2:$AB$2,0))</f>
        <v>0.72</v>
      </c>
      <c r="V137" s="640">
        <f>INDEX(잔가map!$C$3:$AB$7,MATCH(차량DB!$V$5,잔가map!$B$3:$B$7,0),MATCH(차량DB!S137,잔가map!$C$2:$AB$2,0))</f>
        <v>0.63</v>
      </c>
      <c r="W137" s="640">
        <f>INDEX(잔가map!$C$3:$AB$7,MATCH(차량DB!$W$5,잔가map!$B$3:$B$7,0),MATCH(차량DB!S137,잔가map!$C$2:$AB$2,0))</f>
        <v>0.54999999999999993</v>
      </c>
      <c r="X137" s="640">
        <f>INDEX(잔가map!$C$3:$AB$7,MATCH(차량DB!$X$5,잔가map!$B$3:$B$7,0),MATCH(차량DB!S137,잔가map!$C$2:$AB$2,0))</f>
        <v>0.49</v>
      </c>
      <c r="Y137" s="553" t="s">
        <v>1331</v>
      </c>
      <c r="Z137" s="527">
        <f>IFERROR(INDEX(잔가map!$C$14:$AR$18,MATCH(차량DB!$Z$5,잔가map!$B$14:$B$18,0),MATCH(차량DB!Y137,잔가map!$C$13:$AR$13,0)),"")</f>
        <v>0.80500000000000005</v>
      </c>
      <c r="AA137" s="527">
        <f>IFERROR(INDEX(잔가map!$C$14:$AR$18,MATCH(차량DB!$AA$5,잔가map!$B$14:$B$18,0),MATCH(차량DB!Y137,잔가map!$C$13:$AR$13,0)),"")</f>
        <v>0.72499999999999998</v>
      </c>
      <c r="AB137" s="527">
        <f>IFERROR(INDEX(잔가map!$C$14:$AR$18,MATCH(차량DB!$AB$5,잔가map!$B$14:$B$18,0),MATCH(차량DB!Y137,잔가map!$C$13:$AR$13,0)),"")</f>
        <v>0.63500000000000001</v>
      </c>
      <c r="AC137" s="527">
        <f>IFERROR(INDEX(잔가map!$C$14:$AR$18,MATCH(차량DB!$AC$5,잔가map!$B$14:$B$18,0),MATCH(차량DB!Y137,잔가map!$C$13:$AR$13,0)),"")</f>
        <v>0.55500000000000005</v>
      </c>
      <c r="AD137" s="527">
        <f>IFERROR(INDEX(잔가map!$C$14:$AR$18,MATCH(차량DB!$AD$5,잔가map!$B$14:$B$18,0),MATCH(차량DB!Y137,잔가map!$C$13:$AR$13,0)),"")</f>
        <v>0.495</v>
      </c>
      <c r="AE137" s="643"/>
      <c r="AF137" s="644"/>
      <c r="AG137" s="644"/>
      <c r="AH137" s="644"/>
      <c r="AI137" s="644"/>
      <c r="AJ137" s="644"/>
      <c r="AK137" s="574"/>
      <c r="AL137" s="576"/>
    </row>
    <row r="138" spans="5:38" x14ac:dyDescent="0.3">
      <c r="E138" s="293" t="s">
        <v>343</v>
      </c>
      <c r="F138" s="604" t="s">
        <v>463</v>
      </c>
      <c r="G138" s="294">
        <v>2993</v>
      </c>
      <c r="H138" s="295" t="s">
        <v>45</v>
      </c>
      <c r="I138" s="294">
        <v>159800000</v>
      </c>
      <c r="P138" s="295" t="s">
        <v>576</v>
      </c>
      <c r="R138" s="500">
        <v>0</v>
      </c>
      <c r="S138" s="639" t="s">
        <v>1256</v>
      </c>
      <c r="T138" s="640"/>
      <c r="U138" s="640"/>
      <c r="V138" s="640"/>
      <c r="W138" s="640"/>
      <c r="X138" s="640"/>
      <c r="Y138" s="553" t="s">
        <v>359</v>
      </c>
      <c r="Z138" s="527">
        <f>IFERROR(INDEX(잔가map!$C$14:$AR$18,MATCH(차량DB!$Z$5,잔가map!$B$14:$B$18,0),MATCH(차량DB!Y138,잔가map!$C$13:$AR$13,0)),"")</f>
        <v>0.72</v>
      </c>
      <c r="AA138" s="527">
        <f>IFERROR(INDEX(잔가map!$C$14:$AR$18,MATCH(차량DB!$AA$5,잔가map!$B$14:$B$18,0),MATCH(차량DB!Y138,잔가map!$C$13:$AR$13,0)),"")</f>
        <v>0.64</v>
      </c>
      <c r="AB138" s="527">
        <f>IFERROR(INDEX(잔가map!$C$14:$AR$18,MATCH(차량DB!$AB$5,잔가map!$B$14:$B$18,0),MATCH(차량DB!Y138,잔가map!$C$13:$AR$13,0)),"")</f>
        <v>0.54999999999999993</v>
      </c>
      <c r="AC138" s="527">
        <f>IFERROR(INDEX(잔가map!$C$14:$AR$18,MATCH(차량DB!$AC$5,잔가map!$B$14:$B$18,0),MATCH(차량DB!Y138,잔가map!$C$13:$AR$13,0)),"")</f>
        <v>0.47000000000000003</v>
      </c>
      <c r="AD138" s="527">
        <f>IFERROR(INDEX(잔가map!$C$14:$AR$18,MATCH(차량DB!$AD$5,잔가map!$B$14:$B$18,0),MATCH(차량DB!Y138,잔가map!$C$13:$AR$13,0)),"")</f>
        <v>0.41000000000000003</v>
      </c>
      <c r="AE138" s="643"/>
      <c r="AF138" s="644"/>
      <c r="AG138" s="644"/>
      <c r="AH138" s="644"/>
      <c r="AI138" s="644"/>
      <c r="AJ138" s="644"/>
      <c r="AK138" s="547"/>
      <c r="AL138" s="576"/>
    </row>
    <row r="139" spans="5:38" x14ac:dyDescent="0.3">
      <c r="E139" s="293" t="s">
        <v>343</v>
      </c>
      <c r="F139" s="604" t="s">
        <v>464</v>
      </c>
      <c r="G139" s="294">
        <v>2993</v>
      </c>
      <c r="H139" s="295" t="s">
        <v>45</v>
      </c>
      <c r="I139" s="294">
        <v>163100000</v>
      </c>
      <c r="P139" s="295" t="s">
        <v>576</v>
      </c>
      <c r="R139" s="500">
        <v>0</v>
      </c>
      <c r="S139" s="639" t="s">
        <v>1257</v>
      </c>
      <c r="T139" s="640"/>
      <c r="U139" s="640"/>
      <c r="V139" s="640"/>
      <c r="W139" s="640"/>
      <c r="X139" s="640"/>
      <c r="Y139" s="553" t="s">
        <v>359</v>
      </c>
      <c r="Z139" s="527">
        <f>IFERROR(INDEX(잔가map!$C$14:$AR$18,MATCH(차량DB!$Z$5,잔가map!$B$14:$B$18,0),MATCH(차량DB!Y139,잔가map!$C$13:$AR$13,0)),"")</f>
        <v>0.72</v>
      </c>
      <c r="AA139" s="527">
        <f>IFERROR(INDEX(잔가map!$C$14:$AR$18,MATCH(차량DB!$AA$5,잔가map!$B$14:$B$18,0),MATCH(차량DB!Y139,잔가map!$C$13:$AR$13,0)),"")</f>
        <v>0.64</v>
      </c>
      <c r="AB139" s="527">
        <f>IFERROR(INDEX(잔가map!$C$14:$AR$18,MATCH(차량DB!$AB$5,잔가map!$B$14:$B$18,0),MATCH(차량DB!Y139,잔가map!$C$13:$AR$13,0)),"")</f>
        <v>0.54999999999999993</v>
      </c>
      <c r="AC139" s="527">
        <f>IFERROR(INDEX(잔가map!$C$14:$AR$18,MATCH(차량DB!$AC$5,잔가map!$B$14:$B$18,0),MATCH(차량DB!Y139,잔가map!$C$13:$AR$13,0)),"")</f>
        <v>0.47000000000000003</v>
      </c>
      <c r="AD139" s="527">
        <f>IFERROR(INDEX(잔가map!$C$14:$AR$18,MATCH(차량DB!$AD$5,잔가map!$B$14:$B$18,0),MATCH(차량DB!Y139,잔가map!$C$13:$AR$13,0)),"")</f>
        <v>0.41000000000000003</v>
      </c>
      <c r="AE139" s="643"/>
      <c r="AF139" s="644"/>
      <c r="AG139" s="644"/>
      <c r="AH139" s="644"/>
      <c r="AI139" s="644"/>
      <c r="AJ139" s="644"/>
      <c r="AK139" s="547"/>
      <c r="AL139" s="576"/>
    </row>
    <row r="140" spans="5:38" x14ac:dyDescent="0.3">
      <c r="E140" s="293" t="s">
        <v>343</v>
      </c>
      <c r="F140" s="605" t="s">
        <v>1152</v>
      </c>
      <c r="G140" s="294">
        <v>2998</v>
      </c>
      <c r="H140" s="295" t="s">
        <v>45</v>
      </c>
      <c r="I140" s="294">
        <v>174400000</v>
      </c>
      <c r="P140" s="295" t="s">
        <v>576</v>
      </c>
      <c r="R140" s="500">
        <v>0</v>
      </c>
      <c r="S140" s="639" t="s">
        <v>1250</v>
      </c>
      <c r="T140" s="640"/>
      <c r="U140" s="640"/>
      <c r="V140" s="640"/>
      <c r="W140" s="640"/>
      <c r="X140" s="640"/>
      <c r="Y140" s="553" t="s">
        <v>359</v>
      </c>
      <c r="Z140" s="527">
        <f>IFERROR(INDEX(잔가map!$C$14:$AR$18,MATCH(차량DB!$Z$5,잔가map!$B$14:$B$18,0),MATCH(차량DB!Y140,잔가map!$C$13:$AR$13,0)),"")</f>
        <v>0.72</v>
      </c>
      <c r="AA140" s="527">
        <f>IFERROR(INDEX(잔가map!$C$14:$AR$18,MATCH(차량DB!$AA$5,잔가map!$B$14:$B$18,0),MATCH(차량DB!Y140,잔가map!$C$13:$AR$13,0)),"")</f>
        <v>0.64</v>
      </c>
      <c r="AB140" s="527">
        <f>IFERROR(INDEX(잔가map!$C$14:$AR$18,MATCH(차량DB!$AB$5,잔가map!$B$14:$B$18,0),MATCH(차량DB!Y140,잔가map!$C$13:$AR$13,0)),"")</f>
        <v>0.54999999999999993</v>
      </c>
      <c r="AC140" s="527">
        <f>IFERROR(INDEX(잔가map!$C$14:$AR$18,MATCH(차량DB!$AC$5,잔가map!$B$14:$B$18,0),MATCH(차량DB!Y140,잔가map!$C$13:$AR$13,0)),"")</f>
        <v>0.47000000000000003</v>
      </c>
      <c r="AD140" s="527">
        <f>IFERROR(INDEX(잔가map!$C$14:$AR$18,MATCH(차량DB!$AD$5,잔가map!$B$14:$B$18,0),MATCH(차량DB!Y140,잔가map!$C$13:$AR$13,0)),"")</f>
        <v>0.41000000000000003</v>
      </c>
      <c r="AE140" s="643"/>
      <c r="AF140" s="644"/>
      <c r="AG140" s="644"/>
      <c r="AH140" s="644"/>
      <c r="AI140" s="644"/>
      <c r="AJ140" s="644"/>
      <c r="AK140" s="574"/>
      <c r="AL140" s="576"/>
    </row>
    <row r="141" spans="5:38" x14ac:dyDescent="0.3">
      <c r="E141" s="293" t="s">
        <v>343</v>
      </c>
      <c r="F141" s="605" t="s">
        <v>1153</v>
      </c>
      <c r="G141" s="294">
        <v>2998</v>
      </c>
      <c r="H141" s="295" t="s">
        <v>45</v>
      </c>
      <c r="I141" s="294">
        <v>177700000</v>
      </c>
      <c r="P141" s="295" t="s">
        <v>576</v>
      </c>
      <c r="R141" s="500">
        <v>0</v>
      </c>
      <c r="S141" s="639" t="s">
        <v>1248</v>
      </c>
      <c r="T141" s="640"/>
      <c r="U141" s="640"/>
      <c r="V141" s="640"/>
      <c r="W141" s="640"/>
      <c r="X141" s="640"/>
      <c r="Y141" s="553" t="s">
        <v>359</v>
      </c>
      <c r="Z141" s="527">
        <f>IFERROR(INDEX(잔가map!$C$14:$AR$18,MATCH(차량DB!$Z$5,잔가map!$B$14:$B$18,0),MATCH(차량DB!Y141,잔가map!$C$13:$AR$13,0)),"")</f>
        <v>0.72</v>
      </c>
      <c r="AA141" s="527">
        <f>IFERROR(INDEX(잔가map!$C$14:$AR$18,MATCH(차량DB!$AA$5,잔가map!$B$14:$B$18,0),MATCH(차량DB!Y141,잔가map!$C$13:$AR$13,0)),"")</f>
        <v>0.64</v>
      </c>
      <c r="AB141" s="527">
        <f>IFERROR(INDEX(잔가map!$C$14:$AR$18,MATCH(차량DB!$AB$5,잔가map!$B$14:$B$18,0),MATCH(차량DB!Y141,잔가map!$C$13:$AR$13,0)),"")</f>
        <v>0.54999999999999993</v>
      </c>
      <c r="AC141" s="527">
        <f>IFERROR(INDEX(잔가map!$C$14:$AR$18,MATCH(차량DB!$AC$5,잔가map!$B$14:$B$18,0),MATCH(차량DB!Y141,잔가map!$C$13:$AR$13,0)),"")</f>
        <v>0.47000000000000003</v>
      </c>
      <c r="AD141" s="527">
        <f>IFERROR(INDEX(잔가map!$C$14:$AR$18,MATCH(차량DB!$AD$5,잔가map!$B$14:$B$18,0),MATCH(차량DB!Y141,잔가map!$C$13:$AR$13,0)),"")</f>
        <v>0.41000000000000003</v>
      </c>
      <c r="AE141" s="643"/>
      <c r="AF141" s="644"/>
      <c r="AG141" s="644"/>
      <c r="AH141" s="644"/>
      <c r="AI141" s="644"/>
      <c r="AJ141" s="644"/>
      <c r="AK141" s="574"/>
      <c r="AL141" s="576"/>
    </row>
    <row r="142" spans="5:38" x14ac:dyDescent="0.3">
      <c r="E142" s="293" t="s">
        <v>343</v>
      </c>
      <c r="F142" s="605" t="s">
        <v>1154</v>
      </c>
      <c r="G142" s="294">
        <v>2998</v>
      </c>
      <c r="H142" s="295" t="s">
        <v>45</v>
      </c>
      <c r="I142" s="294">
        <v>200400000</v>
      </c>
      <c r="P142" s="295" t="s">
        <v>576</v>
      </c>
      <c r="R142" s="500"/>
      <c r="S142" s="639" t="s">
        <v>1248</v>
      </c>
      <c r="T142" s="640"/>
      <c r="U142" s="640"/>
      <c r="V142" s="640"/>
      <c r="W142" s="640"/>
      <c r="X142" s="640"/>
      <c r="Y142" s="553"/>
      <c r="Z142" s="527" t="str">
        <f>IFERROR(INDEX(잔가map!$C$14:$AR$18,MATCH(차량DB!$Z$5,잔가map!$B$14:$B$18,0),MATCH(차량DB!Y142,잔가map!$C$13:$AR$13,0)),"")</f>
        <v/>
      </c>
      <c r="AA142" s="527" t="str">
        <f>IFERROR(INDEX(잔가map!$C$14:$AR$18,MATCH(차량DB!$AA$5,잔가map!$B$14:$B$18,0),MATCH(차량DB!Y142,잔가map!$C$13:$AR$13,0)),"")</f>
        <v/>
      </c>
      <c r="AB142" s="527" t="str">
        <f>IFERROR(INDEX(잔가map!$C$14:$AR$18,MATCH(차량DB!$AB$5,잔가map!$B$14:$B$18,0),MATCH(차량DB!Y142,잔가map!$C$13:$AR$13,0)),"")</f>
        <v/>
      </c>
      <c r="AC142" s="527" t="str">
        <f>IFERROR(INDEX(잔가map!$C$14:$AR$18,MATCH(차량DB!$AC$5,잔가map!$B$14:$B$18,0),MATCH(차량DB!Y142,잔가map!$C$13:$AR$13,0)),"")</f>
        <v/>
      </c>
      <c r="AD142" s="527" t="str">
        <f>IFERROR(INDEX(잔가map!$C$14:$AR$18,MATCH(차량DB!$AD$5,잔가map!$B$14:$B$18,0),MATCH(차량DB!Y142,잔가map!$C$13:$AR$13,0)),"")</f>
        <v/>
      </c>
      <c r="AE142" s="643"/>
      <c r="AF142" s="644"/>
      <c r="AG142" s="644"/>
      <c r="AH142" s="644"/>
      <c r="AI142" s="644"/>
      <c r="AJ142" s="644"/>
      <c r="AK142" s="574"/>
      <c r="AL142" s="576"/>
    </row>
    <row r="143" spans="5:38" x14ac:dyDescent="0.3">
      <c r="E143" s="293" t="s">
        <v>343</v>
      </c>
      <c r="F143" s="605" t="s">
        <v>1155</v>
      </c>
      <c r="G143" s="294">
        <v>2998</v>
      </c>
      <c r="H143" s="295" t="s">
        <v>45</v>
      </c>
      <c r="I143" s="294">
        <v>193800000</v>
      </c>
      <c r="P143" s="295" t="s">
        <v>576</v>
      </c>
      <c r="R143" s="500"/>
      <c r="S143" s="639" t="s">
        <v>1248</v>
      </c>
      <c r="T143" s="640"/>
      <c r="U143" s="640"/>
      <c r="V143" s="640"/>
      <c r="W143" s="640"/>
      <c r="X143" s="640"/>
      <c r="Y143" s="553"/>
      <c r="Z143" s="527" t="str">
        <f>IFERROR(INDEX(잔가map!$C$14:$AR$18,MATCH(차량DB!$Z$5,잔가map!$B$14:$B$18,0),MATCH(차량DB!Y143,잔가map!$C$13:$AR$13,0)),"")</f>
        <v/>
      </c>
      <c r="AA143" s="527" t="str">
        <f>IFERROR(INDEX(잔가map!$C$14:$AR$18,MATCH(차량DB!$AA$5,잔가map!$B$14:$B$18,0),MATCH(차량DB!Y143,잔가map!$C$13:$AR$13,0)),"")</f>
        <v/>
      </c>
      <c r="AB143" s="527" t="str">
        <f>IFERROR(INDEX(잔가map!$C$14:$AR$18,MATCH(차량DB!$AB$5,잔가map!$B$14:$B$18,0),MATCH(차량DB!Y143,잔가map!$C$13:$AR$13,0)),"")</f>
        <v/>
      </c>
      <c r="AC143" s="527" t="str">
        <f>IFERROR(INDEX(잔가map!$C$14:$AR$18,MATCH(차량DB!$AC$5,잔가map!$B$14:$B$18,0),MATCH(차량DB!Y143,잔가map!$C$13:$AR$13,0)),"")</f>
        <v/>
      </c>
      <c r="AD143" s="527" t="str">
        <f>IFERROR(INDEX(잔가map!$C$14:$AR$18,MATCH(차량DB!$AD$5,잔가map!$B$14:$B$18,0),MATCH(차량DB!Y143,잔가map!$C$13:$AR$13,0)),"")</f>
        <v/>
      </c>
      <c r="AE143" s="643"/>
      <c r="AF143" s="644"/>
      <c r="AG143" s="644"/>
      <c r="AH143" s="644"/>
      <c r="AI143" s="644"/>
      <c r="AJ143" s="644"/>
      <c r="AK143" s="574"/>
      <c r="AL143" s="576"/>
    </row>
    <row r="144" spans="5:38" x14ac:dyDescent="0.3">
      <c r="E144" s="293" t="s">
        <v>343</v>
      </c>
      <c r="F144" s="604" t="s">
        <v>465</v>
      </c>
      <c r="G144" s="294">
        <v>6592</v>
      </c>
      <c r="H144" s="295" t="s">
        <v>45</v>
      </c>
      <c r="I144" s="294">
        <v>233400000</v>
      </c>
      <c r="P144" s="295" t="s">
        <v>576</v>
      </c>
      <c r="R144" s="500">
        <v>0</v>
      </c>
      <c r="S144" s="639" t="s">
        <v>1284</v>
      </c>
      <c r="T144" s="640"/>
      <c r="U144" s="640"/>
      <c r="V144" s="640"/>
      <c r="W144" s="640"/>
      <c r="X144" s="640"/>
      <c r="Y144" s="553"/>
      <c r="Z144" s="527" t="str">
        <f>IFERROR(INDEX(잔가map!$C$14:$AR$18,MATCH(차량DB!$Z$5,잔가map!$B$14:$B$18,0),MATCH(차량DB!Y144,잔가map!$C$13:$AR$13,0)),"")</f>
        <v/>
      </c>
      <c r="AA144" s="527" t="str">
        <f>IFERROR(INDEX(잔가map!$C$14:$AR$18,MATCH(차량DB!$AA$5,잔가map!$B$14:$B$18,0),MATCH(차량DB!Y144,잔가map!$C$13:$AR$13,0)),"")</f>
        <v/>
      </c>
      <c r="AB144" s="527" t="str">
        <f>IFERROR(INDEX(잔가map!$C$14:$AR$18,MATCH(차량DB!$AB$5,잔가map!$B$14:$B$18,0),MATCH(차량DB!Y144,잔가map!$C$13:$AR$13,0)),"")</f>
        <v/>
      </c>
      <c r="AC144" s="527" t="str">
        <f>IFERROR(INDEX(잔가map!$C$14:$AR$18,MATCH(차량DB!$AC$5,잔가map!$B$14:$B$18,0),MATCH(차량DB!Y144,잔가map!$C$13:$AR$13,0)),"")</f>
        <v/>
      </c>
      <c r="AD144" s="527" t="str">
        <f>IFERROR(INDEX(잔가map!$C$14:$AR$18,MATCH(차량DB!$AD$5,잔가map!$B$14:$B$18,0),MATCH(차량DB!Y144,잔가map!$C$13:$AR$13,0)),"")</f>
        <v/>
      </c>
      <c r="AE144" s="643"/>
      <c r="AF144" s="644"/>
      <c r="AG144" s="644"/>
      <c r="AH144" s="644"/>
      <c r="AI144" s="644"/>
      <c r="AJ144" s="644"/>
      <c r="AK144" s="547"/>
      <c r="AL144" s="576"/>
    </row>
    <row r="145" spans="5:38" x14ac:dyDescent="0.3">
      <c r="E145" s="293" t="s">
        <v>343</v>
      </c>
      <c r="F145" s="604" t="s">
        <v>811</v>
      </c>
      <c r="G145" s="294">
        <v>4395</v>
      </c>
      <c r="H145" s="295" t="s">
        <v>45</v>
      </c>
      <c r="I145" s="294">
        <v>146500000</v>
      </c>
      <c r="P145" s="295" t="s">
        <v>576</v>
      </c>
      <c r="R145" s="500">
        <v>0</v>
      </c>
      <c r="S145" s="639" t="s">
        <v>1281</v>
      </c>
      <c r="T145" s="640"/>
      <c r="U145" s="640"/>
      <c r="V145" s="640"/>
      <c r="W145" s="640"/>
      <c r="X145" s="640"/>
      <c r="Y145" s="553"/>
      <c r="Z145" s="527" t="str">
        <f>IFERROR(INDEX(잔가map!$C$14:$AR$18,MATCH(차량DB!$Z$5,잔가map!$B$14:$B$18,0),MATCH(차량DB!Y145,잔가map!$C$13:$AR$13,0)),"")</f>
        <v/>
      </c>
      <c r="AA145" s="527" t="str">
        <f>IFERROR(INDEX(잔가map!$C$14:$AR$18,MATCH(차량DB!$AA$5,잔가map!$B$14:$B$18,0),MATCH(차량DB!Y145,잔가map!$C$13:$AR$13,0)),"")</f>
        <v/>
      </c>
      <c r="AB145" s="527" t="str">
        <f>IFERROR(INDEX(잔가map!$C$14:$AR$18,MATCH(차량DB!$AB$5,잔가map!$B$14:$B$18,0),MATCH(차량DB!Y145,잔가map!$C$13:$AR$13,0)),"")</f>
        <v/>
      </c>
      <c r="AC145" s="527" t="str">
        <f>IFERROR(INDEX(잔가map!$C$14:$AR$18,MATCH(차량DB!$AC$5,잔가map!$B$14:$B$18,0),MATCH(차량DB!Y145,잔가map!$C$13:$AR$13,0)),"")</f>
        <v/>
      </c>
      <c r="AD145" s="527" t="str">
        <f>IFERROR(INDEX(잔가map!$C$14:$AR$18,MATCH(차량DB!$AD$5,잔가map!$B$14:$B$18,0),MATCH(차량DB!Y145,잔가map!$C$13:$AR$13,0)),"")</f>
        <v/>
      </c>
      <c r="AE145" s="643"/>
      <c r="AF145" s="644"/>
      <c r="AG145" s="644"/>
      <c r="AH145" s="644"/>
      <c r="AI145" s="644"/>
      <c r="AJ145" s="644"/>
      <c r="AK145" s="547"/>
      <c r="AL145" s="576"/>
    </row>
    <row r="146" spans="5:38" x14ac:dyDescent="0.3">
      <c r="E146" s="293" t="s">
        <v>343</v>
      </c>
      <c r="F146" s="604" t="s">
        <v>812</v>
      </c>
      <c r="G146" s="294">
        <v>4395</v>
      </c>
      <c r="H146" s="295" t="s">
        <v>45</v>
      </c>
      <c r="I146" s="294">
        <v>154500000</v>
      </c>
      <c r="P146" s="295" t="s">
        <v>576</v>
      </c>
      <c r="R146" s="500">
        <v>0</v>
      </c>
      <c r="S146" s="639" t="s">
        <v>1282</v>
      </c>
      <c r="T146" s="640"/>
      <c r="U146" s="640"/>
      <c r="V146" s="640"/>
      <c r="W146" s="640"/>
      <c r="X146" s="640"/>
      <c r="Y146" s="553"/>
      <c r="Z146" s="527" t="str">
        <f>IFERROR(INDEX(잔가map!$C$14:$AR$18,MATCH(차량DB!$Z$5,잔가map!$B$14:$B$18,0),MATCH(차량DB!Y146,잔가map!$C$13:$AR$13,0)),"")</f>
        <v/>
      </c>
      <c r="AA146" s="527" t="str">
        <f>IFERROR(INDEX(잔가map!$C$14:$AR$18,MATCH(차량DB!$AA$5,잔가map!$B$14:$B$18,0),MATCH(차량DB!Y146,잔가map!$C$13:$AR$13,0)),"")</f>
        <v/>
      </c>
      <c r="AB146" s="527" t="str">
        <f>IFERROR(INDEX(잔가map!$C$14:$AR$18,MATCH(차량DB!$AB$5,잔가map!$B$14:$B$18,0),MATCH(차량DB!Y146,잔가map!$C$13:$AR$13,0)),"")</f>
        <v/>
      </c>
      <c r="AC146" s="527" t="str">
        <f>IFERROR(INDEX(잔가map!$C$14:$AR$18,MATCH(차량DB!$AC$5,잔가map!$B$14:$B$18,0),MATCH(차량DB!Y146,잔가map!$C$13:$AR$13,0)),"")</f>
        <v/>
      </c>
      <c r="AD146" s="527" t="str">
        <f>IFERROR(INDEX(잔가map!$C$14:$AR$18,MATCH(차량DB!$AD$5,잔가map!$B$14:$B$18,0),MATCH(차량DB!Y146,잔가map!$C$13:$AR$13,0)),"")</f>
        <v/>
      </c>
      <c r="AE146" s="643"/>
      <c r="AF146" s="644"/>
      <c r="AG146" s="644"/>
      <c r="AH146" s="644"/>
      <c r="AI146" s="644"/>
      <c r="AJ146" s="644"/>
      <c r="AK146" s="547"/>
      <c r="AL146" s="576"/>
    </row>
    <row r="147" spans="5:38" x14ac:dyDescent="0.3">
      <c r="E147" s="293" t="s">
        <v>343</v>
      </c>
      <c r="F147" s="604" t="s">
        <v>793</v>
      </c>
      <c r="G147" s="294">
        <v>1</v>
      </c>
      <c r="H147" s="295" t="s">
        <v>45</v>
      </c>
      <c r="I147" s="294">
        <v>66500000</v>
      </c>
      <c r="P147" s="295" t="s">
        <v>576</v>
      </c>
      <c r="R147" s="500"/>
      <c r="S147" s="639"/>
      <c r="T147" s="640"/>
      <c r="U147" s="640"/>
      <c r="V147" s="640"/>
      <c r="W147" s="640"/>
      <c r="X147" s="640"/>
      <c r="Y147" s="553"/>
      <c r="Z147" s="527" t="str">
        <f>IFERROR(INDEX(잔가map!$C$14:$AR$18,MATCH(차량DB!$Z$5,잔가map!$B$14:$B$18,0),MATCH(차량DB!Y147,잔가map!$C$13:$AR$13,0)),"")</f>
        <v/>
      </c>
      <c r="AA147" s="527" t="str">
        <f>IFERROR(INDEX(잔가map!$C$14:$AR$18,MATCH(차량DB!$AA$5,잔가map!$B$14:$B$18,0),MATCH(차량DB!Y147,잔가map!$C$13:$AR$13,0)),"")</f>
        <v/>
      </c>
      <c r="AB147" s="527" t="str">
        <f>IFERROR(INDEX(잔가map!$C$14:$AR$18,MATCH(차량DB!$AB$5,잔가map!$B$14:$B$18,0),MATCH(차량DB!Y147,잔가map!$C$13:$AR$13,0)),"")</f>
        <v/>
      </c>
      <c r="AC147" s="527" t="str">
        <f>IFERROR(INDEX(잔가map!$C$14:$AR$18,MATCH(차량DB!$AC$5,잔가map!$B$14:$B$18,0),MATCH(차량DB!Y147,잔가map!$C$13:$AR$13,0)),"")</f>
        <v/>
      </c>
      <c r="AD147" s="527" t="str">
        <f>IFERROR(INDEX(잔가map!$C$14:$AR$18,MATCH(차량DB!$AD$5,잔가map!$B$14:$B$18,0),MATCH(차량DB!Y147,잔가map!$C$13:$AR$13,0)),"")</f>
        <v/>
      </c>
      <c r="AE147" s="643"/>
      <c r="AF147" s="644"/>
      <c r="AG147" s="644"/>
      <c r="AH147" s="644"/>
      <c r="AI147" s="644"/>
      <c r="AJ147" s="644"/>
      <c r="AK147" s="547"/>
      <c r="AL147" s="576"/>
    </row>
    <row r="148" spans="5:38" x14ac:dyDescent="0.3">
      <c r="E148" s="293" t="s">
        <v>343</v>
      </c>
      <c r="F148" s="604" t="s">
        <v>794</v>
      </c>
      <c r="G148" s="294">
        <v>1</v>
      </c>
      <c r="H148" s="295" t="s">
        <v>45</v>
      </c>
      <c r="I148" s="294">
        <v>77200000</v>
      </c>
      <c r="P148" s="295" t="s">
        <v>576</v>
      </c>
      <c r="R148" s="500"/>
      <c r="S148" s="639"/>
      <c r="T148" s="640"/>
      <c r="U148" s="640"/>
      <c r="V148" s="640"/>
      <c r="W148" s="640"/>
      <c r="X148" s="640"/>
      <c r="Y148" s="553"/>
      <c r="Z148" s="527" t="str">
        <f>IFERROR(INDEX(잔가map!$C$14:$AR$18,MATCH(차량DB!$Z$5,잔가map!$B$14:$B$18,0),MATCH(차량DB!Y148,잔가map!$C$13:$AR$13,0)),"")</f>
        <v/>
      </c>
      <c r="AA148" s="527" t="str">
        <f>IFERROR(INDEX(잔가map!$C$14:$AR$18,MATCH(차량DB!$AA$5,잔가map!$B$14:$B$18,0),MATCH(차량DB!Y148,잔가map!$C$13:$AR$13,0)),"")</f>
        <v/>
      </c>
      <c r="AB148" s="527" t="str">
        <f>IFERROR(INDEX(잔가map!$C$14:$AR$18,MATCH(차량DB!$AB$5,잔가map!$B$14:$B$18,0),MATCH(차량DB!Y148,잔가map!$C$13:$AR$13,0)),"")</f>
        <v/>
      </c>
      <c r="AC148" s="527" t="str">
        <f>IFERROR(INDEX(잔가map!$C$14:$AR$18,MATCH(차량DB!$AC$5,잔가map!$B$14:$B$18,0),MATCH(차량DB!Y148,잔가map!$C$13:$AR$13,0)),"")</f>
        <v/>
      </c>
      <c r="AD148" s="527" t="str">
        <f>IFERROR(INDEX(잔가map!$C$14:$AR$18,MATCH(차량DB!$AD$5,잔가map!$B$14:$B$18,0),MATCH(차량DB!Y148,잔가map!$C$13:$AR$13,0)),"")</f>
        <v/>
      </c>
      <c r="AE148" s="643"/>
      <c r="AF148" s="644"/>
      <c r="AG148" s="644"/>
      <c r="AH148" s="644"/>
      <c r="AI148" s="644"/>
      <c r="AJ148" s="644"/>
      <c r="AK148" s="547"/>
      <c r="AL148" s="576"/>
    </row>
    <row r="149" spans="5:38" x14ac:dyDescent="0.3">
      <c r="E149" s="293" t="s">
        <v>343</v>
      </c>
      <c r="F149" s="604" t="s">
        <v>795</v>
      </c>
      <c r="G149" s="294">
        <v>1</v>
      </c>
      <c r="H149" s="295" t="s">
        <v>45</v>
      </c>
      <c r="I149" s="294">
        <v>84900000</v>
      </c>
      <c r="P149" s="295" t="s">
        <v>576</v>
      </c>
      <c r="R149" s="500"/>
      <c r="S149" s="639"/>
      <c r="T149" s="640"/>
      <c r="U149" s="640"/>
      <c r="V149" s="640"/>
      <c r="W149" s="640"/>
      <c r="X149" s="640"/>
      <c r="Y149" s="553"/>
      <c r="Z149" s="527" t="str">
        <f>IFERROR(INDEX(잔가map!$C$14:$AR$18,MATCH(차량DB!$Z$5,잔가map!$B$14:$B$18,0),MATCH(차량DB!Y149,잔가map!$C$13:$AR$13,0)),"")</f>
        <v/>
      </c>
      <c r="AA149" s="527" t="str">
        <f>IFERROR(INDEX(잔가map!$C$14:$AR$18,MATCH(차량DB!$AA$5,잔가map!$B$14:$B$18,0),MATCH(차량DB!Y149,잔가map!$C$13:$AR$13,0)),"")</f>
        <v/>
      </c>
      <c r="AB149" s="527" t="str">
        <f>IFERROR(INDEX(잔가map!$C$14:$AR$18,MATCH(차량DB!$AB$5,잔가map!$B$14:$B$18,0),MATCH(차량DB!Y149,잔가map!$C$13:$AR$13,0)),"")</f>
        <v/>
      </c>
      <c r="AC149" s="527" t="str">
        <f>IFERROR(INDEX(잔가map!$C$14:$AR$18,MATCH(차량DB!$AC$5,잔가map!$B$14:$B$18,0),MATCH(차량DB!Y149,잔가map!$C$13:$AR$13,0)),"")</f>
        <v/>
      </c>
      <c r="AD149" s="527" t="str">
        <f>IFERROR(INDEX(잔가map!$C$14:$AR$18,MATCH(차량DB!$AD$5,잔가map!$B$14:$B$18,0),MATCH(차량DB!Y149,잔가map!$C$13:$AR$13,0)),"")</f>
        <v/>
      </c>
      <c r="AE149" s="643"/>
      <c r="AF149" s="644"/>
      <c r="AG149" s="644"/>
      <c r="AH149" s="644"/>
      <c r="AI149" s="644"/>
      <c r="AJ149" s="644"/>
      <c r="AK149" s="547"/>
      <c r="AL149" s="576"/>
    </row>
    <row r="150" spans="5:38" x14ac:dyDescent="0.3">
      <c r="E150" s="293" t="s">
        <v>343</v>
      </c>
      <c r="F150" s="604" t="s">
        <v>796</v>
      </c>
      <c r="G150" s="294">
        <v>1</v>
      </c>
      <c r="H150" s="295" t="s">
        <v>45</v>
      </c>
      <c r="I150" s="294">
        <v>88200000</v>
      </c>
      <c r="P150" s="295" t="s">
        <v>576</v>
      </c>
      <c r="R150" s="500"/>
      <c r="S150" s="639"/>
      <c r="T150" s="640"/>
      <c r="U150" s="640"/>
      <c r="V150" s="640"/>
      <c r="W150" s="640"/>
      <c r="X150" s="640"/>
      <c r="Y150" s="553"/>
      <c r="Z150" s="527" t="str">
        <f>IFERROR(INDEX(잔가map!$C$14:$AR$18,MATCH(차량DB!$Z$5,잔가map!$B$14:$B$18,0),MATCH(차량DB!Y150,잔가map!$C$13:$AR$13,0)),"")</f>
        <v/>
      </c>
      <c r="AA150" s="527" t="str">
        <f>IFERROR(INDEX(잔가map!$C$14:$AR$18,MATCH(차량DB!$AA$5,잔가map!$B$14:$B$18,0),MATCH(차량DB!Y150,잔가map!$C$13:$AR$13,0)),"")</f>
        <v/>
      </c>
      <c r="AB150" s="527" t="str">
        <f>IFERROR(INDEX(잔가map!$C$14:$AR$18,MATCH(차량DB!$AB$5,잔가map!$B$14:$B$18,0),MATCH(차량DB!Y150,잔가map!$C$13:$AR$13,0)),"")</f>
        <v/>
      </c>
      <c r="AC150" s="527" t="str">
        <f>IFERROR(INDEX(잔가map!$C$14:$AR$18,MATCH(차량DB!$AC$5,잔가map!$B$14:$B$18,0),MATCH(차량DB!Y150,잔가map!$C$13:$AR$13,0)),"")</f>
        <v/>
      </c>
      <c r="AD150" s="527" t="str">
        <f>IFERROR(INDEX(잔가map!$C$14:$AR$18,MATCH(차량DB!$AD$5,잔가map!$B$14:$B$18,0),MATCH(차량DB!Y150,잔가map!$C$13:$AR$13,0)),"")</f>
        <v/>
      </c>
      <c r="AE150" s="643"/>
      <c r="AF150" s="644"/>
      <c r="AG150" s="644"/>
      <c r="AH150" s="644"/>
      <c r="AI150" s="644"/>
      <c r="AJ150" s="644"/>
      <c r="AK150" s="547"/>
      <c r="AL150" s="576"/>
    </row>
    <row r="151" spans="5:38" x14ac:dyDescent="0.3">
      <c r="E151" s="293" t="s">
        <v>343</v>
      </c>
      <c r="F151" s="604" t="s">
        <v>797</v>
      </c>
      <c r="G151" s="294">
        <v>1</v>
      </c>
      <c r="H151" s="295" t="s">
        <v>45</v>
      </c>
      <c r="I151" s="294">
        <v>217100000</v>
      </c>
      <c r="P151" s="295" t="s">
        <v>576</v>
      </c>
      <c r="R151" s="500"/>
      <c r="S151" s="639"/>
      <c r="T151" s="640"/>
      <c r="U151" s="640"/>
      <c r="V151" s="640"/>
      <c r="W151" s="640"/>
      <c r="X151" s="640"/>
      <c r="Y151" s="553"/>
      <c r="Z151" s="527" t="str">
        <f>IFERROR(INDEX(잔가map!$C$14:$AR$18,MATCH(차량DB!$Z$5,잔가map!$B$14:$B$18,0),MATCH(차량DB!Y151,잔가map!$C$13:$AR$13,0)),"")</f>
        <v/>
      </c>
      <c r="AA151" s="527" t="str">
        <f>IFERROR(INDEX(잔가map!$C$14:$AR$18,MATCH(차량DB!$AA$5,잔가map!$B$14:$B$18,0),MATCH(차량DB!Y151,잔가map!$C$13:$AR$13,0)),"")</f>
        <v/>
      </c>
      <c r="AB151" s="527" t="str">
        <f>IFERROR(INDEX(잔가map!$C$14:$AR$18,MATCH(차량DB!$AB$5,잔가map!$B$14:$B$18,0),MATCH(차량DB!Y151,잔가map!$C$13:$AR$13,0)),"")</f>
        <v/>
      </c>
      <c r="AC151" s="527" t="str">
        <f>IFERROR(INDEX(잔가map!$C$14:$AR$18,MATCH(차량DB!$AC$5,잔가map!$B$14:$B$18,0),MATCH(차량DB!Y151,잔가map!$C$13:$AR$13,0)),"")</f>
        <v/>
      </c>
      <c r="AD151" s="527" t="str">
        <f>IFERROR(INDEX(잔가map!$C$14:$AR$18,MATCH(차량DB!$AD$5,잔가map!$B$14:$B$18,0),MATCH(차량DB!Y151,잔가map!$C$13:$AR$13,0)),"")</f>
        <v/>
      </c>
      <c r="AE151" s="643"/>
      <c r="AF151" s="644"/>
      <c r="AG151" s="644"/>
      <c r="AH151" s="644"/>
      <c r="AI151" s="644"/>
      <c r="AJ151" s="644"/>
      <c r="AK151" s="547"/>
      <c r="AL151" s="576"/>
    </row>
    <row r="152" spans="5:38" x14ac:dyDescent="0.3">
      <c r="E152" s="293" t="s">
        <v>343</v>
      </c>
      <c r="F152" s="604" t="s">
        <v>798</v>
      </c>
      <c r="G152" s="294">
        <v>1</v>
      </c>
      <c r="H152" s="295" t="s">
        <v>45</v>
      </c>
      <c r="I152" s="294">
        <v>220100000</v>
      </c>
      <c r="P152" s="295" t="s">
        <v>576</v>
      </c>
      <c r="R152" s="500"/>
      <c r="S152" s="639"/>
      <c r="T152" s="640"/>
      <c r="U152" s="640"/>
      <c r="V152" s="640"/>
      <c r="W152" s="640"/>
      <c r="X152" s="640"/>
      <c r="Y152" s="553"/>
      <c r="Z152" s="527" t="str">
        <f>IFERROR(INDEX(잔가map!$C$14:$AR$18,MATCH(차량DB!$Z$5,잔가map!$B$14:$B$18,0),MATCH(차량DB!Y152,잔가map!$C$13:$AR$13,0)),"")</f>
        <v/>
      </c>
      <c r="AA152" s="527" t="str">
        <f>IFERROR(INDEX(잔가map!$C$14:$AR$18,MATCH(차량DB!$AA$5,잔가map!$B$14:$B$18,0),MATCH(차량DB!Y152,잔가map!$C$13:$AR$13,0)),"")</f>
        <v/>
      </c>
      <c r="AB152" s="527" t="str">
        <f>IFERROR(INDEX(잔가map!$C$14:$AR$18,MATCH(차량DB!$AB$5,잔가map!$B$14:$B$18,0),MATCH(차량DB!Y152,잔가map!$C$13:$AR$13,0)),"")</f>
        <v/>
      </c>
      <c r="AC152" s="527" t="str">
        <f>IFERROR(INDEX(잔가map!$C$14:$AR$18,MATCH(차량DB!$AC$5,잔가map!$B$14:$B$18,0),MATCH(차량DB!Y152,잔가map!$C$13:$AR$13,0)),"")</f>
        <v/>
      </c>
      <c r="AD152" s="527" t="str">
        <f>IFERROR(INDEX(잔가map!$C$14:$AR$18,MATCH(차량DB!$AD$5,잔가map!$B$14:$B$18,0),MATCH(차량DB!Y152,잔가map!$C$13:$AR$13,0)),"")</f>
        <v/>
      </c>
      <c r="AE152" s="643"/>
      <c r="AF152" s="644"/>
      <c r="AG152" s="644"/>
      <c r="AH152" s="644"/>
      <c r="AI152" s="644"/>
      <c r="AJ152" s="644"/>
      <c r="AK152" s="547"/>
      <c r="AL152" s="576"/>
    </row>
    <row r="153" spans="5:38" x14ac:dyDescent="0.3">
      <c r="E153" s="293" t="s">
        <v>343</v>
      </c>
      <c r="F153" s="604" t="s">
        <v>799</v>
      </c>
      <c r="G153" s="294">
        <v>1</v>
      </c>
      <c r="H153" s="295" t="s">
        <v>45</v>
      </c>
      <c r="I153" s="294">
        <v>159100000</v>
      </c>
      <c r="P153" s="295" t="s">
        <v>576</v>
      </c>
      <c r="R153" s="500"/>
      <c r="S153" s="639"/>
      <c r="T153" s="640"/>
      <c r="U153" s="640"/>
      <c r="V153" s="640"/>
      <c r="W153" s="640"/>
      <c r="X153" s="640"/>
      <c r="Y153" s="553"/>
      <c r="Z153" s="527" t="str">
        <f>IFERROR(INDEX(잔가map!$C$14:$AR$18,MATCH(차량DB!$Z$5,잔가map!$B$14:$B$18,0),MATCH(차량DB!Y153,잔가map!$C$13:$AR$13,0)),"")</f>
        <v/>
      </c>
      <c r="AA153" s="527" t="str">
        <f>IFERROR(INDEX(잔가map!$C$14:$AR$18,MATCH(차량DB!$AA$5,잔가map!$B$14:$B$18,0),MATCH(차량DB!Y153,잔가map!$C$13:$AR$13,0)),"")</f>
        <v/>
      </c>
      <c r="AB153" s="527" t="str">
        <f>IFERROR(INDEX(잔가map!$C$14:$AR$18,MATCH(차량DB!$AB$5,잔가map!$B$14:$B$18,0),MATCH(차량DB!Y153,잔가map!$C$13:$AR$13,0)),"")</f>
        <v/>
      </c>
      <c r="AC153" s="527" t="str">
        <f>IFERROR(INDEX(잔가map!$C$14:$AR$18,MATCH(차량DB!$AC$5,잔가map!$B$14:$B$18,0),MATCH(차량DB!Y153,잔가map!$C$13:$AR$13,0)),"")</f>
        <v/>
      </c>
      <c r="AD153" s="527" t="str">
        <f>IFERROR(INDEX(잔가map!$C$14:$AR$18,MATCH(차량DB!$AD$5,잔가map!$B$14:$B$18,0),MATCH(차량DB!Y153,잔가map!$C$13:$AR$13,0)),"")</f>
        <v/>
      </c>
      <c r="AE153" s="643"/>
      <c r="AF153" s="644"/>
      <c r="AG153" s="644"/>
      <c r="AH153" s="644"/>
      <c r="AI153" s="644"/>
      <c r="AJ153" s="644"/>
      <c r="AK153" s="547"/>
      <c r="AL153" s="576"/>
    </row>
    <row r="154" spans="5:38" x14ac:dyDescent="0.3">
      <c r="E154" s="293" t="s">
        <v>343</v>
      </c>
      <c r="F154" s="604" t="s">
        <v>800</v>
      </c>
      <c r="G154" s="294">
        <v>1</v>
      </c>
      <c r="H154" s="295" t="s">
        <v>45</v>
      </c>
      <c r="I154" s="294">
        <v>148900000</v>
      </c>
      <c r="P154" s="295" t="s">
        <v>576</v>
      </c>
      <c r="R154" s="500"/>
      <c r="S154" s="639"/>
      <c r="T154" s="640"/>
      <c r="U154" s="640"/>
      <c r="V154" s="640"/>
      <c r="W154" s="640"/>
      <c r="X154" s="640"/>
      <c r="Y154" s="553"/>
      <c r="Z154" s="527" t="str">
        <f>IFERROR(INDEX(잔가map!$C$14:$AR$18,MATCH(차량DB!$Z$5,잔가map!$B$14:$B$18,0),MATCH(차량DB!Y154,잔가map!$C$13:$AR$13,0)),"")</f>
        <v/>
      </c>
      <c r="AA154" s="527" t="str">
        <f>IFERROR(INDEX(잔가map!$C$14:$AR$18,MATCH(차량DB!$AA$5,잔가map!$B$14:$B$18,0),MATCH(차량DB!Y154,잔가map!$C$13:$AR$13,0)),"")</f>
        <v/>
      </c>
      <c r="AB154" s="527" t="str">
        <f>IFERROR(INDEX(잔가map!$C$14:$AR$18,MATCH(차량DB!$AB$5,잔가map!$B$14:$B$18,0),MATCH(차량DB!Y154,잔가map!$C$13:$AR$13,0)),"")</f>
        <v/>
      </c>
      <c r="AC154" s="527" t="str">
        <f>IFERROR(INDEX(잔가map!$C$14:$AR$18,MATCH(차량DB!$AC$5,잔가map!$B$14:$B$18,0),MATCH(차량DB!Y154,잔가map!$C$13:$AR$13,0)),"")</f>
        <v/>
      </c>
      <c r="AD154" s="527" t="str">
        <f>IFERROR(INDEX(잔가map!$C$14:$AR$18,MATCH(차량DB!$AD$5,잔가map!$B$14:$B$18,0),MATCH(차량DB!Y154,잔가map!$C$13:$AR$13,0)),"")</f>
        <v/>
      </c>
      <c r="AE154" s="643"/>
      <c r="AF154" s="644"/>
      <c r="AG154" s="644"/>
      <c r="AH154" s="644"/>
      <c r="AI154" s="644"/>
      <c r="AJ154" s="644"/>
      <c r="AK154" s="547"/>
      <c r="AL154" s="576"/>
    </row>
    <row r="155" spans="5:38" x14ac:dyDescent="0.3">
      <c r="E155" s="293" t="s">
        <v>343</v>
      </c>
      <c r="F155" s="604" t="s">
        <v>801</v>
      </c>
      <c r="G155" s="294">
        <v>1</v>
      </c>
      <c r="H155" s="295" t="s">
        <v>45</v>
      </c>
      <c r="I155" s="294">
        <v>82600000</v>
      </c>
      <c r="P155" s="295" t="s">
        <v>576</v>
      </c>
      <c r="R155" s="500"/>
      <c r="S155" s="639"/>
      <c r="T155" s="640"/>
      <c r="U155" s="640"/>
      <c r="V155" s="640"/>
      <c r="W155" s="640"/>
      <c r="X155" s="640"/>
      <c r="Y155" s="553"/>
      <c r="Z155" s="527" t="str">
        <f>IFERROR(INDEX(잔가map!$C$14:$AR$18,MATCH(차량DB!$Z$5,잔가map!$B$14:$B$18,0),MATCH(차량DB!Y155,잔가map!$C$13:$AR$13,0)),"")</f>
        <v/>
      </c>
      <c r="AA155" s="527" t="str">
        <f>IFERROR(INDEX(잔가map!$C$14:$AR$18,MATCH(차량DB!$AA$5,잔가map!$B$14:$B$18,0),MATCH(차량DB!Y155,잔가map!$C$13:$AR$13,0)),"")</f>
        <v/>
      </c>
      <c r="AB155" s="527" t="str">
        <f>IFERROR(INDEX(잔가map!$C$14:$AR$18,MATCH(차량DB!$AB$5,잔가map!$B$14:$B$18,0),MATCH(차량DB!Y155,잔가map!$C$13:$AR$13,0)),"")</f>
        <v/>
      </c>
      <c r="AC155" s="527" t="str">
        <f>IFERROR(INDEX(잔가map!$C$14:$AR$18,MATCH(차량DB!$AC$5,잔가map!$B$14:$B$18,0),MATCH(차량DB!Y155,잔가map!$C$13:$AR$13,0)),"")</f>
        <v/>
      </c>
      <c r="AD155" s="527" t="str">
        <f>IFERROR(INDEX(잔가map!$C$14:$AR$18,MATCH(차량DB!$AD$5,잔가map!$B$14:$B$18,0),MATCH(차량DB!Y155,잔가map!$C$13:$AR$13,0)),"")</f>
        <v/>
      </c>
      <c r="AE155" s="643"/>
      <c r="AF155" s="644"/>
      <c r="AG155" s="644"/>
      <c r="AH155" s="644"/>
      <c r="AI155" s="644"/>
      <c r="AJ155" s="644"/>
      <c r="AK155" s="547"/>
      <c r="AL155" s="576"/>
    </row>
    <row r="156" spans="5:38" x14ac:dyDescent="0.3">
      <c r="E156" s="293" t="s">
        <v>343</v>
      </c>
      <c r="F156" s="604" t="s">
        <v>306</v>
      </c>
      <c r="G156" s="294">
        <v>2979</v>
      </c>
      <c r="H156" s="295" t="s">
        <v>45</v>
      </c>
      <c r="I156" s="294">
        <v>89900000</v>
      </c>
      <c r="P156" s="295" t="s">
        <v>576</v>
      </c>
      <c r="R156" s="500">
        <v>0</v>
      </c>
      <c r="S156" s="639" t="s">
        <v>1269</v>
      </c>
      <c r="T156" s="640"/>
      <c r="U156" s="640"/>
      <c r="V156" s="640"/>
      <c r="W156" s="640"/>
      <c r="X156" s="640"/>
      <c r="Y156" s="553"/>
      <c r="Z156" s="527" t="str">
        <f>IFERROR(INDEX(잔가map!$C$14:$AR$18,MATCH(차량DB!$Z$5,잔가map!$B$14:$B$18,0),MATCH(차량DB!Y156,잔가map!$C$13:$AR$13,0)),"")</f>
        <v/>
      </c>
      <c r="AA156" s="527" t="str">
        <f>IFERROR(INDEX(잔가map!$C$14:$AR$18,MATCH(차량DB!$AA$5,잔가map!$B$14:$B$18,0),MATCH(차량DB!Y156,잔가map!$C$13:$AR$13,0)),"")</f>
        <v/>
      </c>
      <c r="AB156" s="527" t="str">
        <f>IFERROR(INDEX(잔가map!$C$14:$AR$18,MATCH(차량DB!$AB$5,잔가map!$B$14:$B$18,0),MATCH(차량DB!Y156,잔가map!$C$13:$AR$13,0)),"")</f>
        <v/>
      </c>
      <c r="AC156" s="527" t="str">
        <f>IFERROR(INDEX(잔가map!$C$14:$AR$18,MATCH(차량DB!$AC$5,잔가map!$B$14:$B$18,0),MATCH(차량DB!Y156,잔가map!$C$13:$AR$13,0)),"")</f>
        <v/>
      </c>
      <c r="AD156" s="527" t="str">
        <f>IFERROR(INDEX(잔가map!$C$14:$AR$18,MATCH(차량DB!$AD$5,잔가map!$B$14:$B$18,0),MATCH(차량DB!Y156,잔가map!$C$13:$AR$13,0)),"")</f>
        <v/>
      </c>
      <c r="AE156" s="643"/>
      <c r="AF156" s="644"/>
      <c r="AG156" s="644"/>
      <c r="AH156" s="644"/>
      <c r="AI156" s="644"/>
      <c r="AJ156" s="644"/>
      <c r="AK156" s="547"/>
      <c r="AL156" s="576"/>
    </row>
    <row r="157" spans="5:38" x14ac:dyDescent="0.3">
      <c r="E157" s="293" t="s">
        <v>343</v>
      </c>
      <c r="F157" s="604" t="s">
        <v>1157</v>
      </c>
      <c r="G157" s="294">
        <v>2993</v>
      </c>
      <c r="H157" s="295" t="s">
        <v>45</v>
      </c>
      <c r="I157" s="294">
        <v>135800000</v>
      </c>
      <c r="P157" s="295" t="s">
        <v>576</v>
      </c>
      <c r="R157" s="500">
        <v>0</v>
      </c>
      <c r="S157" s="639" t="s">
        <v>1289</v>
      </c>
      <c r="T157" s="640"/>
      <c r="U157" s="640"/>
      <c r="V157" s="640"/>
      <c r="W157" s="640"/>
      <c r="X157" s="640"/>
      <c r="Y157" s="553"/>
      <c r="Z157" s="527" t="str">
        <f>IFERROR(INDEX(잔가map!$C$14:$AR$18,MATCH(차량DB!$Z$5,잔가map!$B$14:$B$18,0),MATCH(차량DB!Y157,잔가map!$C$13:$AR$13,0)),"")</f>
        <v/>
      </c>
      <c r="AA157" s="527" t="str">
        <f>IFERROR(INDEX(잔가map!$C$14:$AR$18,MATCH(차량DB!$AA$5,잔가map!$B$14:$B$18,0),MATCH(차량DB!Y157,잔가map!$C$13:$AR$13,0)),"")</f>
        <v/>
      </c>
      <c r="AB157" s="527" t="str">
        <f>IFERROR(INDEX(잔가map!$C$14:$AR$18,MATCH(차량DB!$AB$5,잔가map!$B$14:$B$18,0),MATCH(차량DB!Y157,잔가map!$C$13:$AR$13,0)),"")</f>
        <v/>
      </c>
      <c r="AC157" s="527" t="str">
        <f>IFERROR(INDEX(잔가map!$C$14:$AR$18,MATCH(차량DB!$AC$5,잔가map!$B$14:$B$18,0),MATCH(차량DB!Y157,잔가map!$C$13:$AR$13,0)),"")</f>
        <v/>
      </c>
      <c r="AD157" s="527" t="str">
        <f>IFERROR(INDEX(잔가map!$C$14:$AR$18,MATCH(차량DB!$AD$5,잔가map!$B$14:$B$18,0),MATCH(차량DB!Y157,잔가map!$C$13:$AR$13,0)),"")</f>
        <v/>
      </c>
      <c r="AE157" s="643"/>
      <c r="AF157" s="644"/>
      <c r="AG157" s="644"/>
      <c r="AH157" s="644"/>
      <c r="AI157" s="644"/>
      <c r="AJ157" s="644"/>
      <c r="AK157" s="547"/>
      <c r="AL157" s="576"/>
    </row>
    <row r="158" spans="5:38" x14ac:dyDescent="0.3">
      <c r="E158" s="293" t="s">
        <v>343</v>
      </c>
      <c r="F158" s="604" t="s">
        <v>805</v>
      </c>
      <c r="G158" s="294">
        <v>2993</v>
      </c>
      <c r="H158" s="295" t="s">
        <v>45</v>
      </c>
      <c r="I158" s="294">
        <v>137600000</v>
      </c>
      <c r="P158" s="295" t="s">
        <v>576</v>
      </c>
      <c r="R158" s="500">
        <v>0</v>
      </c>
      <c r="S158" s="639" t="s">
        <v>1289</v>
      </c>
      <c r="T158" s="640"/>
      <c r="U158" s="640"/>
      <c r="V158" s="640"/>
      <c r="W158" s="640"/>
      <c r="X158" s="640"/>
      <c r="Y158" s="553"/>
      <c r="Z158" s="527" t="str">
        <f>IFERROR(INDEX(잔가map!$C$14:$AR$18,MATCH(차량DB!$Z$5,잔가map!$B$14:$B$18,0),MATCH(차량DB!Y158,잔가map!$C$13:$AR$13,0)),"")</f>
        <v/>
      </c>
      <c r="AA158" s="527" t="str">
        <f>IFERROR(INDEX(잔가map!$C$14:$AR$18,MATCH(차량DB!$AA$5,잔가map!$B$14:$B$18,0),MATCH(차량DB!Y158,잔가map!$C$13:$AR$13,0)),"")</f>
        <v/>
      </c>
      <c r="AB158" s="527" t="str">
        <f>IFERROR(INDEX(잔가map!$C$14:$AR$18,MATCH(차량DB!$AB$5,잔가map!$B$14:$B$18,0),MATCH(차량DB!Y158,잔가map!$C$13:$AR$13,0)),"")</f>
        <v/>
      </c>
      <c r="AC158" s="527" t="str">
        <f>IFERROR(INDEX(잔가map!$C$14:$AR$18,MATCH(차량DB!$AC$5,잔가map!$B$14:$B$18,0),MATCH(차량DB!Y158,잔가map!$C$13:$AR$13,0)),"")</f>
        <v/>
      </c>
      <c r="AD158" s="527" t="str">
        <f>IFERROR(INDEX(잔가map!$C$14:$AR$18,MATCH(차량DB!$AD$5,잔가map!$B$14:$B$18,0),MATCH(차량DB!Y158,잔가map!$C$13:$AR$13,0)),"")</f>
        <v/>
      </c>
      <c r="AE158" s="643"/>
      <c r="AF158" s="644"/>
      <c r="AG158" s="644"/>
      <c r="AH158" s="644"/>
      <c r="AI158" s="644"/>
      <c r="AJ158" s="644"/>
      <c r="AK158" s="547"/>
      <c r="AL158" s="576"/>
    </row>
    <row r="159" spans="5:38" x14ac:dyDescent="0.3">
      <c r="E159" s="293" t="s">
        <v>343</v>
      </c>
      <c r="F159" s="604" t="s">
        <v>809</v>
      </c>
      <c r="G159" s="294">
        <v>2993</v>
      </c>
      <c r="H159" s="295" t="s">
        <v>45</v>
      </c>
      <c r="I159" s="294">
        <v>134900000</v>
      </c>
      <c r="P159" s="295" t="s">
        <v>576</v>
      </c>
      <c r="R159" s="500">
        <v>0</v>
      </c>
      <c r="S159" s="639" t="s">
        <v>1289</v>
      </c>
      <c r="T159" s="640"/>
      <c r="U159" s="640"/>
      <c r="V159" s="640"/>
      <c r="W159" s="640"/>
      <c r="X159" s="640"/>
      <c r="Y159" s="553"/>
      <c r="Z159" s="527" t="str">
        <f>IFERROR(INDEX(잔가map!$C$14:$AR$18,MATCH(차량DB!$Z$5,잔가map!$B$14:$B$18,0),MATCH(차량DB!Y159,잔가map!$C$13:$AR$13,0)),"")</f>
        <v/>
      </c>
      <c r="AA159" s="527" t="str">
        <f>IFERROR(INDEX(잔가map!$C$14:$AR$18,MATCH(차량DB!$AA$5,잔가map!$B$14:$B$18,0),MATCH(차량DB!Y159,잔가map!$C$13:$AR$13,0)),"")</f>
        <v/>
      </c>
      <c r="AB159" s="527" t="str">
        <f>IFERROR(INDEX(잔가map!$C$14:$AR$18,MATCH(차량DB!$AB$5,잔가map!$B$14:$B$18,0),MATCH(차량DB!Y159,잔가map!$C$13:$AR$13,0)),"")</f>
        <v/>
      </c>
      <c r="AC159" s="527" t="str">
        <f>IFERROR(INDEX(잔가map!$C$14:$AR$18,MATCH(차량DB!$AC$5,잔가map!$B$14:$B$18,0),MATCH(차량DB!Y159,잔가map!$C$13:$AR$13,0)),"")</f>
        <v/>
      </c>
      <c r="AD159" s="527" t="str">
        <f>IFERROR(INDEX(잔가map!$C$14:$AR$18,MATCH(차량DB!$AD$5,잔가map!$B$14:$B$18,0),MATCH(차량DB!Y159,잔가map!$C$13:$AR$13,0)),"")</f>
        <v/>
      </c>
      <c r="AE159" s="643"/>
      <c r="AF159" s="644"/>
      <c r="AG159" s="644"/>
      <c r="AH159" s="644"/>
      <c r="AI159" s="644"/>
      <c r="AJ159" s="644"/>
      <c r="AK159" s="547"/>
      <c r="AL159" s="576"/>
    </row>
    <row r="160" spans="5:38" x14ac:dyDescent="0.3">
      <c r="E160" s="293" t="s">
        <v>343</v>
      </c>
      <c r="F160" s="604" t="s">
        <v>810</v>
      </c>
      <c r="G160" s="294">
        <v>2993</v>
      </c>
      <c r="H160" s="295" t="s">
        <v>45</v>
      </c>
      <c r="I160" s="294">
        <v>139300000</v>
      </c>
      <c r="P160" s="295" t="s">
        <v>576</v>
      </c>
      <c r="R160" s="500">
        <v>0</v>
      </c>
      <c r="S160" s="639" t="s">
        <v>1270</v>
      </c>
      <c r="T160" s="640"/>
      <c r="U160" s="640"/>
      <c r="V160" s="640"/>
      <c r="W160" s="640"/>
      <c r="X160" s="640"/>
      <c r="Y160" s="553"/>
      <c r="Z160" s="527" t="str">
        <f>IFERROR(INDEX(잔가map!$C$14:$AR$18,MATCH(차량DB!$Z$5,잔가map!$B$14:$B$18,0),MATCH(차량DB!Y160,잔가map!$C$13:$AR$13,0)),"")</f>
        <v/>
      </c>
      <c r="AA160" s="527" t="str">
        <f>IFERROR(INDEX(잔가map!$C$14:$AR$18,MATCH(차량DB!$AA$5,잔가map!$B$14:$B$18,0),MATCH(차량DB!Y160,잔가map!$C$13:$AR$13,0)),"")</f>
        <v/>
      </c>
      <c r="AB160" s="527" t="str">
        <f>IFERROR(INDEX(잔가map!$C$14:$AR$18,MATCH(차량DB!$AB$5,잔가map!$B$14:$B$18,0),MATCH(차량DB!Y160,잔가map!$C$13:$AR$13,0)),"")</f>
        <v/>
      </c>
      <c r="AC160" s="527" t="str">
        <f>IFERROR(INDEX(잔가map!$C$14:$AR$18,MATCH(차량DB!$AC$5,잔가map!$B$14:$B$18,0),MATCH(차량DB!Y160,잔가map!$C$13:$AR$13,0)),"")</f>
        <v/>
      </c>
      <c r="AD160" s="527" t="str">
        <f>IFERROR(INDEX(잔가map!$C$14:$AR$18,MATCH(차량DB!$AD$5,잔가map!$B$14:$B$18,0),MATCH(차량DB!Y160,잔가map!$C$13:$AR$13,0)),"")</f>
        <v/>
      </c>
      <c r="AE160" s="643"/>
      <c r="AF160" s="644"/>
      <c r="AG160" s="644"/>
      <c r="AH160" s="644"/>
      <c r="AI160" s="644"/>
      <c r="AJ160" s="644"/>
      <c r="AK160" s="547"/>
      <c r="AL160" s="576"/>
    </row>
    <row r="161" spans="5:38" x14ac:dyDescent="0.3">
      <c r="E161" s="293" t="s">
        <v>343</v>
      </c>
      <c r="F161" s="604" t="s">
        <v>466</v>
      </c>
      <c r="G161" s="294">
        <v>4395</v>
      </c>
      <c r="H161" s="295" t="s">
        <v>45</v>
      </c>
      <c r="I161" s="294">
        <v>169700000</v>
      </c>
      <c r="P161" s="295" t="s">
        <v>576</v>
      </c>
      <c r="R161" s="500">
        <v>0</v>
      </c>
      <c r="S161" s="639" t="s">
        <v>1290</v>
      </c>
      <c r="T161" s="640"/>
      <c r="U161" s="640"/>
      <c r="V161" s="640"/>
      <c r="W161" s="640"/>
      <c r="X161" s="640"/>
      <c r="Y161" s="553"/>
      <c r="Z161" s="527" t="str">
        <f>IFERROR(INDEX(잔가map!$C$14:$AR$18,MATCH(차량DB!$Z$5,잔가map!$B$14:$B$18,0),MATCH(차량DB!Y161,잔가map!$C$13:$AR$13,0)),"")</f>
        <v/>
      </c>
      <c r="AA161" s="527" t="str">
        <f>IFERROR(INDEX(잔가map!$C$14:$AR$18,MATCH(차량DB!$AA$5,잔가map!$B$14:$B$18,0),MATCH(차량DB!Y161,잔가map!$C$13:$AR$13,0)),"")</f>
        <v/>
      </c>
      <c r="AB161" s="527" t="str">
        <f>IFERROR(INDEX(잔가map!$C$14:$AR$18,MATCH(차량DB!$AB$5,잔가map!$B$14:$B$18,0),MATCH(차량DB!Y161,잔가map!$C$13:$AR$13,0)),"")</f>
        <v/>
      </c>
      <c r="AC161" s="527" t="str">
        <f>IFERROR(INDEX(잔가map!$C$14:$AR$18,MATCH(차량DB!$AC$5,잔가map!$B$14:$B$18,0),MATCH(차량DB!Y161,잔가map!$C$13:$AR$13,0)),"")</f>
        <v/>
      </c>
      <c r="AD161" s="527" t="str">
        <f>IFERROR(INDEX(잔가map!$C$14:$AR$18,MATCH(차량DB!$AD$5,잔가map!$B$14:$B$18,0),MATCH(차량DB!Y161,잔가map!$C$13:$AR$13,0)),"")</f>
        <v/>
      </c>
      <c r="AE161" s="643"/>
      <c r="AF161" s="644"/>
      <c r="AG161" s="644"/>
      <c r="AH161" s="644"/>
      <c r="AI161" s="644"/>
      <c r="AJ161" s="644"/>
      <c r="AK161" s="547"/>
      <c r="AL161" s="576"/>
    </row>
    <row r="162" spans="5:38" x14ac:dyDescent="0.3">
      <c r="E162" s="293" t="s">
        <v>343</v>
      </c>
      <c r="F162" s="604" t="s">
        <v>467</v>
      </c>
      <c r="G162" s="294">
        <v>4395</v>
      </c>
      <c r="H162" s="295" t="s">
        <v>45</v>
      </c>
      <c r="I162" s="294">
        <v>240800000</v>
      </c>
      <c r="P162" s="295" t="s">
        <v>576</v>
      </c>
      <c r="R162" s="500">
        <v>0</v>
      </c>
      <c r="S162" s="639" t="s">
        <v>1283</v>
      </c>
      <c r="T162" s="640"/>
      <c r="U162" s="640"/>
      <c r="V162" s="640"/>
      <c r="W162" s="640"/>
      <c r="X162" s="640"/>
      <c r="Y162" s="553"/>
      <c r="Z162" s="527" t="str">
        <f>IFERROR(INDEX(잔가map!$C$14:$AR$18,MATCH(차량DB!$Z$5,잔가map!$B$14:$B$18,0),MATCH(차량DB!Y162,잔가map!$C$13:$AR$13,0)),"")</f>
        <v/>
      </c>
      <c r="AA162" s="527" t="str">
        <f>IFERROR(INDEX(잔가map!$C$14:$AR$18,MATCH(차량DB!$AA$5,잔가map!$B$14:$B$18,0),MATCH(차량DB!Y162,잔가map!$C$13:$AR$13,0)),"")</f>
        <v/>
      </c>
      <c r="AB162" s="527" t="str">
        <f>IFERROR(INDEX(잔가map!$C$14:$AR$18,MATCH(차량DB!$AB$5,잔가map!$B$14:$B$18,0),MATCH(차량DB!Y162,잔가map!$C$13:$AR$13,0)),"")</f>
        <v/>
      </c>
      <c r="AC162" s="527" t="str">
        <f>IFERROR(INDEX(잔가map!$C$14:$AR$18,MATCH(차량DB!$AC$5,잔가map!$B$14:$B$18,0),MATCH(차량DB!Y162,잔가map!$C$13:$AR$13,0)),"")</f>
        <v/>
      </c>
      <c r="AD162" s="527" t="str">
        <f>IFERROR(INDEX(잔가map!$C$14:$AR$18,MATCH(차량DB!$AD$5,잔가map!$B$14:$B$18,0),MATCH(차량DB!Y162,잔가map!$C$13:$AR$13,0)),"")</f>
        <v/>
      </c>
      <c r="AE162" s="643"/>
      <c r="AF162" s="644"/>
      <c r="AG162" s="644"/>
      <c r="AH162" s="644"/>
      <c r="AI162" s="644"/>
      <c r="AJ162" s="644"/>
      <c r="AK162" s="547"/>
      <c r="AL162" s="576"/>
    </row>
    <row r="163" spans="5:38" x14ac:dyDescent="0.3">
      <c r="E163" s="293" t="s">
        <v>343</v>
      </c>
      <c r="F163" s="604" t="s">
        <v>468</v>
      </c>
      <c r="G163" s="294">
        <v>4395</v>
      </c>
      <c r="H163" s="295" t="s">
        <v>45</v>
      </c>
      <c r="I163" s="294">
        <v>240400000</v>
      </c>
      <c r="P163" s="295" t="s">
        <v>576</v>
      </c>
      <c r="R163" s="500">
        <v>0</v>
      </c>
      <c r="S163" s="639" t="s">
        <v>1284</v>
      </c>
      <c r="T163" s="640"/>
      <c r="U163" s="640"/>
      <c r="V163" s="640"/>
      <c r="W163" s="640"/>
      <c r="X163" s="640"/>
      <c r="Y163" s="553"/>
      <c r="Z163" s="527" t="str">
        <f>IFERROR(INDEX(잔가map!$C$14:$AR$18,MATCH(차량DB!$Z$5,잔가map!$B$14:$B$18,0),MATCH(차량DB!Y163,잔가map!$C$13:$AR$13,0)),"")</f>
        <v/>
      </c>
      <c r="AA163" s="527" t="str">
        <f>IFERROR(INDEX(잔가map!$C$14:$AR$18,MATCH(차량DB!$AA$5,잔가map!$B$14:$B$18,0),MATCH(차량DB!Y163,잔가map!$C$13:$AR$13,0)),"")</f>
        <v/>
      </c>
      <c r="AB163" s="527" t="str">
        <f>IFERROR(INDEX(잔가map!$C$14:$AR$18,MATCH(차량DB!$AB$5,잔가map!$B$14:$B$18,0),MATCH(차량DB!Y163,잔가map!$C$13:$AR$13,0)),"")</f>
        <v/>
      </c>
      <c r="AC163" s="527" t="str">
        <f>IFERROR(INDEX(잔가map!$C$14:$AR$18,MATCH(차량DB!$AC$5,잔가map!$B$14:$B$18,0),MATCH(차량DB!Y163,잔가map!$C$13:$AR$13,0)),"")</f>
        <v/>
      </c>
      <c r="AD163" s="527" t="str">
        <f>IFERROR(INDEX(잔가map!$C$14:$AR$18,MATCH(차량DB!$AD$5,잔가map!$B$14:$B$18,0),MATCH(차량DB!Y163,잔가map!$C$13:$AR$13,0)),"")</f>
        <v/>
      </c>
      <c r="AE163" s="643"/>
      <c r="AF163" s="644"/>
      <c r="AG163" s="644"/>
      <c r="AH163" s="644"/>
      <c r="AI163" s="644"/>
      <c r="AJ163" s="644"/>
      <c r="AK163" s="547"/>
      <c r="AL163" s="576"/>
    </row>
    <row r="164" spans="5:38" x14ac:dyDescent="0.3">
      <c r="E164" s="293" t="s">
        <v>343</v>
      </c>
      <c r="F164" s="604" t="s">
        <v>469</v>
      </c>
      <c r="G164" s="294">
        <v>1998</v>
      </c>
      <c r="H164" s="295" t="s">
        <v>45</v>
      </c>
      <c r="I164" s="294">
        <v>73300000</v>
      </c>
      <c r="P164" s="295" t="s">
        <v>576</v>
      </c>
      <c r="R164" s="500">
        <v>0</v>
      </c>
      <c r="S164" s="639" t="s">
        <v>1287</v>
      </c>
      <c r="T164" s="640"/>
      <c r="U164" s="640"/>
      <c r="V164" s="640"/>
      <c r="W164" s="640"/>
      <c r="X164" s="640"/>
      <c r="Y164" s="553"/>
      <c r="Z164" s="527" t="str">
        <f>IFERROR(INDEX(잔가map!$C$14:$AR$18,MATCH(차량DB!$Z$5,잔가map!$B$14:$B$18,0),MATCH(차량DB!Y164,잔가map!$C$13:$AR$13,0)),"")</f>
        <v/>
      </c>
      <c r="AA164" s="527" t="str">
        <f>IFERROR(INDEX(잔가map!$C$14:$AR$18,MATCH(차량DB!$AA$5,잔가map!$B$14:$B$18,0),MATCH(차량DB!Y164,잔가map!$C$13:$AR$13,0)),"")</f>
        <v/>
      </c>
      <c r="AB164" s="527" t="str">
        <f>IFERROR(INDEX(잔가map!$C$14:$AR$18,MATCH(차량DB!$AB$5,잔가map!$B$14:$B$18,0),MATCH(차량DB!Y164,잔가map!$C$13:$AR$13,0)),"")</f>
        <v/>
      </c>
      <c r="AC164" s="527" t="str">
        <f>IFERROR(INDEX(잔가map!$C$14:$AR$18,MATCH(차량DB!$AC$5,잔가map!$B$14:$B$18,0),MATCH(차량DB!Y164,잔가map!$C$13:$AR$13,0)),"")</f>
        <v/>
      </c>
      <c r="AD164" s="527" t="str">
        <f>IFERROR(INDEX(잔가map!$C$14:$AR$18,MATCH(차량DB!$AD$5,잔가map!$B$14:$B$18,0),MATCH(차량DB!Y164,잔가map!$C$13:$AR$13,0)),"")</f>
        <v/>
      </c>
      <c r="AE164" s="643"/>
      <c r="AF164" s="644"/>
      <c r="AG164" s="644"/>
      <c r="AH164" s="644"/>
      <c r="AI164" s="644"/>
      <c r="AJ164" s="644"/>
      <c r="AK164" s="547"/>
      <c r="AL164" s="576"/>
    </row>
    <row r="165" spans="5:38" x14ac:dyDescent="0.3">
      <c r="E165" s="293" t="s">
        <v>343</v>
      </c>
      <c r="F165" s="604" t="s">
        <v>470</v>
      </c>
      <c r="G165" s="294">
        <v>2998</v>
      </c>
      <c r="H165" s="295" t="s">
        <v>45</v>
      </c>
      <c r="I165" s="294">
        <v>97400000</v>
      </c>
      <c r="P165" s="295" t="s">
        <v>576</v>
      </c>
      <c r="R165" s="500">
        <v>0</v>
      </c>
      <c r="S165" s="639" t="s">
        <v>1285</v>
      </c>
      <c r="T165" s="640"/>
      <c r="U165" s="640"/>
      <c r="V165" s="640"/>
      <c r="W165" s="640"/>
      <c r="X165" s="640"/>
      <c r="Y165" s="553"/>
      <c r="Z165" s="527" t="str">
        <f>IFERROR(INDEX(잔가map!$C$14:$AR$18,MATCH(차량DB!$Z$5,잔가map!$B$14:$B$18,0),MATCH(차량DB!Y165,잔가map!$C$13:$AR$13,0)),"")</f>
        <v/>
      </c>
      <c r="AA165" s="527" t="str">
        <f>IFERROR(INDEX(잔가map!$C$14:$AR$18,MATCH(차량DB!$AA$5,잔가map!$B$14:$B$18,0),MATCH(차량DB!Y165,잔가map!$C$13:$AR$13,0)),"")</f>
        <v/>
      </c>
      <c r="AB165" s="527" t="str">
        <f>IFERROR(INDEX(잔가map!$C$14:$AR$18,MATCH(차량DB!$AB$5,잔가map!$B$14:$B$18,0),MATCH(차량DB!Y165,잔가map!$C$13:$AR$13,0)),"")</f>
        <v/>
      </c>
      <c r="AC165" s="527" t="str">
        <f>IFERROR(INDEX(잔가map!$C$14:$AR$18,MATCH(차량DB!$AC$5,잔가map!$B$14:$B$18,0),MATCH(차량DB!Y165,잔가map!$C$13:$AR$13,0)),"")</f>
        <v/>
      </c>
      <c r="AD165" s="527" t="str">
        <f>IFERROR(INDEX(잔가map!$C$14:$AR$18,MATCH(차량DB!$AD$5,잔가map!$B$14:$B$18,0),MATCH(차량DB!Y165,잔가map!$C$13:$AR$13,0)),"")</f>
        <v/>
      </c>
      <c r="AE165" s="643"/>
      <c r="AF165" s="644"/>
      <c r="AG165" s="644"/>
      <c r="AH165" s="644"/>
      <c r="AI165" s="644"/>
      <c r="AJ165" s="644"/>
      <c r="AK165" s="547"/>
      <c r="AL165" s="576"/>
    </row>
    <row r="166" spans="5:38" x14ac:dyDescent="0.3">
      <c r="E166" s="293" t="s">
        <v>343</v>
      </c>
      <c r="F166" s="604" t="s">
        <v>1158</v>
      </c>
      <c r="G166" s="294">
        <v>1995</v>
      </c>
      <c r="H166" s="295" t="s">
        <v>58</v>
      </c>
      <c r="I166" s="294">
        <v>58400000</v>
      </c>
      <c r="P166" s="295" t="s">
        <v>576</v>
      </c>
      <c r="R166" s="500">
        <v>0</v>
      </c>
      <c r="S166" s="639" t="s">
        <v>1233</v>
      </c>
      <c r="T166" s="640"/>
      <c r="U166" s="640"/>
      <c r="V166" s="640"/>
      <c r="W166" s="640"/>
      <c r="X166" s="640"/>
      <c r="Y166" s="553" t="s">
        <v>356</v>
      </c>
      <c r="Z166" s="527">
        <f>IFERROR(INDEX(잔가map!$C$14:$AR$18,MATCH(차량DB!$Z$5,잔가map!$B$14:$B$18,0),MATCH(차량DB!Y166,잔가map!$C$13:$AR$13,0)),"")</f>
        <v>0.79</v>
      </c>
      <c r="AA166" s="527">
        <f>IFERROR(INDEX(잔가map!$C$14:$AR$18,MATCH(차량DB!$AA$5,잔가map!$B$14:$B$18,0),MATCH(차량DB!Y166,잔가map!$C$13:$AR$13,0)),"")</f>
        <v>0.71000000000000008</v>
      </c>
      <c r="AB166" s="527">
        <f>IFERROR(INDEX(잔가map!$C$14:$AR$18,MATCH(차량DB!$AB$5,잔가map!$B$14:$B$18,0),MATCH(차량DB!Y166,잔가map!$C$13:$AR$13,0)),"")</f>
        <v>0.62</v>
      </c>
      <c r="AC166" s="527">
        <f>IFERROR(INDEX(잔가map!$C$14:$AR$18,MATCH(차량DB!$AC$5,잔가map!$B$14:$B$18,0),MATCH(차량DB!Y166,잔가map!$C$13:$AR$13,0)),"")</f>
        <v>0.54</v>
      </c>
      <c r="AD166" s="527">
        <f>IFERROR(INDEX(잔가map!$C$14:$AR$18,MATCH(차량DB!$AD$5,잔가map!$B$14:$B$18,0),MATCH(차량DB!Y166,잔가map!$C$13:$AR$13,0)),"")</f>
        <v>0.48000000000000009</v>
      </c>
      <c r="AE166" s="643"/>
      <c r="AF166" s="644"/>
      <c r="AG166" s="644"/>
      <c r="AH166" s="644"/>
      <c r="AI166" s="644"/>
      <c r="AJ166" s="644"/>
      <c r="AK166" s="547"/>
      <c r="AL166" s="576"/>
    </row>
    <row r="167" spans="5:38" x14ac:dyDescent="0.3">
      <c r="E167" s="293" t="s">
        <v>343</v>
      </c>
      <c r="F167" s="604" t="s">
        <v>1159</v>
      </c>
      <c r="G167" s="294">
        <v>1995</v>
      </c>
      <c r="H167" s="295" t="s">
        <v>58</v>
      </c>
      <c r="I167" s="294">
        <v>63100000</v>
      </c>
      <c r="P167" s="295" t="s">
        <v>576</v>
      </c>
      <c r="R167" s="500">
        <v>0</v>
      </c>
      <c r="S167" s="639" t="s">
        <v>1233</v>
      </c>
      <c r="T167" s="640"/>
      <c r="U167" s="640"/>
      <c r="V167" s="640"/>
      <c r="W167" s="640"/>
      <c r="X167" s="640"/>
      <c r="Y167" s="553" t="s">
        <v>356</v>
      </c>
      <c r="Z167" s="527">
        <f>IFERROR(INDEX(잔가map!$C$14:$AR$18,MATCH(차량DB!$Z$5,잔가map!$B$14:$B$18,0),MATCH(차량DB!Y167,잔가map!$C$13:$AR$13,0)),"")</f>
        <v>0.79</v>
      </c>
      <c r="AA167" s="527">
        <f>IFERROR(INDEX(잔가map!$C$14:$AR$18,MATCH(차량DB!$AA$5,잔가map!$B$14:$B$18,0),MATCH(차량DB!Y167,잔가map!$C$13:$AR$13,0)),"")</f>
        <v>0.71000000000000008</v>
      </c>
      <c r="AB167" s="527">
        <f>IFERROR(INDEX(잔가map!$C$14:$AR$18,MATCH(차량DB!$AB$5,잔가map!$B$14:$B$18,0),MATCH(차량DB!Y167,잔가map!$C$13:$AR$13,0)),"")</f>
        <v>0.62</v>
      </c>
      <c r="AC167" s="527">
        <f>IFERROR(INDEX(잔가map!$C$14:$AR$18,MATCH(차량DB!$AC$5,잔가map!$B$14:$B$18,0),MATCH(차량DB!Y167,잔가map!$C$13:$AR$13,0)),"")</f>
        <v>0.54</v>
      </c>
      <c r="AD167" s="527">
        <f>IFERROR(INDEX(잔가map!$C$14:$AR$18,MATCH(차량DB!$AD$5,잔가map!$B$14:$B$18,0),MATCH(차량DB!Y167,잔가map!$C$13:$AR$13,0)),"")</f>
        <v>0.48000000000000009</v>
      </c>
      <c r="AE167" s="643"/>
      <c r="AF167" s="644"/>
      <c r="AG167" s="644"/>
      <c r="AH167" s="644"/>
      <c r="AI167" s="644"/>
      <c r="AJ167" s="644"/>
      <c r="AK167" s="547"/>
      <c r="AL167" s="576"/>
    </row>
    <row r="168" spans="5:38" x14ac:dyDescent="0.3">
      <c r="E168" s="293" t="s">
        <v>343</v>
      </c>
      <c r="F168" s="604" t="s">
        <v>1160</v>
      </c>
      <c r="G168" s="294">
        <v>1998</v>
      </c>
      <c r="H168" s="295" t="s">
        <v>58</v>
      </c>
      <c r="I168" s="294">
        <v>59400000</v>
      </c>
      <c r="P168" s="295" t="s">
        <v>576</v>
      </c>
      <c r="R168" s="500">
        <v>0</v>
      </c>
      <c r="S168" s="639" t="s">
        <v>1229</v>
      </c>
      <c r="T168" s="640"/>
      <c r="U168" s="640"/>
      <c r="V168" s="640"/>
      <c r="W168" s="640"/>
      <c r="X168" s="640"/>
      <c r="Y168" s="553" t="s">
        <v>356</v>
      </c>
      <c r="Z168" s="527">
        <f>IFERROR(INDEX(잔가map!$C$14:$AR$18,MATCH(차량DB!$Z$5,잔가map!$B$14:$B$18,0),MATCH(차량DB!Y168,잔가map!$C$13:$AR$13,0)),"")</f>
        <v>0.79</v>
      </c>
      <c r="AA168" s="527">
        <f>IFERROR(INDEX(잔가map!$C$14:$AR$18,MATCH(차량DB!$AA$5,잔가map!$B$14:$B$18,0),MATCH(차량DB!Y168,잔가map!$C$13:$AR$13,0)),"")</f>
        <v>0.71000000000000008</v>
      </c>
      <c r="AB168" s="527">
        <f>IFERROR(INDEX(잔가map!$C$14:$AR$18,MATCH(차량DB!$AB$5,잔가map!$B$14:$B$18,0),MATCH(차량DB!Y168,잔가map!$C$13:$AR$13,0)),"")</f>
        <v>0.62</v>
      </c>
      <c r="AC168" s="527">
        <f>IFERROR(INDEX(잔가map!$C$14:$AR$18,MATCH(차량DB!$AC$5,잔가map!$B$14:$B$18,0),MATCH(차량DB!Y168,잔가map!$C$13:$AR$13,0)),"")</f>
        <v>0.54</v>
      </c>
      <c r="AD168" s="527">
        <f>IFERROR(INDEX(잔가map!$C$14:$AR$18,MATCH(차량DB!$AD$5,잔가map!$B$14:$B$18,0),MATCH(차량DB!Y168,잔가map!$C$13:$AR$13,0)),"")</f>
        <v>0.48000000000000009</v>
      </c>
      <c r="AE168" s="643"/>
      <c r="AF168" s="644"/>
      <c r="AG168" s="644"/>
      <c r="AH168" s="644"/>
      <c r="AI168" s="644"/>
      <c r="AJ168" s="644"/>
      <c r="AK168" s="547"/>
      <c r="AL168" s="576"/>
    </row>
    <row r="169" spans="5:38" x14ac:dyDescent="0.3">
      <c r="E169" s="293" t="s">
        <v>343</v>
      </c>
      <c r="F169" s="604" t="s">
        <v>1161</v>
      </c>
      <c r="G169" s="294">
        <v>1998</v>
      </c>
      <c r="H169" s="295" t="s">
        <v>58</v>
      </c>
      <c r="I169" s="294">
        <v>64100000</v>
      </c>
      <c r="P169" s="295" t="s">
        <v>576</v>
      </c>
      <c r="R169" s="500">
        <v>0</v>
      </c>
      <c r="S169" s="639" t="s">
        <v>1229</v>
      </c>
      <c r="T169" s="640"/>
      <c r="U169" s="640"/>
      <c r="V169" s="640"/>
      <c r="W169" s="640"/>
      <c r="X169" s="640"/>
      <c r="Y169" s="553" t="s">
        <v>356</v>
      </c>
      <c r="Z169" s="527">
        <f>IFERROR(INDEX(잔가map!$C$14:$AR$18,MATCH(차량DB!$Z$5,잔가map!$B$14:$B$18,0),MATCH(차량DB!Y169,잔가map!$C$13:$AR$13,0)),"")</f>
        <v>0.79</v>
      </c>
      <c r="AA169" s="527">
        <f>IFERROR(INDEX(잔가map!$C$14:$AR$18,MATCH(차량DB!$AA$5,잔가map!$B$14:$B$18,0),MATCH(차량DB!Y169,잔가map!$C$13:$AR$13,0)),"")</f>
        <v>0.71000000000000008</v>
      </c>
      <c r="AB169" s="527">
        <f>IFERROR(INDEX(잔가map!$C$14:$AR$18,MATCH(차량DB!$AB$5,잔가map!$B$14:$B$18,0),MATCH(차량DB!Y169,잔가map!$C$13:$AR$13,0)),"")</f>
        <v>0.62</v>
      </c>
      <c r="AC169" s="527">
        <f>IFERROR(INDEX(잔가map!$C$14:$AR$18,MATCH(차량DB!$AC$5,잔가map!$B$14:$B$18,0),MATCH(차량DB!Y169,잔가map!$C$13:$AR$13,0)),"")</f>
        <v>0.54</v>
      </c>
      <c r="AD169" s="527">
        <f>IFERROR(INDEX(잔가map!$C$14:$AR$18,MATCH(차량DB!$AD$5,잔가map!$B$14:$B$18,0),MATCH(차량DB!Y169,잔가map!$C$13:$AR$13,0)),"")</f>
        <v>0.48000000000000009</v>
      </c>
      <c r="AE169" s="643"/>
      <c r="AF169" s="644"/>
      <c r="AG169" s="644"/>
      <c r="AH169" s="644"/>
      <c r="AI169" s="644"/>
      <c r="AJ169" s="644"/>
      <c r="AK169" s="547"/>
      <c r="AL169" s="576"/>
    </row>
    <row r="170" spans="5:38" x14ac:dyDescent="0.3">
      <c r="E170" s="293" t="s">
        <v>343</v>
      </c>
      <c r="F170" s="604" t="s">
        <v>1162</v>
      </c>
      <c r="G170" s="294">
        <v>1998</v>
      </c>
      <c r="H170" s="295" t="s">
        <v>58</v>
      </c>
      <c r="I170" s="294">
        <v>72100000</v>
      </c>
      <c r="P170" s="295" t="s">
        <v>1118</v>
      </c>
      <c r="R170" s="500"/>
      <c r="S170" s="639" t="s">
        <v>1285</v>
      </c>
      <c r="T170" s="640"/>
      <c r="U170" s="640"/>
      <c r="V170" s="640"/>
      <c r="W170" s="640"/>
      <c r="X170" s="640"/>
      <c r="Y170" s="553"/>
      <c r="Z170" s="527" t="str">
        <f>IFERROR(INDEX(잔가map!$C$14:$AR$18,MATCH(차량DB!$Z$5,잔가map!$B$14:$B$18,0),MATCH(차량DB!Y170,잔가map!$C$13:$AR$13,0)),"")</f>
        <v/>
      </c>
      <c r="AA170" s="527" t="str">
        <f>IFERROR(INDEX(잔가map!$C$14:$AR$18,MATCH(차량DB!$AA$5,잔가map!$B$14:$B$18,0),MATCH(차량DB!Y170,잔가map!$C$13:$AR$13,0)),"")</f>
        <v/>
      </c>
      <c r="AB170" s="527" t="str">
        <f>IFERROR(INDEX(잔가map!$C$14:$AR$18,MATCH(차량DB!$AB$5,잔가map!$B$14:$B$18,0),MATCH(차량DB!Y170,잔가map!$C$13:$AR$13,0)),"")</f>
        <v/>
      </c>
      <c r="AC170" s="527" t="str">
        <f>IFERROR(INDEX(잔가map!$C$14:$AR$18,MATCH(차량DB!$AC$5,잔가map!$B$14:$B$18,0),MATCH(차량DB!Y170,잔가map!$C$13:$AR$13,0)),"")</f>
        <v/>
      </c>
      <c r="AD170" s="527" t="str">
        <f>IFERROR(INDEX(잔가map!$C$14:$AR$18,MATCH(차량DB!$AD$5,잔가map!$B$14:$B$18,0),MATCH(차량DB!Y170,잔가map!$C$13:$AR$13,0)),"")</f>
        <v/>
      </c>
      <c r="AE170" s="643"/>
      <c r="AF170" s="644"/>
      <c r="AG170" s="644"/>
      <c r="AH170" s="644"/>
      <c r="AI170" s="644"/>
      <c r="AJ170" s="644"/>
      <c r="AK170" s="547"/>
      <c r="AL170" s="576"/>
    </row>
    <row r="171" spans="5:38" x14ac:dyDescent="0.3">
      <c r="E171" s="293" t="s">
        <v>343</v>
      </c>
      <c r="F171" s="604" t="s">
        <v>813</v>
      </c>
      <c r="G171" s="294">
        <v>1998</v>
      </c>
      <c r="H171" s="295" t="s">
        <v>58</v>
      </c>
      <c r="I171" s="294">
        <v>75000000</v>
      </c>
      <c r="P171" s="295" t="s">
        <v>576</v>
      </c>
      <c r="R171" s="500"/>
      <c r="S171" s="639" t="s">
        <v>1262</v>
      </c>
      <c r="T171" s="640"/>
      <c r="U171" s="640"/>
      <c r="V171" s="640"/>
      <c r="W171" s="640"/>
      <c r="X171" s="640"/>
      <c r="Y171" s="553" t="s">
        <v>362</v>
      </c>
      <c r="Z171" s="527">
        <f>IFERROR(INDEX(잔가map!$C$14:$AR$18,MATCH(차량DB!$Z$5,잔가map!$B$14:$B$18,0),MATCH(차량DB!Y171,잔가map!$C$13:$AR$13,0)),"")</f>
        <v>0.71</v>
      </c>
      <c r="AA171" s="527">
        <f>IFERROR(INDEX(잔가map!$C$14:$AR$18,MATCH(차량DB!$AA$5,잔가map!$B$14:$B$18,0),MATCH(차량DB!Y171,잔가map!$C$13:$AR$13,0)),"")</f>
        <v>0.63</v>
      </c>
      <c r="AB171" s="527">
        <f>IFERROR(INDEX(잔가map!$C$14:$AR$18,MATCH(차량DB!$AB$5,잔가map!$B$14:$B$18,0),MATCH(차량DB!Y171,잔가map!$C$13:$AR$13,0)),"")</f>
        <v>0.53999999999999992</v>
      </c>
      <c r="AC171" s="527">
        <f>IFERROR(INDEX(잔가map!$C$14:$AR$18,MATCH(차량DB!$AC$5,잔가map!$B$14:$B$18,0),MATCH(차량DB!Y171,잔가map!$C$13:$AR$13,0)),"")</f>
        <v>0.46</v>
      </c>
      <c r="AD171" s="527">
        <f>IFERROR(INDEX(잔가map!$C$14:$AR$18,MATCH(차량DB!$AD$5,잔가map!$B$14:$B$18,0),MATCH(차량DB!Y171,잔가map!$C$13:$AR$13,0)),"")</f>
        <v>0.4</v>
      </c>
      <c r="AE171" s="643"/>
      <c r="AF171" s="644"/>
      <c r="AG171" s="644"/>
      <c r="AH171" s="644"/>
      <c r="AI171" s="644"/>
      <c r="AJ171" s="644"/>
      <c r="AK171" s="547"/>
      <c r="AL171" s="576"/>
    </row>
    <row r="172" spans="5:38" x14ac:dyDescent="0.3">
      <c r="E172" s="293" t="s">
        <v>343</v>
      </c>
      <c r="F172" s="605" t="s">
        <v>471</v>
      </c>
      <c r="G172" s="294">
        <v>1995</v>
      </c>
      <c r="H172" s="295" t="s">
        <v>58</v>
      </c>
      <c r="I172" s="294">
        <v>58400000</v>
      </c>
      <c r="P172" s="295" t="s">
        <v>576</v>
      </c>
      <c r="R172" s="500">
        <v>0</v>
      </c>
      <c r="S172" s="639" t="s">
        <v>1233</v>
      </c>
      <c r="T172" s="640"/>
      <c r="U172" s="640"/>
      <c r="V172" s="640"/>
      <c r="W172" s="640"/>
      <c r="X172" s="640"/>
      <c r="Y172" s="553"/>
      <c r="Z172" s="527" t="str">
        <f>IFERROR(INDEX(잔가map!$C$14:$AR$18,MATCH(차량DB!$Z$5,잔가map!$B$14:$B$18,0),MATCH(차량DB!Y172,잔가map!$C$13:$AR$13,0)),"")</f>
        <v/>
      </c>
      <c r="AA172" s="527" t="str">
        <f>IFERROR(INDEX(잔가map!$C$14:$AR$18,MATCH(차량DB!$AA$5,잔가map!$B$14:$B$18,0),MATCH(차량DB!Y172,잔가map!$C$13:$AR$13,0)),"")</f>
        <v/>
      </c>
      <c r="AB172" s="527" t="str">
        <f>IFERROR(INDEX(잔가map!$C$14:$AR$18,MATCH(차량DB!$AB$5,잔가map!$B$14:$B$18,0),MATCH(차량DB!Y172,잔가map!$C$13:$AR$13,0)),"")</f>
        <v/>
      </c>
      <c r="AC172" s="527" t="str">
        <f>IFERROR(INDEX(잔가map!$C$14:$AR$18,MATCH(차량DB!$AC$5,잔가map!$B$14:$B$18,0),MATCH(차량DB!Y172,잔가map!$C$13:$AR$13,0)),"")</f>
        <v/>
      </c>
      <c r="AD172" s="527" t="str">
        <f>IFERROR(INDEX(잔가map!$C$14:$AR$18,MATCH(차량DB!$AD$5,잔가map!$B$14:$B$18,0),MATCH(차량DB!Y172,잔가map!$C$13:$AR$13,0)),"")</f>
        <v/>
      </c>
      <c r="AE172" s="643"/>
      <c r="AF172" s="644"/>
      <c r="AG172" s="644"/>
      <c r="AH172" s="644"/>
      <c r="AI172" s="644"/>
      <c r="AJ172" s="644"/>
      <c r="AK172" s="547"/>
      <c r="AL172" s="576"/>
    </row>
    <row r="173" spans="5:38" x14ac:dyDescent="0.3">
      <c r="E173" s="293" t="s">
        <v>343</v>
      </c>
      <c r="F173" s="605" t="s">
        <v>472</v>
      </c>
      <c r="G173" s="294">
        <v>1998</v>
      </c>
      <c r="H173" s="295" t="s">
        <v>58</v>
      </c>
      <c r="I173" s="294">
        <v>55200000</v>
      </c>
      <c r="P173" s="295" t="s">
        <v>576</v>
      </c>
      <c r="R173" s="500">
        <v>0</v>
      </c>
      <c r="S173" s="639" t="s">
        <v>1233</v>
      </c>
      <c r="T173" s="640"/>
      <c r="U173" s="640"/>
      <c r="V173" s="640"/>
      <c r="W173" s="640"/>
      <c r="X173" s="640"/>
      <c r="Y173" s="553"/>
      <c r="Z173" s="527" t="str">
        <f>IFERROR(INDEX(잔가map!$C$14:$AR$18,MATCH(차량DB!$Z$5,잔가map!$B$14:$B$18,0),MATCH(차량DB!Y173,잔가map!$C$13:$AR$13,0)),"")</f>
        <v/>
      </c>
      <c r="AA173" s="527" t="str">
        <f>IFERROR(INDEX(잔가map!$C$14:$AR$18,MATCH(차량DB!$AA$5,잔가map!$B$14:$B$18,0),MATCH(차량DB!Y173,잔가map!$C$13:$AR$13,0)),"")</f>
        <v/>
      </c>
      <c r="AB173" s="527" t="str">
        <f>IFERROR(INDEX(잔가map!$C$14:$AR$18,MATCH(차량DB!$AB$5,잔가map!$B$14:$B$18,0),MATCH(차량DB!Y173,잔가map!$C$13:$AR$13,0)),"")</f>
        <v/>
      </c>
      <c r="AC173" s="527" t="str">
        <f>IFERROR(INDEX(잔가map!$C$14:$AR$18,MATCH(차량DB!$AC$5,잔가map!$B$14:$B$18,0),MATCH(차량DB!Y173,잔가map!$C$13:$AR$13,0)),"")</f>
        <v/>
      </c>
      <c r="AD173" s="527" t="str">
        <f>IFERROR(INDEX(잔가map!$C$14:$AR$18,MATCH(차량DB!$AD$5,잔가map!$B$14:$B$18,0),MATCH(차량DB!Y173,잔가map!$C$13:$AR$13,0)),"")</f>
        <v/>
      </c>
      <c r="AE173" s="643"/>
      <c r="AF173" s="644"/>
      <c r="AG173" s="644"/>
      <c r="AH173" s="644"/>
      <c r="AI173" s="644"/>
      <c r="AJ173" s="644"/>
      <c r="AK173" s="547"/>
      <c r="AL173" s="576"/>
    </row>
    <row r="174" spans="5:38" x14ac:dyDescent="0.3">
      <c r="E174" s="293" t="s">
        <v>343</v>
      </c>
      <c r="F174" s="605" t="s">
        <v>473</v>
      </c>
      <c r="G174" s="294">
        <v>1998</v>
      </c>
      <c r="H174" s="295" t="s">
        <v>58</v>
      </c>
      <c r="I174" s="294">
        <v>68900000</v>
      </c>
      <c r="P174" s="295" t="s">
        <v>576</v>
      </c>
      <c r="R174" s="500">
        <v>0</v>
      </c>
      <c r="S174" s="639" t="s">
        <v>1233</v>
      </c>
      <c r="T174" s="640"/>
      <c r="U174" s="640"/>
      <c r="V174" s="640"/>
      <c r="W174" s="640"/>
      <c r="X174" s="640"/>
      <c r="Y174" s="553"/>
      <c r="Z174" s="527" t="str">
        <f>IFERROR(INDEX(잔가map!$C$14:$AR$18,MATCH(차량DB!$Z$5,잔가map!$B$14:$B$18,0),MATCH(차량DB!Y174,잔가map!$C$13:$AR$13,0)),"")</f>
        <v/>
      </c>
      <c r="AA174" s="527" t="str">
        <f>IFERROR(INDEX(잔가map!$C$14:$AR$18,MATCH(차량DB!$AA$5,잔가map!$B$14:$B$18,0),MATCH(차량DB!Y174,잔가map!$C$13:$AR$13,0)),"")</f>
        <v/>
      </c>
      <c r="AB174" s="527" t="str">
        <f>IFERROR(INDEX(잔가map!$C$14:$AR$18,MATCH(차량DB!$AB$5,잔가map!$B$14:$B$18,0),MATCH(차량DB!Y174,잔가map!$C$13:$AR$13,0)),"")</f>
        <v/>
      </c>
      <c r="AC174" s="527" t="str">
        <f>IFERROR(INDEX(잔가map!$C$14:$AR$18,MATCH(차량DB!$AC$5,잔가map!$B$14:$B$18,0),MATCH(차량DB!Y174,잔가map!$C$13:$AR$13,0)),"")</f>
        <v/>
      </c>
      <c r="AD174" s="527" t="str">
        <f>IFERROR(INDEX(잔가map!$C$14:$AR$18,MATCH(차량DB!$AD$5,잔가map!$B$14:$B$18,0),MATCH(차량DB!Y174,잔가map!$C$13:$AR$13,0)),"")</f>
        <v/>
      </c>
      <c r="AE174" s="643"/>
      <c r="AF174" s="644"/>
      <c r="AG174" s="644"/>
      <c r="AH174" s="644"/>
      <c r="AI174" s="644"/>
      <c r="AJ174" s="644"/>
      <c r="AK174" s="547"/>
      <c r="AL174" s="576"/>
    </row>
    <row r="175" spans="5:38" x14ac:dyDescent="0.3">
      <c r="E175" s="293" t="s">
        <v>343</v>
      </c>
      <c r="F175" s="605" t="s">
        <v>1166</v>
      </c>
      <c r="G175" s="294">
        <v>1998</v>
      </c>
      <c r="H175" s="295" t="s">
        <v>58</v>
      </c>
      <c r="I175" s="294">
        <v>69500000</v>
      </c>
      <c r="P175" s="295" t="s">
        <v>576</v>
      </c>
      <c r="R175" s="500">
        <v>0</v>
      </c>
      <c r="S175" s="639" t="s">
        <v>1213</v>
      </c>
      <c r="T175" s="640"/>
      <c r="U175" s="640"/>
      <c r="V175" s="640"/>
      <c r="W175" s="640"/>
      <c r="X175" s="640"/>
      <c r="Y175" s="553" t="s">
        <v>1332</v>
      </c>
      <c r="Z175" s="527">
        <f>IFERROR(INDEX(잔가map!$C$14:$AR$18,MATCH(차량DB!$Z$5,잔가map!$B$14:$B$18,0),MATCH(차량DB!Y175,잔가map!$C$13:$AR$13,0)),"")</f>
        <v>0.8</v>
      </c>
      <c r="AA175" s="527">
        <f>IFERROR(INDEX(잔가map!$C$14:$AR$18,MATCH(차량DB!$AA$5,잔가map!$B$14:$B$18,0),MATCH(차량DB!Y175,잔가map!$C$13:$AR$13,0)),"")</f>
        <v>0.72</v>
      </c>
      <c r="AB175" s="527">
        <f>IFERROR(INDEX(잔가map!$C$14:$AR$18,MATCH(차량DB!$AB$5,잔가map!$B$14:$B$18,0),MATCH(차량DB!Y175,잔가map!$C$13:$AR$13,0)),"")</f>
        <v>0.63</v>
      </c>
      <c r="AC175" s="527">
        <f>IFERROR(INDEX(잔가map!$C$14:$AR$18,MATCH(차량DB!$AC$5,잔가map!$B$14:$B$18,0),MATCH(차량DB!Y175,잔가map!$C$13:$AR$13,0)),"")</f>
        <v>0.55000000000000004</v>
      </c>
      <c r="AD175" s="527">
        <f>IFERROR(INDEX(잔가map!$C$14:$AR$18,MATCH(차량DB!$AD$5,잔가map!$B$14:$B$18,0),MATCH(차량DB!Y175,잔가map!$C$13:$AR$13,0)),"")</f>
        <v>0.49</v>
      </c>
      <c r="AE175" s="643"/>
      <c r="AF175" s="644"/>
      <c r="AG175" s="644"/>
      <c r="AH175" s="644"/>
      <c r="AI175" s="644"/>
      <c r="AJ175" s="644"/>
      <c r="AK175" s="574"/>
      <c r="AL175" s="576"/>
    </row>
    <row r="176" spans="5:38" x14ac:dyDescent="0.3">
      <c r="E176" s="293" t="s">
        <v>343</v>
      </c>
      <c r="F176" s="605" t="s">
        <v>1167</v>
      </c>
      <c r="G176" s="294">
        <v>1998</v>
      </c>
      <c r="H176" s="295" t="s">
        <v>58</v>
      </c>
      <c r="I176" s="294">
        <v>72500000</v>
      </c>
      <c r="P176" s="295" t="s">
        <v>576</v>
      </c>
      <c r="R176" s="500">
        <v>0</v>
      </c>
      <c r="S176" s="639" t="s">
        <v>1209</v>
      </c>
      <c r="T176" s="640"/>
      <c r="U176" s="640"/>
      <c r="V176" s="640"/>
      <c r="W176" s="640"/>
      <c r="X176" s="640"/>
      <c r="Y176" s="553" t="s">
        <v>1332</v>
      </c>
      <c r="Z176" s="527">
        <f>IFERROR(INDEX(잔가map!$C$14:$AR$18,MATCH(차량DB!$Z$5,잔가map!$B$14:$B$18,0),MATCH(차량DB!Y176,잔가map!$C$13:$AR$13,0)),"")</f>
        <v>0.8</v>
      </c>
      <c r="AA176" s="527">
        <f>IFERROR(INDEX(잔가map!$C$14:$AR$18,MATCH(차량DB!$AA$5,잔가map!$B$14:$B$18,0),MATCH(차량DB!Y176,잔가map!$C$13:$AR$13,0)),"")</f>
        <v>0.72</v>
      </c>
      <c r="AB176" s="527">
        <f>IFERROR(INDEX(잔가map!$C$14:$AR$18,MATCH(차량DB!$AB$5,잔가map!$B$14:$B$18,0),MATCH(차량DB!Y176,잔가map!$C$13:$AR$13,0)),"")</f>
        <v>0.63</v>
      </c>
      <c r="AC176" s="527">
        <f>IFERROR(INDEX(잔가map!$C$14:$AR$18,MATCH(차량DB!$AC$5,잔가map!$B$14:$B$18,0),MATCH(차량DB!Y176,잔가map!$C$13:$AR$13,0)),"")</f>
        <v>0.55000000000000004</v>
      </c>
      <c r="AD176" s="527">
        <f>IFERROR(INDEX(잔가map!$C$14:$AR$18,MATCH(차량DB!$AD$5,잔가map!$B$14:$B$18,0),MATCH(차량DB!Y176,잔가map!$C$13:$AR$13,0)),"")</f>
        <v>0.49</v>
      </c>
      <c r="AE176" s="643"/>
      <c r="AF176" s="644"/>
      <c r="AG176" s="644"/>
      <c r="AH176" s="644"/>
      <c r="AI176" s="644"/>
      <c r="AJ176" s="644"/>
      <c r="AK176" s="574"/>
      <c r="AL176" s="576"/>
    </row>
    <row r="177" spans="5:38" x14ac:dyDescent="0.3">
      <c r="E177" s="293" t="s">
        <v>343</v>
      </c>
      <c r="F177" s="605" t="s">
        <v>1168</v>
      </c>
      <c r="G177" s="294">
        <v>1998</v>
      </c>
      <c r="H177" s="295" t="s">
        <v>58</v>
      </c>
      <c r="I177" s="294">
        <v>78300000</v>
      </c>
      <c r="P177" s="295" t="s">
        <v>576</v>
      </c>
      <c r="R177" s="500">
        <v>0</v>
      </c>
      <c r="S177" s="639" t="s">
        <v>1209</v>
      </c>
      <c r="T177" s="640"/>
      <c r="U177" s="640"/>
      <c r="V177" s="640"/>
      <c r="W177" s="640"/>
      <c r="X177" s="640"/>
      <c r="Y177" s="553" t="s">
        <v>1332</v>
      </c>
      <c r="Z177" s="527">
        <f>IFERROR(INDEX(잔가map!$C$14:$AR$18,MATCH(차량DB!$Z$5,잔가map!$B$14:$B$18,0),MATCH(차량DB!Y177,잔가map!$C$13:$AR$13,0)),"")</f>
        <v>0.8</v>
      </c>
      <c r="AA177" s="527">
        <f>IFERROR(INDEX(잔가map!$C$14:$AR$18,MATCH(차량DB!$AA$5,잔가map!$B$14:$B$18,0),MATCH(차량DB!Y177,잔가map!$C$13:$AR$13,0)),"")</f>
        <v>0.72</v>
      </c>
      <c r="AB177" s="527">
        <f>IFERROR(INDEX(잔가map!$C$14:$AR$18,MATCH(차량DB!$AB$5,잔가map!$B$14:$B$18,0),MATCH(차량DB!Y177,잔가map!$C$13:$AR$13,0)),"")</f>
        <v>0.63</v>
      </c>
      <c r="AC177" s="527">
        <f>IFERROR(INDEX(잔가map!$C$14:$AR$18,MATCH(차량DB!$AC$5,잔가map!$B$14:$B$18,0),MATCH(차량DB!Y177,잔가map!$C$13:$AR$13,0)),"")</f>
        <v>0.55000000000000004</v>
      </c>
      <c r="AD177" s="527">
        <f>IFERROR(INDEX(잔가map!$C$14:$AR$18,MATCH(차량DB!$AD$5,잔가map!$B$14:$B$18,0),MATCH(차량DB!Y177,잔가map!$C$13:$AR$13,0)),"")</f>
        <v>0.49</v>
      </c>
      <c r="AE177" s="643"/>
      <c r="AF177" s="644"/>
      <c r="AG177" s="644"/>
      <c r="AH177" s="644"/>
      <c r="AI177" s="644"/>
      <c r="AJ177" s="644"/>
      <c r="AK177" s="574"/>
      <c r="AL177" s="576"/>
    </row>
    <row r="178" spans="5:38" x14ac:dyDescent="0.3">
      <c r="E178" s="293" t="s">
        <v>343</v>
      </c>
      <c r="F178" s="605" t="s">
        <v>1163</v>
      </c>
      <c r="G178" s="294">
        <v>2998</v>
      </c>
      <c r="H178" s="295" t="s">
        <v>58</v>
      </c>
      <c r="I178" s="294">
        <v>99900000</v>
      </c>
      <c r="P178" s="295" t="s">
        <v>1164</v>
      </c>
      <c r="R178" s="500"/>
      <c r="S178" s="639" t="s">
        <v>1284</v>
      </c>
      <c r="T178" s="640"/>
      <c r="U178" s="640"/>
      <c r="V178" s="640"/>
      <c r="W178" s="640"/>
      <c r="X178" s="640"/>
      <c r="Y178" s="553"/>
      <c r="Z178" s="527" t="str">
        <f>IFERROR(INDEX(잔가map!$C$14:$AR$18,MATCH(차량DB!$Z$5,잔가map!$B$14:$B$18,0),MATCH(차량DB!Y178,잔가map!$C$13:$AR$13,0)),"")</f>
        <v/>
      </c>
      <c r="AA178" s="527" t="str">
        <f>IFERROR(INDEX(잔가map!$C$14:$AR$18,MATCH(차량DB!$AA$5,잔가map!$B$14:$B$18,0),MATCH(차량DB!Y178,잔가map!$C$13:$AR$13,0)),"")</f>
        <v/>
      </c>
      <c r="AB178" s="527" t="str">
        <f>IFERROR(INDEX(잔가map!$C$14:$AR$18,MATCH(차량DB!$AB$5,잔가map!$B$14:$B$18,0),MATCH(차량DB!Y178,잔가map!$C$13:$AR$13,0)),"")</f>
        <v/>
      </c>
      <c r="AC178" s="527" t="str">
        <f>IFERROR(INDEX(잔가map!$C$14:$AR$18,MATCH(차량DB!$AC$5,잔가map!$B$14:$B$18,0),MATCH(차량DB!Y178,잔가map!$C$13:$AR$13,0)),"")</f>
        <v/>
      </c>
      <c r="AD178" s="527" t="str">
        <f>IFERROR(INDEX(잔가map!$C$14:$AR$18,MATCH(차량DB!$AD$5,잔가map!$B$14:$B$18,0),MATCH(차량DB!Y178,잔가map!$C$13:$AR$13,0)),"")</f>
        <v/>
      </c>
      <c r="AE178" s="643"/>
      <c r="AF178" s="644"/>
      <c r="AG178" s="644"/>
      <c r="AH178" s="644"/>
      <c r="AI178" s="644"/>
      <c r="AJ178" s="644"/>
      <c r="AK178" s="574"/>
      <c r="AL178" s="576"/>
    </row>
    <row r="179" spans="5:38" x14ac:dyDescent="0.3">
      <c r="E179" s="293" t="s">
        <v>343</v>
      </c>
      <c r="F179" s="605" t="s">
        <v>1165</v>
      </c>
      <c r="G179" s="294">
        <v>1995</v>
      </c>
      <c r="H179" s="295" t="s">
        <v>58</v>
      </c>
      <c r="I179" s="294">
        <v>74700000</v>
      </c>
      <c r="P179" s="295" t="s">
        <v>576</v>
      </c>
      <c r="R179" s="500">
        <v>0</v>
      </c>
      <c r="S179" s="639" t="s">
        <v>1214</v>
      </c>
      <c r="T179" s="640"/>
      <c r="U179" s="640"/>
      <c r="V179" s="640"/>
      <c r="W179" s="640"/>
      <c r="X179" s="640"/>
      <c r="Y179" s="553" t="s">
        <v>1332</v>
      </c>
      <c r="Z179" s="527">
        <f>IFERROR(INDEX(잔가map!$C$14:$AR$18,MATCH(차량DB!$Z$5,잔가map!$B$14:$B$18,0),MATCH(차량DB!Y179,잔가map!$C$13:$AR$13,0)),"")</f>
        <v>0.8</v>
      </c>
      <c r="AA179" s="527">
        <f>IFERROR(INDEX(잔가map!$C$14:$AR$18,MATCH(차량DB!$AA$5,잔가map!$B$14:$B$18,0),MATCH(차량DB!Y179,잔가map!$C$13:$AR$13,0)),"")</f>
        <v>0.72</v>
      </c>
      <c r="AB179" s="527">
        <f>IFERROR(INDEX(잔가map!$C$14:$AR$18,MATCH(차량DB!$AB$5,잔가map!$B$14:$B$18,0),MATCH(차량DB!Y179,잔가map!$C$13:$AR$13,0)),"")</f>
        <v>0.63</v>
      </c>
      <c r="AC179" s="527">
        <f>IFERROR(INDEX(잔가map!$C$14:$AR$18,MATCH(차량DB!$AC$5,잔가map!$B$14:$B$18,0),MATCH(차량DB!Y179,잔가map!$C$13:$AR$13,0)),"")</f>
        <v>0.55000000000000004</v>
      </c>
      <c r="AD179" s="527">
        <f>IFERROR(INDEX(잔가map!$C$14:$AR$18,MATCH(차량DB!$AD$5,잔가map!$B$14:$B$18,0),MATCH(차량DB!Y179,잔가map!$C$13:$AR$13,0)),"")</f>
        <v>0.49</v>
      </c>
      <c r="AE179" s="643"/>
      <c r="AF179" s="644"/>
      <c r="AG179" s="644"/>
      <c r="AH179" s="644"/>
      <c r="AI179" s="644"/>
      <c r="AJ179" s="644"/>
      <c r="AK179" s="547"/>
      <c r="AL179" s="576"/>
    </row>
    <row r="180" spans="5:38" x14ac:dyDescent="0.3">
      <c r="E180" s="293" t="s">
        <v>343</v>
      </c>
      <c r="F180" s="605" t="s">
        <v>814</v>
      </c>
      <c r="G180" s="294">
        <v>1995</v>
      </c>
      <c r="H180" s="295" t="s">
        <v>58</v>
      </c>
      <c r="I180" s="294">
        <v>77800000</v>
      </c>
      <c r="P180" s="295" t="s">
        <v>576</v>
      </c>
      <c r="R180" s="500">
        <v>0</v>
      </c>
      <c r="S180" s="639" t="s">
        <v>1209</v>
      </c>
      <c r="T180" s="640"/>
      <c r="U180" s="640"/>
      <c r="V180" s="640"/>
      <c r="W180" s="640"/>
      <c r="X180" s="640"/>
      <c r="Y180" s="553" t="s">
        <v>1332</v>
      </c>
      <c r="Z180" s="527">
        <f>IFERROR(INDEX(잔가map!$C$14:$AR$18,MATCH(차량DB!$Z$5,잔가map!$B$14:$B$18,0),MATCH(차량DB!Y180,잔가map!$C$13:$AR$13,0)),"")</f>
        <v>0.8</v>
      </c>
      <c r="AA180" s="527">
        <f>IFERROR(INDEX(잔가map!$C$14:$AR$18,MATCH(차량DB!$AA$5,잔가map!$B$14:$B$18,0),MATCH(차량DB!Y180,잔가map!$C$13:$AR$13,0)),"")</f>
        <v>0.72</v>
      </c>
      <c r="AB180" s="527">
        <f>IFERROR(INDEX(잔가map!$C$14:$AR$18,MATCH(차량DB!$AB$5,잔가map!$B$14:$B$18,0),MATCH(차량DB!Y180,잔가map!$C$13:$AR$13,0)),"")</f>
        <v>0.63</v>
      </c>
      <c r="AC180" s="527">
        <f>IFERROR(INDEX(잔가map!$C$14:$AR$18,MATCH(차량DB!$AC$5,잔가map!$B$14:$B$18,0),MATCH(차량DB!Y180,잔가map!$C$13:$AR$13,0)),"")</f>
        <v>0.55000000000000004</v>
      </c>
      <c r="AD180" s="527">
        <f>IFERROR(INDEX(잔가map!$C$14:$AR$18,MATCH(차량DB!$AD$5,잔가map!$B$14:$B$18,0),MATCH(차량DB!Y180,잔가map!$C$13:$AR$13,0)),"")</f>
        <v>0.49</v>
      </c>
      <c r="AE180" s="643"/>
      <c r="AF180" s="644"/>
      <c r="AG180" s="644"/>
      <c r="AH180" s="644"/>
      <c r="AI180" s="644"/>
      <c r="AJ180" s="644"/>
      <c r="AK180" s="547"/>
      <c r="AL180" s="576"/>
    </row>
    <row r="181" spans="5:38" x14ac:dyDescent="0.3">
      <c r="E181" s="293" t="s">
        <v>343</v>
      </c>
      <c r="F181" s="604" t="s">
        <v>816</v>
      </c>
      <c r="G181" s="294">
        <v>1998</v>
      </c>
      <c r="H181" s="295" t="s">
        <v>58</v>
      </c>
      <c r="I181" s="294">
        <v>83700000</v>
      </c>
      <c r="P181" s="295" t="s">
        <v>576</v>
      </c>
      <c r="R181" s="500">
        <v>0</v>
      </c>
      <c r="S181" s="639" t="s">
        <v>1212</v>
      </c>
      <c r="T181" s="640"/>
      <c r="U181" s="640"/>
      <c r="V181" s="640"/>
      <c r="W181" s="640"/>
      <c r="X181" s="640"/>
      <c r="Y181" s="553" t="s">
        <v>1332</v>
      </c>
      <c r="Z181" s="527">
        <f>IFERROR(INDEX(잔가map!$C$14:$AR$18,MATCH(차량DB!$Z$5,잔가map!$B$14:$B$18,0),MATCH(차량DB!Y181,잔가map!$C$13:$AR$13,0)),"")</f>
        <v>0.8</v>
      </c>
      <c r="AA181" s="527">
        <f>IFERROR(INDEX(잔가map!$C$14:$AR$18,MATCH(차량DB!$AA$5,잔가map!$B$14:$B$18,0),MATCH(차량DB!Y181,잔가map!$C$13:$AR$13,0)),"")</f>
        <v>0.72</v>
      </c>
      <c r="AB181" s="527">
        <f>IFERROR(INDEX(잔가map!$C$14:$AR$18,MATCH(차량DB!$AB$5,잔가map!$B$14:$B$18,0),MATCH(차량DB!Y181,잔가map!$C$13:$AR$13,0)),"")</f>
        <v>0.63</v>
      </c>
      <c r="AC181" s="527">
        <f>IFERROR(INDEX(잔가map!$C$14:$AR$18,MATCH(차량DB!$AC$5,잔가map!$B$14:$B$18,0),MATCH(차량DB!Y181,잔가map!$C$13:$AR$13,0)),"")</f>
        <v>0.55000000000000004</v>
      </c>
      <c r="AD181" s="527">
        <f>IFERROR(INDEX(잔가map!$C$14:$AR$18,MATCH(차량DB!$AD$5,잔가map!$B$14:$B$18,0),MATCH(차량DB!Y181,잔가map!$C$13:$AR$13,0)),"")</f>
        <v>0.49</v>
      </c>
      <c r="AE181" s="643"/>
      <c r="AF181" s="644"/>
      <c r="AG181" s="644"/>
      <c r="AH181" s="644"/>
      <c r="AI181" s="644"/>
      <c r="AJ181" s="644"/>
      <c r="AK181" s="574"/>
      <c r="AL181" s="576"/>
    </row>
    <row r="182" spans="5:38" x14ac:dyDescent="0.3">
      <c r="E182" s="293" t="s">
        <v>343</v>
      </c>
      <c r="F182" s="604" t="s">
        <v>817</v>
      </c>
      <c r="G182" s="294">
        <v>1998</v>
      </c>
      <c r="H182" s="295" t="s">
        <v>58</v>
      </c>
      <c r="I182" s="294">
        <v>87600000</v>
      </c>
      <c r="P182" s="295" t="s">
        <v>576</v>
      </c>
      <c r="R182" s="500">
        <v>0</v>
      </c>
      <c r="S182" s="639" t="s">
        <v>1210</v>
      </c>
      <c r="T182" s="640"/>
      <c r="U182" s="640"/>
      <c r="V182" s="640"/>
      <c r="W182" s="640"/>
      <c r="X182" s="640"/>
      <c r="Y182" s="553" t="s">
        <v>1332</v>
      </c>
      <c r="Z182" s="527">
        <f>IFERROR(INDEX(잔가map!$C$14:$AR$18,MATCH(차량DB!$Z$5,잔가map!$B$14:$B$18,0),MATCH(차량DB!Y182,잔가map!$C$13:$AR$13,0)),"")</f>
        <v>0.8</v>
      </c>
      <c r="AA182" s="527">
        <f>IFERROR(INDEX(잔가map!$C$14:$AR$18,MATCH(차량DB!$AA$5,잔가map!$B$14:$B$18,0),MATCH(차량DB!Y182,잔가map!$C$13:$AR$13,0)),"")</f>
        <v>0.72</v>
      </c>
      <c r="AB182" s="527">
        <f>IFERROR(INDEX(잔가map!$C$14:$AR$18,MATCH(차량DB!$AB$5,잔가map!$B$14:$B$18,0),MATCH(차량DB!Y182,잔가map!$C$13:$AR$13,0)),"")</f>
        <v>0.63</v>
      </c>
      <c r="AC182" s="527">
        <f>IFERROR(INDEX(잔가map!$C$14:$AR$18,MATCH(차량DB!$AC$5,잔가map!$B$14:$B$18,0),MATCH(차량DB!Y182,잔가map!$C$13:$AR$13,0)),"")</f>
        <v>0.55000000000000004</v>
      </c>
      <c r="AD182" s="527">
        <f>IFERROR(INDEX(잔가map!$C$14:$AR$18,MATCH(차량DB!$AD$5,잔가map!$B$14:$B$18,0),MATCH(차량DB!Y182,잔가map!$C$13:$AR$13,0)),"")</f>
        <v>0.49</v>
      </c>
      <c r="AE182" s="643"/>
      <c r="AF182" s="644"/>
      <c r="AG182" s="644"/>
      <c r="AH182" s="644"/>
      <c r="AI182" s="644"/>
      <c r="AJ182" s="644"/>
      <c r="AK182" s="574"/>
      <c r="AL182" s="576"/>
    </row>
    <row r="183" spans="5:38" x14ac:dyDescent="0.3">
      <c r="E183" s="293" t="s">
        <v>343</v>
      </c>
      <c r="F183" s="604" t="s">
        <v>815</v>
      </c>
      <c r="G183" s="294">
        <v>1998</v>
      </c>
      <c r="H183" s="295" t="s">
        <v>58</v>
      </c>
      <c r="I183" s="294">
        <v>89700000</v>
      </c>
      <c r="P183" s="295" t="s">
        <v>576</v>
      </c>
      <c r="R183" s="500">
        <v>0</v>
      </c>
      <c r="S183" s="639" t="s">
        <v>1209</v>
      </c>
      <c r="T183" s="640"/>
      <c r="U183" s="640"/>
      <c r="V183" s="640"/>
      <c r="W183" s="640"/>
      <c r="X183" s="640"/>
      <c r="Y183" s="553" t="s">
        <v>1332</v>
      </c>
      <c r="Z183" s="527">
        <f>IFERROR(INDEX(잔가map!$C$14:$AR$18,MATCH(차량DB!$Z$5,잔가map!$B$14:$B$18,0),MATCH(차량DB!Y183,잔가map!$C$13:$AR$13,0)),"")</f>
        <v>0.8</v>
      </c>
      <c r="AA183" s="527">
        <f>IFERROR(INDEX(잔가map!$C$14:$AR$18,MATCH(차량DB!$AA$5,잔가map!$B$14:$B$18,0),MATCH(차량DB!Y183,잔가map!$C$13:$AR$13,0)),"")</f>
        <v>0.72</v>
      </c>
      <c r="AB183" s="527">
        <f>IFERROR(INDEX(잔가map!$C$14:$AR$18,MATCH(차량DB!$AB$5,잔가map!$B$14:$B$18,0),MATCH(차량DB!Y183,잔가map!$C$13:$AR$13,0)),"")</f>
        <v>0.63</v>
      </c>
      <c r="AC183" s="527">
        <f>IFERROR(INDEX(잔가map!$C$14:$AR$18,MATCH(차량DB!$AC$5,잔가map!$B$14:$B$18,0),MATCH(차량DB!Y183,잔가map!$C$13:$AR$13,0)),"")</f>
        <v>0.55000000000000004</v>
      </c>
      <c r="AD183" s="527">
        <f>IFERROR(INDEX(잔가map!$C$14:$AR$18,MATCH(차량DB!$AD$5,잔가map!$B$14:$B$18,0),MATCH(차량DB!Y183,잔가map!$C$13:$AR$13,0)),"")</f>
        <v>0.49</v>
      </c>
      <c r="AE183" s="643"/>
      <c r="AF183" s="644"/>
      <c r="AG183" s="644"/>
      <c r="AH183" s="644"/>
      <c r="AI183" s="644"/>
      <c r="AJ183" s="644"/>
      <c r="AK183" s="574"/>
      <c r="AL183" s="576"/>
    </row>
    <row r="184" spans="5:38" x14ac:dyDescent="0.3">
      <c r="E184" s="293" t="s">
        <v>343</v>
      </c>
      <c r="F184" s="604" t="s">
        <v>474</v>
      </c>
      <c r="G184" s="294">
        <v>2998</v>
      </c>
      <c r="H184" s="295" t="s">
        <v>58</v>
      </c>
      <c r="I184" s="294">
        <v>98900000</v>
      </c>
      <c r="P184" s="295" t="s">
        <v>576</v>
      </c>
      <c r="R184" s="500">
        <v>0</v>
      </c>
      <c r="S184" s="639" t="s">
        <v>1264</v>
      </c>
      <c r="T184" s="640"/>
      <c r="U184" s="640"/>
      <c r="V184" s="640"/>
      <c r="W184" s="640"/>
      <c r="X184" s="640"/>
      <c r="Y184" s="553" t="s">
        <v>362</v>
      </c>
      <c r="Z184" s="527">
        <f>IFERROR(INDEX(잔가map!$C$14:$AR$18,MATCH(차량DB!$Z$5,잔가map!$B$14:$B$18,0),MATCH(차량DB!Y184,잔가map!$C$13:$AR$13,0)),"")</f>
        <v>0.71</v>
      </c>
      <c r="AA184" s="527">
        <f>IFERROR(INDEX(잔가map!$C$14:$AR$18,MATCH(차량DB!$AA$5,잔가map!$B$14:$B$18,0),MATCH(차량DB!Y184,잔가map!$C$13:$AR$13,0)),"")</f>
        <v>0.63</v>
      </c>
      <c r="AB184" s="527">
        <f>IFERROR(INDEX(잔가map!$C$14:$AR$18,MATCH(차량DB!$AB$5,잔가map!$B$14:$B$18,0),MATCH(차량DB!Y184,잔가map!$C$13:$AR$13,0)),"")</f>
        <v>0.53999999999999992</v>
      </c>
      <c r="AC184" s="527">
        <f>IFERROR(INDEX(잔가map!$C$14:$AR$18,MATCH(차량DB!$AC$5,잔가map!$B$14:$B$18,0),MATCH(차량DB!Y184,잔가map!$C$13:$AR$13,0)),"")</f>
        <v>0.46</v>
      </c>
      <c r="AD184" s="527">
        <f>IFERROR(INDEX(잔가map!$C$14:$AR$18,MATCH(차량DB!$AD$5,잔가map!$B$14:$B$18,0),MATCH(차량DB!Y184,잔가map!$C$13:$AR$13,0)),"")</f>
        <v>0.4</v>
      </c>
      <c r="AE184" s="643"/>
      <c r="AF184" s="644"/>
      <c r="AG184" s="644"/>
      <c r="AH184" s="644"/>
      <c r="AI184" s="644"/>
      <c r="AJ184" s="644"/>
      <c r="AK184" s="547"/>
      <c r="AL184" s="576"/>
    </row>
    <row r="185" spans="5:38" x14ac:dyDescent="0.3">
      <c r="E185" s="293" t="s">
        <v>343</v>
      </c>
      <c r="F185" s="604" t="s">
        <v>818</v>
      </c>
      <c r="G185" s="294">
        <v>2993</v>
      </c>
      <c r="H185" s="295" t="s">
        <v>58</v>
      </c>
      <c r="I185" s="294">
        <v>117500000</v>
      </c>
      <c r="P185" s="295" t="s">
        <v>576</v>
      </c>
      <c r="R185" s="500">
        <v>0</v>
      </c>
      <c r="S185" s="639" t="s">
        <v>1262</v>
      </c>
      <c r="T185" s="640"/>
      <c r="U185" s="640"/>
      <c r="V185" s="640"/>
      <c r="W185" s="640"/>
      <c r="X185" s="640"/>
      <c r="Y185" s="553" t="s">
        <v>365</v>
      </c>
      <c r="Z185" s="527">
        <f>IFERROR(INDEX(잔가map!$C$14:$AR$18,MATCH(차량DB!$Z$5,잔가map!$B$14:$B$18,0),MATCH(차량DB!Y185,잔가map!$C$13:$AR$13,0)),"")</f>
        <v>0.7</v>
      </c>
      <c r="AA185" s="527">
        <f>IFERROR(INDEX(잔가map!$C$14:$AR$18,MATCH(차량DB!$AA$5,잔가map!$B$14:$B$18,0),MATCH(차량DB!Y185,잔가map!$C$13:$AR$13,0)),"")</f>
        <v>0.62</v>
      </c>
      <c r="AB185" s="527">
        <f>IFERROR(INDEX(잔가map!$C$14:$AR$18,MATCH(차량DB!$AB$5,잔가map!$B$14:$B$18,0),MATCH(차량DB!Y185,잔가map!$C$13:$AR$13,0)),"")</f>
        <v>0.52999999999999992</v>
      </c>
      <c r="AC185" s="527">
        <f>IFERROR(INDEX(잔가map!$C$14:$AR$18,MATCH(차량DB!$AC$5,잔가map!$B$14:$B$18,0),MATCH(차량DB!Y185,잔가map!$C$13:$AR$13,0)),"")</f>
        <v>0.45</v>
      </c>
      <c r="AD185" s="527">
        <f>IFERROR(INDEX(잔가map!$C$14:$AR$18,MATCH(차량DB!$AD$5,잔가map!$B$14:$B$18,0),MATCH(차량DB!Y185,잔가map!$C$13:$AR$13,0)),"")</f>
        <v>0.39</v>
      </c>
      <c r="AE185" s="643"/>
      <c r="AF185" s="644"/>
      <c r="AG185" s="644"/>
      <c r="AH185" s="644"/>
      <c r="AI185" s="644"/>
      <c r="AJ185" s="644"/>
      <c r="AK185" s="547"/>
      <c r="AL185" s="576"/>
    </row>
    <row r="186" spans="5:38" x14ac:dyDescent="0.3">
      <c r="E186" s="293" t="s">
        <v>343</v>
      </c>
      <c r="F186" s="604" t="s">
        <v>821</v>
      </c>
      <c r="G186" s="294">
        <v>1998</v>
      </c>
      <c r="H186" s="295" t="s">
        <v>58</v>
      </c>
      <c r="I186" s="294">
        <v>71700000</v>
      </c>
      <c r="P186" s="295" t="s">
        <v>576</v>
      </c>
      <c r="R186" s="500">
        <v>0</v>
      </c>
      <c r="S186" s="639" t="s">
        <v>1222</v>
      </c>
      <c r="T186" s="640"/>
      <c r="U186" s="640"/>
      <c r="V186" s="640"/>
      <c r="W186" s="640"/>
      <c r="X186" s="640"/>
      <c r="Y186" s="553" t="s">
        <v>1332</v>
      </c>
      <c r="Z186" s="527">
        <f>IFERROR(INDEX(잔가map!$C$14:$AR$18,MATCH(차량DB!$Z$5,잔가map!$B$14:$B$18,0),MATCH(차량DB!Y186,잔가map!$C$13:$AR$13,0)),"")</f>
        <v>0.8</v>
      </c>
      <c r="AA186" s="527">
        <f>IFERROR(INDEX(잔가map!$C$14:$AR$18,MATCH(차량DB!$AA$5,잔가map!$B$14:$B$18,0),MATCH(차량DB!Y186,잔가map!$C$13:$AR$13,0)),"")</f>
        <v>0.72</v>
      </c>
      <c r="AB186" s="527">
        <f>IFERROR(INDEX(잔가map!$C$14:$AR$18,MATCH(차량DB!$AB$5,잔가map!$B$14:$B$18,0),MATCH(차량DB!Y186,잔가map!$C$13:$AR$13,0)),"")</f>
        <v>0.63</v>
      </c>
      <c r="AC186" s="527">
        <f>IFERROR(INDEX(잔가map!$C$14:$AR$18,MATCH(차량DB!$AC$5,잔가map!$B$14:$B$18,0),MATCH(차량DB!Y186,잔가map!$C$13:$AR$13,0)),"")</f>
        <v>0.55000000000000004</v>
      </c>
      <c r="AD186" s="527">
        <f>IFERROR(INDEX(잔가map!$C$14:$AR$18,MATCH(차량DB!$AD$5,잔가map!$B$14:$B$18,0),MATCH(차량DB!Y186,잔가map!$C$13:$AR$13,0)),"")</f>
        <v>0.49</v>
      </c>
      <c r="AE186" s="643"/>
      <c r="AF186" s="644"/>
      <c r="AG186" s="644"/>
      <c r="AH186" s="644"/>
      <c r="AI186" s="644"/>
      <c r="AJ186" s="644"/>
      <c r="AK186" s="574"/>
      <c r="AL186" s="576"/>
    </row>
    <row r="187" spans="5:38" x14ac:dyDescent="0.3">
      <c r="E187" s="293" t="s">
        <v>343</v>
      </c>
      <c r="F187" s="604" t="s">
        <v>820</v>
      </c>
      <c r="G187" s="294">
        <v>1998</v>
      </c>
      <c r="H187" s="295" t="s">
        <v>58</v>
      </c>
      <c r="I187" s="294">
        <v>74900000</v>
      </c>
      <c r="P187" s="295" t="s">
        <v>576</v>
      </c>
      <c r="R187" s="500">
        <v>0</v>
      </c>
      <c r="S187" s="639" t="s">
        <v>1223</v>
      </c>
      <c r="T187" s="640"/>
      <c r="U187" s="640"/>
      <c r="V187" s="640"/>
      <c r="W187" s="640"/>
      <c r="X187" s="640"/>
      <c r="Y187" s="553" t="s">
        <v>1332</v>
      </c>
      <c r="Z187" s="527">
        <f>IFERROR(INDEX(잔가map!$C$14:$AR$18,MATCH(차량DB!$Z$5,잔가map!$B$14:$B$18,0),MATCH(차량DB!Y187,잔가map!$C$13:$AR$13,0)),"")</f>
        <v>0.8</v>
      </c>
      <c r="AA187" s="527">
        <f>IFERROR(INDEX(잔가map!$C$14:$AR$18,MATCH(차량DB!$AA$5,잔가map!$B$14:$B$18,0),MATCH(차량DB!Y187,잔가map!$C$13:$AR$13,0)),"")</f>
        <v>0.72</v>
      </c>
      <c r="AB187" s="527">
        <f>IFERROR(INDEX(잔가map!$C$14:$AR$18,MATCH(차량DB!$AB$5,잔가map!$B$14:$B$18,0),MATCH(차량DB!Y187,잔가map!$C$13:$AR$13,0)),"")</f>
        <v>0.63</v>
      </c>
      <c r="AC187" s="527">
        <f>IFERROR(INDEX(잔가map!$C$14:$AR$18,MATCH(차량DB!$AC$5,잔가map!$B$14:$B$18,0),MATCH(차량DB!Y187,잔가map!$C$13:$AR$13,0)),"")</f>
        <v>0.55000000000000004</v>
      </c>
      <c r="AD187" s="527">
        <f>IFERROR(INDEX(잔가map!$C$14:$AR$18,MATCH(차량DB!$AD$5,잔가map!$B$14:$B$18,0),MATCH(차량DB!Y187,잔가map!$C$13:$AR$13,0)),"")</f>
        <v>0.49</v>
      </c>
      <c r="AE187" s="643"/>
      <c r="AF187" s="644"/>
      <c r="AG187" s="644"/>
      <c r="AH187" s="644"/>
      <c r="AI187" s="644"/>
      <c r="AJ187" s="644"/>
      <c r="AK187" s="574"/>
      <c r="AL187" s="576"/>
    </row>
    <row r="188" spans="5:38" x14ac:dyDescent="0.3">
      <c r="E188" s="293" t="s">
        <v>343</v>
      </c>
      <c r="F188" s="604" t="s">
        <v>819</v>
      </c>
      <c r="G188" s="294">
        <v>1998</v>
      </c>
      <c r="H188" s="295" t="s">
        <v>58</v>
      </c>
      <c r="I188" s="294">
        <v>81500000</v>
      </c>
      <c r="P188" s="295" t="s">
        <v>576</v>
      </c>
      <c r="R188" s="500">
        <v>0</v>
      </c>
      <c r="S188" s="639" t="s">
        <v>1223</v>
      </c>
      <c r="T188" s="640"/>
      <c r="U188" s="640"/>
      <c r="V188" s="640"/>
      <c r="W188" s="640"/>
      <c r="X188" s="640"/>
      <c r="Y188" s="553" t="s">
        <v>1332</v>
      </c>
      <c r="Z188" s="527">
        <f>IFERROR(INDEX(잔가map!$C$14:$AR$18,MATCH(차량DB!$Z$5,잔가map!$B$14:$B$18,0),MATCH(차량DB!Y188,잔가map!$C$13:$AR$13,0)),"")</f>
        <v>0.8</v>
      </c>
      <c r="AA188" s="527">
        <f>IFERROR(INDEX(잔가map!$C$14:$AR$18,MATCH(차량DB!$AA$5,잔가map!$B$14:$B$18,0),MATCH(차량DB!Y188,잔가map!$C$13:$AR$13,0)),"")</f>
        <v>0.72</v>
      </c>
      <c r="AB188" s="527">
        <f>IFERROR(INDEX(잔가map!$C$14:$AR$18,MATCH(차량DB!$AB$5,잔가map!$B$14:$B$18,0),MATCH(차량DB!Y188,잔가map!$C$13:$AR$13,0)),"")</f>
        <v>0.63</v>
      </c>
      <c r="AC188" s="527">
        <f>IFERROR(INDEX(잔가map!$C$14:$AR$18,MATCH(차량DB!$AC$5,잔가map!$B$14:$B$18,0),MATCH(차량DB!Y188,잔가map!$C$13:$AR$13,0)),"")</f>
        <v>0.55000000000000004</v>
      </c>
      <c r="AD188" s="527">
        <f>IFERROR(INDEX(잔가map!$C$14:$AR$18,MATCH(차량DB!$AD$5,잔가map!$B$14:$B$18,0),MATCH(차량DB!Y188,잔가map!$C$13:$AR$13,0)),"")</f>
        <v>0.49</v>
      </c>
      <c r="AE188" s="643"/>
      <c r="AF188" s="644"/>
      <c r="AG188" s="644"/>
      <c r="AH188" s="644"/>
      <c r="AI188" s="644"/>
      <c r="AJ188" s="644"/>
      <c r="AK188" s="574"/>
      <c r="AL188" s="576"/>
    </row>
    <row r="189" spans="5:38" x14ac:dyDescent="0.3">
      <c r="E189" s="293" t="s">
        <v>343</v>
      </c>
      <c r="F189" s="604" t="s">
        <v>823</v>
      </c>
      <c r="G189" s="294">
        <v>1995</v>
      </c>
      <c r="H189" s="295" t="s">
        <v>58</v>
      </c>
      <c r="I189" s="294">
        <v>77000000</v>
      </c>
      <c r="P189" s="295" t="s">
        <v>576</v>
      </c>
      <c r="R189" s="500">
        <v>0</v>
      </c>
      <c r="S189" s="639" t="s">
        <v>1222</v>
      </c>
      <c r="T189" s="640"/>
      <c r="U189" s="640"/>
      <c r="V189" s="640"/>
      <c r="W189" s="640"/>
      <c r="X189" s="640"/>
      <c r="Y189" s="553" t="s">
        <v>1332</v>
      </c>
      <c r="Z189" s="527">
        <f>IFERROR(INDEX(잔가map!$C$14:$AR$18,MATCH(차량DB!$Z$5,잔가map!$B$14:$B$18,0),MATCH(차량DB!Y189,잔가map!$C$13:$AR$13,0)),"")</f>
        <v>0.8</v>
      </c>
      <c r="AA189" s="527">
        <f>IFERROR(INDEX(잔가map!$C$14:$AR$18,MATCH(차량DB!$AA$5,잔가map!$B$14:$B$18,0),MATCH(차량DB!Y189,잔가map!$C$13:$AR$13,0)),"")</f>
        <v>0.72</v>
      </c>
      <c r="AB189" s="527">
        <f>IFERROR(INDEX(잔가map!$C$14:$AR$18,MATCH(차량DB!$AB$5,잔가map!$B$14:$B$18,0),MATCH(차량DB!Y189,잔가map!$C$13:$AR$13,0)),"")</f>
        <v>0.63</v>
      </c>
      <c r="AC189" s="527">
        <f>IFERROR(INDEX(잔가map!$C$14:$AR$18,MATCH(차량DB!$AC$5,잔가map!$B$14:$B$18,0),MATCH(차량DB!Y189,잔가map!$C$13:$AR$13,0)),"")</f>
        <v>0.55000000000000004</v>
      </c>
      <c r="AD189" s="527">
        <f>IFERROR(INDEX(잔가map!$C$14:$AR$18,MATCH(차량DB!$AD$5,잔가map!$B$14:$B$18,0),MATCH(차량DB!Y189,잔가map!$C$13:$AR$13,0)),"")</f>
        <v>0.49</v>
      </c>
      <c r="AE189" s="643"/>
      <c r="AF189" s="644"/>
      <c r="AG189" s="644"/>
      <c r="AH189" s="644"/>
      <c r="AI189" s="644"/>
      <c r="AJ189" s="644"/>
      <c r="AK189" s="574"/>
      <c r="AL189" s="576"/>
    </row>
    <row r="190" spans="5:38" x14ac:dyDescent="0.3">
      <c r="E190" s="293" t="s">
        <v>343</v>
      </c>
      <c r="F190" s="604" t="s">
        <v>824</v>
      </c>
      <c r="G190" s="294">
        <v>1995</v>
      </c>
      <c r="H190" s="295" t="s">
        <v>58</v>
      </c>
      <c r="I190" s="294">
        <v>80000000</v>
      </c>
      <c r="P190" s="295" t="s">
        <v>576</v>
      </c>
      <c r="R190" s="500">
        <v>0</v>
      </c>
      <c r="S190" s="639" t="s">
        <v>1222</v>
      </c>
      <c r="T190" s="640"/>
      <c r="U190" s="640"/>
      <c r="V190" s="640"/>
      <c r="W190" s="640"/>
      <c r="X190" s="640"/>
      <c r="Y190" s="553" t="s">
        <v>1332</v>
      </c>
      <c r="Z190" s="527">
        <f>IFERROR(INDEX(잔가map!$C$14:$AR$18,MATCH(차량DB!$Z$5,잔가map!$B$14:$B$18,0),MATCH(차량DB!Y190,잔가map!$C$13:$AR$13,0)),"")</f>
        <v>0.8</v>
      </c>
      <c r="AA190" s="527">
        <f>IFERROR(INDEX(잔가map!$C$14:$AR$18,MATCH(차량DB!$AA$5,잔가map!$B$14:$B$18,0),MATCH(차량DB!Y190,잔가map!$C$13:$AR$13,0)),"")</f>
        <v>0.72</v>
      </c>
      <c r="AB190" s="527">
        <f>IFERROR(INDEX(잔가map!$C$14:$AR$18,MATCH(차량DB!$AB$5,잔가map!$B$14:$B$18,0),MATCH(차량DB!Y190,잔가map!$C$13:$AR$13,0)),"")</f>
        <v>0.63</v>
      </c>
      <c r="AC190" s="527">
        <f>IFERROR(INDEX(잔가map!$C$14:$AR$18,MATCH(차량DB!$AC$5,잔가map!$B$14:$B$18,0),MATCH(차량DB!Y190,잔가map!$C$13:$AR$13,0)),"")</f>
        <v>0.55000000000000004</v>
      </c>
      <c r="AD190" s="527">
        <f>IFERROR(INDEX(잔가map!$C$14:$AR$18,MATCH(차량DB!$AD$5,잔가map!$B$14:$B$18,0),MATCH(차량DB!Y190,잔가map!$C$13:$AR$13,0)),"")</f>
        <v>0.49</v>
      </c>
      <c r="AE190" s="643"/>
      <c r="AF190" s="644"/>
      <c r="AG190" s="644"/>
      <c r="AH190" s="644"/>
      <c r="AI190" s="644"/>
      <c r="AJ190" s="644"/>
      <c r="AK190" s="547"/>
      <c r="AL190" s="576"/>
    </row>
    <row r="191" spans="5:38" x14ac:dyDescent="0.3">
      <c r="E191" s="293" t="s">
        <v>343</v>
      </c>
      <c r="F191" s="604" t="s">
        <v>822</v>
      </c>
      <c r="G191" s="294">
        <v>1995</v>
      </c>
      <c r="H191" s="295" t="s">
        <v>58</v>
      </c>
      <c r="I191" s="294">
        <v>85000000</v>
      </c>
      <c r="P191" s="295" t="s">
        <v>576</v>
      </c>
      <c r="R191" s="500">
        <v>0</v>
      </c>
      <c r="S191" s="639" t="s">
        <v>1223</v>
      </c>
      <c r="T191" s="640"/>
      <c r="U191" s="640"/>
      <c r="V191" s="640"/>
      <c r="W191" s="640"/>
      <c r="X191" s="640"/>
      <c r="Y191" s="553" t="s">
        <v>1332</v>
      </c>
      <c r="Z191" s="527">
        <f>IFERROR(INDEX(잔가map!$C$14:$AR$18,MATCH(차량DB!$Z$5,잔가map!$B$14:$B$18,0),MATCH(차량DB!Y191,잔가map!$C$13:$AR$13,0)),"")</f>
        <v>0.8</v>
      </c>
      <c r="AA191" s="527">
        <f>IFERROR(INDEX(잔가map!$C$14:$AR$18,MATCH(차량DB!$AA$5,잔가map!$B$14:$B$18,0),MATCH(차량DB!Y191,잔가map!$C$13:$AR$13,0)),"")</f>
        <v>0.72</v>
      </c>
      <c r="AB191" s="527">
        <f>IFERROR(INDEX(잔가map!$C$14:$AR$18,MATCH(차량DB!$AB$5,잔가map!$B$14:$B$18,0),MATCH(차량DB!Y191,잔가map!$C$13:$AR$13,0)),"")</f>
        <v>0.63</v>
      </c>
      <c r="AC191" s="527">
        <f>IFERROR(INDEX(잔가map!$C$14:$AR$18,MATCH(차량DB!$AC$5,잔가map!$B$14:$B$18,0),MATCH(차량DB!Y191,잔가map!$C$13:$AR$13,0)),"")</f>
        <v>0.55000000000000004</v>
      </c>
      <c r="AD191" s="527">
        <f>IFERROR(INDEX(잔가map!$C$14:$AR$18,MATCH(차량DB!$AD$5,잔가map!$B$14:$B$18,0),MATCH(차량DB!Y191,잔가map!$C$13:$AR$13,0)),"")</f>
        <v>0.49</v>
      </c>
      <c r="AE191" s="643"/>
      <c r="AF191" s="644"/>
      <c r="AG191" s="644"/>
      <c r="AH191" s="644"/>
      <c r="AI191" s="644"/>
      <c r="AJ191" s="644"/>
      <c r="AK191" s="547"/>
      <c r="AL191" s="576"/>
    </row>
    <row r="192" spans="5:38" x14ac:dyDescent="0.3">
      <c r="E192" s="293" t="s">
        <v>343</v>
      </c>
      <c r="F192" s="604" t="s">
        <v>475</v>
      </c>
      <c r="G192" s="294">
        <v>2998</v>
      </c>
      <c r="H192" s="295" t="s">
        <v>58</v>
      </c>
      <c r="I192" s="294">
        <v>101600000</v>
      </c>
      <c r="P192" s="295" t="s">
        <v>576</v>
      </c>
      <c r="R192" s="500">
        <v>0</v>
      </c>
      <c r="S192" s="639" t="s">
        <v>1281</v>
      </c>
      <c r="T192" s="640"/>
      <c r="U192" s="640"/>
      <c r="V192" s="640"/>
      <c r="W192" s="640"/>
      <c r="X192" s="640"/>
      <c r="Y192" s="553" t="s">
        <v>362</v>
      </c>
      <c r="Z192" s="527">
        <f>IFERROR(INDEX(잔가map!$C$14:$AR$18,MATCH(차량DB!$Z$5,잔가map!$B$14:$B$18,0),MATCH(차량DB!Y192,잔가map!$C$13:$AR$13,0)),"")</f>
        <v>0.71</v>
      </c>
      <c r="AA192" s="527">
        <f>IFERROR(INDEX(잔가map!$C$14:$AR$18,MATCH(차량DB!$AA$5,잔가map!$B$14:$B$18,0),MATCH(차량DB!Y192,잔가map!$C$13:$AR$13,0)),"")</f>
        <v>0.63</v>
      </c>
      <c r="AB192" s="527">
        <f>IFERROR(INDEX(잔가map!$C$14:$AR$18,MATCH(차량DB!$AB$5,잔가map!$B$14:$B$18,0),MATCH(차량DB!Y192,잔가map!$C$13:$AR$13,0)),"")</f>
        <v>0.53999999999999992</v>
      </c>
      <c r="AC192" s="527">
        <f>IFERROR(INDEX(잔가map!$C$14:$AR$18,MATCH(차량DB!$AC$5,잔가map!$B$14:$B$18,0),MATCH(차량DB!Y192,잔가map!$C$13:$AR$13,0)),"")</f>
        <v>0.46</v>
      </c>
      <c r="AD192" s="527">
        <f>IFERROR(INDEX(잔가map!$C$14:$AR$18,MATCH(차량DB!$AD$5,잔가map!$B$14:$B$18,0),MATCH(차량DB!Y192,잔가map!$C$13:$AR$13,0)),"")</f>
        <v>0.4</v>
      </c>
      <c r="AE192" s="643"/>
      <c r="AF192" s="644"/>
      <c r="AG192" s="644"/>
      <c r="AH192" s="644"/>
      <c r="AI192" s="644"/>
      <c r="AJ192" s="644"/>
      <c r="AK192" s="547"/>
      <c r="AL192" s="576"/>
    </row>
    <row r="193" spans="5:38" x14ac:dyDescent="0.3">
      <c r="E193" s="293" t="s">
        <v>343</v>
      </c>
      <c r="F193" s="605" t="s">
        <v>825</v>
      </c>
      <c r="G193" s="294">
        <v>2993</v>
      </c>
      <c r="H193" s="295" t="s">
        <v>58</v>
      </c>
      <c r="I193" s="294">
        <v>120700000</v>
      </c>
      <c r="P193" s="295" t="s">
        <v>576</v>
      </c>
      <c r="R193" s="500">
        <v>0</v>
      </c>
      <c r="S193" s="639" t="s">
        <v>1291</v>
      </c>
      <c r="T193" s="640"/>
      <c r="U193" s="640"/>
      <c r="V193" s="640"/>
      <c r="W193" s="640"/>
      <c r="X193" s="640"/>
      <c r="Y193" s="553" t="s">
        <v>365</v>
      </c>
      <c r="Z193" s="527">
        <f>IFERROR(INDEX(잔가map!$C$14:$AR$18,MATCH(차량DB!$Z$5,잔가map!$B$14:$B$18,0),MATCH(차량DB!Y193,잔가map!$C$13:$AR$13,0)),"")</f>
        <v>0.7</v>
      </c>
      <c r="AA193" s="527">
        <f>IFERROR(INDEX(잔가map!$C$14:$AR$18,MATCH(차량DB!$AA$5,잔가map!$B$14:$B$18,0),MATCH(차량DB!Y193,잔가map!$C$13:$AR$13,0)),"")</f>
        <v>0.62</v>
      </c>
      <c r="AB193" s="527">
        <f>IFERROR(INDEX(잔가map!$C$14:$AR$18,MATCH(차량DB!$AB$5,잔가map!$B$14:$B$18,0),MATCH(차량DB!Y193,잔가map!$C$13:$AR$13,0)),"")</f>
        <v>0.52999999999999992</v>
      </c>
      <c r="AC193" s="527">
        <f>IFERROR(INDEX(잔가map!$C$14:$AR$18,MATCH(차량DB!$AC$5,잔가map!$B$14:$B$18,0),MATCH(차량DB!Y193,잔가map!$C$13:$AR$13,0)),"")</f>
        <v>0.45</v>
      </c>
      <c r="AD193" s="527">
        <f>IFERROR(INDEX(잔가map!$C$14:$AR$18,MATCH(차량DB!$AD$5,잔가map!$B$14:$B$18,0),MATCH(차량DB!Y193,잔가map!$C$13:$AR$13,0)),"")</f>
        <v>0.39</v>
      </c>
      <c r="AE193" s="643"/>
      <c r="AF193" s="644"/>
      <c r="AG193" s="644"/>
      <c r="AH193" s="644"/>
      <c r="AI193" s="644"/>
      <c r="AJ193" s="644"/>
      <c r="AK193" s="547"/>
      <c r="AL193" s="576"/>
    </row>
    <row r="194" spans="5:38" x14ac:dyDescent="0.3">
      <c r="E194" s="293" t="s">
        <v>343</v>
      </c>
      <c r="F194" s="605" t="s">
        <v>476</v>
      </c>
      <c r="G194" s="294">
        <v>2993</v>
      </c>
      <c r="H194" s="295" t="s">
        <v>305</v>
      </c>
      <c r="I194" s="294">
        <v>115500000</v>
      </c>
      <c r="P194" s="295" t="s">
        <v>576</v>
      </c>
      <c r="R194" s="500">
        <v>0</v>
      </c>
      <c r="S194" s="639" t="s">
        <v>1205</v>
      </c>
      <c r="T194" s="640"/>
      <c r="U194" s="640"/>
      <c r="V194" s="640"/>
      <c r="W194" s="640"/>
      <c r="X194" s="640"/>
      <c r="Y194" s="553"/>
      <c r="Z194" s="527" t="str">
        <f>IFERROR(INDEX(잔가map!$C$14:$AR$18,MATCH(차량DB!$Z$5,잔가map!$B$14:$B$18,0),MATCH(차량DB!Y194,잔가map!$C$13:$AR$13,0)),"")</f>
        <v/>
      </c>
      <c r="AA194" s="527" t="str">
        <f>IFERROR(INDEX(잔가map!$C$14:$AR$18,MATCH(차량DB!$AA$5,잔가map!$B$14:$B$18,0),MATCH(차량DB!Y194,잔가map!$C$13:$AR$13,0)),"")</f>
        <v/>
      </c>
      <c r="AB194" s="527" t="str">
        <f>IFERROR(INDEX(잔가map!$C$14:$AR$18,MATCH(차량DB!$AB$5,잔가map!$B$14:$B$18,0),MATCH(차량DB!Y194,잔가map!$C$13:$AR$13,0)),"")</f>
        <v/>
      </c>
      <c r="AC194" s="527" t="str">
        <f>IFERROR(INDEX(잔가map!$C$14:$AR$18,MATCH(차량DB!$AC$5,잔가map!$B$14:$B$18,0),MATCH(차량DB!Y194,잔가map!$C$13:$AR$13,0)),"")</f>
        <v/>
      </c>
      <c r="AD194" s="527" t="str">
        <f>IFERROR(INDEX(잔가map!$C$14:$AR$18,MATCH(차량DB!$AD$5,잔가map!$B$14:$B$18,0),MATCH(차량DB!Y194,잔가map!$C$13:$AR$13,0)),"")</f>
        <v/>
      </c>
      <c r="AE194" s="643"/>
      <c r="AF194" s="644"/>
      <c r="AG194" s="644"/>
      <c r="AH194" s="644"/>
      <c r="AI194" s="644"/>
      <c r="AJ194" s="644"/>
      <c r="AK194" s="547"/>
      <c r="AL194" s="575"/>
    </row>
    <row r="195" spans="5:38" x14ac:dyDescent="0.3">
      <c r="E195" s="293" t="s">
        <v>343</v>
      </c>
      <c r="F195" s="605" t="s">
        <v>826</v>
      </c>
      <c r="G195" s="294">
        <v>2993</v>
      </c>
      <c r="H195" s="295" t="s">
        <v>58</v>
      </c>
      <c r="I195" s="294">
        <v>118400000</v>
      </c>
      <c r="P195" s="295" t="s">
        <v>576</v>
      </c>
      <c r="R195" s="500">
        <v>0</v>
      </c>
      <c r="S195" s="639" t="s">
        <v>1200</v>
      </c>
      <c r="T195" s="640"/>
      <c r="U195" s="640"/>
      <c r="V195" s="640"/>
      <c r="W195" s="640"/>
      <c r="X195" s="640"/>
      <c r="Y195" s="553"/>
      <c r="Z195" s="527" t="str">
        <f>IFERROR(INDEX(잔가map!$C$14:$AR$18,MATCH(차량DB!$Z$5,잔가map!$B$14:$B$18,0),MATCH(차량DB!Y195,잔가map!$C$13:$AR$13,0)),"")</f>
        <v/>
      </c>
      <c r="AA195" s="527" t="str">
        <f>IFERROR(INDEX(잔가map!$C$14:$AR$18,MATCH(차량DB!$AA$5,잔가map!$B$14:$B$18,0),MATCH(차량DB!Y195,잔가map!$C$13:$AR$13,0)),"")</f>
        <v/>
      </c>
      <c r="AB195" s="527" t="str">
        <f>IFERROR(INDEX(잔가map!$C$14:$AR$18,MATCH(차량DB!$AB$5,잔가map!$B$14:$B$18,0),MATCH(차량DB!Y195,잔가map!$C$13:$AR$13,0)),"")</f>
        <v/>
      </c>
      <c r="AC195" s="527" t="str">
        <f>IFERROR(INDEX(잔가map!$C$14:$AR$18,MATCH(차량DB!$AC$5,잔가map!$B$14:$B$18,0),MATCH(차량DB!Y195,잔가map!$C$13:$AR$13,0)),"")</f>
        <v/>
      </c>
      <c r="AD195" s="527" t="str">
        <f>IFERROR(INDEX(잔가map!$C$14:$AR$18,MATCH(차량DB!$AD$5,잔가map!$B$14:$B$18,0),MATCH(차량DB!Y195,잔가map!$C$13:$AR$13,0)),"")</f>
        <v/>
      </c>
      <c r="AE195" s="643"/>
      <c r="AF195" s="644"/>
      <c r="AG195" s="644"/>
      <c r="AH195" s="644"/>
      <c r="AI195" s="644"/>
      <c r="AJ195" s="644"/>
      <c r="AK195" s="547"/>
      <c r="AL195" s="575"/>
    </row>
    <row r="196" spans="5:38" x14ac:dyDescent="0.3">
      <c r="E196" s="293" t="s">
        <v>343</v>
      </c>
      <c r="F196" s="605" t="s">
        <v>827</v>
      </c>
      <c r="G196" s="294">
        <v>2993</v>
      </c>
      <c r="H196" s="295" t="s">
        <v>305</v>
      </c>
      <c r="I196" s="294">
        <v>120900000</v>
      </c>
      <c r="P196" s="295" t="s">
        <v>576</v>
      </c>
      <c r="R196" s="500">
        <v>0</v>
      </c>
      <c r="S196" s="639" t="s">
        <v>1206</v>
      </c>
      <c r="T196" s="640"/>
      <c r="U196" s="640"/>
      <c r="V196" s="640"/>
      <c r="W196" s="640"/>
      <c r="X196" s="640"/>
      <c r="Y196" s="553"/>
      <c r="Z196" s="527" t="str">
        <f>IFERROR(INDEX(잔가map!$C$14:$AR$18,MATCH(차량DB!$Z$5,잔가map!$B$14:$B$18,0),MATCH(차량DB!Y196,잔가map!$C$13:$AR$13,0)),"")</f>
        <v/>
      </c>
      <c r="AA196" s="527" t="str">
        <f>IFERROR(INDEX(잔가map!$C$14:$AR$18,MATCH(차량DB!$AA$5,잔가map!$B$14:$B$18,0),MATCH(차량DB!Y196,잔가map!$C$13:$AR$13,0)),"")</f>
        <v/>
      </c>
      <c r="AB196" s="527" t="str">
        <f>IFERROR(INDEX(잔가map!$C$14:$AR$18,MATCH(차량DB!$AB$5,잔가map!$B$14:$B$18,0),MATCH(차량DB!Y196,잔가map!$C$13:$AR$13,0)),"")</f>
        <v/>
      </c>
      <c r="AC196" s="527" t="str">
        <f>IFERROR(INDEX(잔가map!$C$14:$AR$18,MATCH(차량DB!$AC$5,잔가map!$B$14:$B$18,0),MATCH(차량DB!Y196,잔가map!$C$13:$AR$13,0)),"")</f>
        <v/>
      </c>
      <c r="AD196" s="527" t="str">
        <f>IFERROR(INDEX(잔가map!$C$14:$AR$18,MATCH(차량DB!$AD$5,잔가map!$B$14:$B$18,0),MATCH(차량DB!Y196,잔가map!$C$13:$AR$13,0)),"")</f>
        <v/>
      </c>
      <c r="AE196" s="643"/>
      <c r="AF196" s="644"/>
      <c r="AG196" s="644"/>
      <c r="AH196" s="644"/>
      <c r="AI196" s="644"/>
      <c r="AJ196" s="644"/>
      <c r="AK196" s="547"/>
      <c r="AL196" s="575"/>
    </row>
    <row r="197" spans="5:38" x14ac:dyDescent="0.3">
      <c r="E197" s="293" t="s">
        <v>343</v>
      </c>
      <c r="F197" s="608" t="s">
        <v>828</v>
      </c>
      <c r="G197" s="294">
        <v>2998</v>
      </c>
      <c r="H197" s="295" t="s">
        <v>58</v>
      </c>
      <c r="I197" s="294">
        <v>124000000</v>
      </c>
      <c r="P197" s="295" t="s">
        <v>576</v>
      </c>
      <c r="R197" s="500">
        <v>0</v>
      </c>
      <c r="S197" s="639" t="s">
        <v>1207</v>
      </c>
      <c r="T197" s="640"/>
      <c r="U197" s="640"/>
      <c r="V197" s="640"/>
      <c r="W197" s="640"/>
      <c r="X197" s="640"/>
      <c r="Y197" s="553"/>
      <c r="Z197" s="527" t="str">
        <f>IFERROR(INDEX(잔가map!$C$14:$AR$18,MATCH(차량DB!$Z$5,잔가map!$B$14:$B$18,0),MATCH(차량DB!Y197,잔가map!$C$13:$AR$13,0)),"")</f>
        <v/>
      </c>
      <c r="AA197" s="527" t="str">
        <f>IFERROR(INDEX(잔가map!$C$14:$AR$18,MATCH(차량DB!$AA$5,잔가map!$B$14:$B$18,0),MATCH(차량DB!Y197,잔가map!$C$13:$AR$13,0)),"")</f>
        <v/>
      </c>
      <c r="AB197" s="527" t="str">
        <f>IFERROR(INDEX(잔가map!$C$14:$AR$18,MATCH(차량DB!$AB$5,잔가map!$B$14:$B$18,0),MATCH(차량DB!Y197,잔가map!$C$13:$AR$13,0)),"")</f>
        <v/>
      </c>
      <c r="AC197" s="527" t="str">
        <f>IFERROR(INDEX(잔가map!$C$14:$AR$18,MATCH(차량DB!$AC$5,잔가map!$B$14:$B$18,0),MATCH(차량DB!Y197,잔가map!$C$13:$AR$13,0)),"")</f>
        <v/>
      </c>
      <c r="AD197" s="527" t="str">
        <f>IFERROR(INDEX(잔가map!$C$14:$AR$18,MATCH(차량DB!$AD$5,잔가map!$B$14:$B$18,0),MATCH(차량DB!Y197,잔가map!$C$13:$AR$13,0)),"")</f>
        <v/>
      </c>
      <c r="AE197" s="643"/>
      <c r="AF197" s="644"/>
      <c r="AG197" s="644"/>
      <c r="AH197" s="644"/>
      <c r="AI197" s="644"/>
      <c r="AJ197" s="644"/>
      <c r="AK197" s="574"/>
      <c r="AL197" s="575"/>
    </row>
    <row r="198" spans="5:38" x14ac:dyDescent="0.3">
      <c r="E198" s="293" t="s">
        <v>343</v>
      </c>
      <c r="F198" s="608" t="s">
        <v>829</v>
      </c>
      <c r="G198" s="294">
        <v>2998</v>
      </c>
      <c r="H198" s="295" t="s">
        <v>305</v>
      </c>
      <c r="I198" s="294">
        <v>126500000</v>
      </c>
      <c r="P198" s="295" t="s">
        <v>576</v>
      </c>
      <c r="R198" s="500">
        <v>0</v>
      </c>
      <c r="S198" s="639" t="s">
        <v>1206</v>
      </c>
      <c r="T198" s="640"/>
      <c r="U198" s="640"/>
      <c r="V198" s="640"/>
      <c r="W198" s="640"/>
      <c r="X198" s="640"/>
      <c r="Y198" s="553"/>
      <c r="Z198" s="527" t="str">
        <f>IFERROR(INDEX(잔가map!$C$14:$AR$18,MATCH(차량DB!$Z$5,잔가map!$B$14:$B$18,0),MATCH(차량DB!Y198,잔가map!$C$13:$AR$13,0)),"")</f>
        <v/>
      </c>
      <c r="AA198" s="527" t="str">
        <f>IFERROR(INDEX(잔가map!$C$14:$AR$18,MATCH(차량DB!$AA$5,잔가map!$B$14:$B$18,0),MATCH(차량DB!Y198,잔가map!$C$13:$AR$13,0)),"")</f>
        <v/>
      </c>
      <c r="AB198" s="527" t="str">
        <f>IFERROR(INDEX(잔가map!$C$14:$AR$18,MATCH(차량DB!$AB$5,잔가map!$B$14:$B$18,0),MATCH(차량DB!Y198,잔가map!$C$13:$AR$13,0)),"")</f>
        <v/>
      </c>
      <c r="AC198" s="527" t="str">
        <f>IFERROR(INDEX(잔가map!$C$14:$AR$18,MATCH(차량DB!$AC$5,잔가map!$B$14:$B$18,0),MATCH(차량DB!Y198,잔가map!$C$13:$AR$13,0)),"")</f>
        <v/>
      </c>
      <c r="AD198" s="527" t="str">
        <f>IFERROR(INDEX(잔가map!$C$14:$AR$18,MATCH(차량DB!$AD$5,잔가map!$B$14:$B$18,0),MATCH(차량DB!Y198,잔가map!$C$13:$AR$13,0)),"")</f>
        <v/>
      </c>
      <c r="AE198" s="643"/>
      <c r="AF198" s="644"/>
      <c r="AG198" s="644"/>
      <c r="AH198" s="644"/>
      <c r="AI198" s="644"/>
      <c r="AJ198" s="644"/>
      <c r="AK198" s="574"/>
      <c r="AL198" s="575"/>
    </row>
    <row r="199" spans="5:38" x14ac:dyDescent="0.3">
      <c r="E199" s="293" t="s">
        <v>343</v>
      </c>
      <c r="F199" s="604" t="s">
        <v>830</v>
      </c>
      <c r="G199" s="294">
        <v>2998</v>
      </c>
      <c r="H199" s="295" t="s">
        <v>305</v>
      </c>
      <c r="I199" s="294">
        <v>120500000</v>
      </c>
      <c r="P199" s="295" t="s">
        <v>576</v>
      </c>
      <c r="R199" s="500">
        <v>0</v>
      </c>
      <c r="S199" s="639" t="s">
        <v>1201</v>
      </c>
      <c r="T199" s="640"/>
      <c r="U199" s="640"/>
      <c r="V199" s="640"/>
      <c r="W199" s="640"/>
      <c r="X199" s="640"/>
      <c r="Y199" s="553"/>
      <c r="Z199" s="527" t="str">
        <f>IFERROR(INDEX(잔가map!$C$14:$AR$18,MATCH(차량DB!$Z$5,잔가map!$B$14:$B$18,0),MATCH(차량DB!Y199,잔가map!$C$13:$AR$13,0)),"")</f>
        <v/>
      </c>
      <c r="AA199" s="527" t="str">
        <f>IFERROR(INDEX(잔가map!$C$14:$AR$18,MATCH(차량DB!$AA$5,잔가map!$B$14:$B$18,0),MATCH(차량DB!Y199,잔가map!$C$13:$AR$13,0)),"")</f>
        <v/>
      </c>
      <c r="AB199" s="527" t="str">
        <f>IFERROR(INDEX(잔가map!$C$14:$AR$18,MATCH(차량DB!$AB$5,잔가map!$B$14:$B$18,0),MATCH(차량DB!Y199,잔가map!$C$13:$AR$13,0)),"")</f>
        <v/>
      </c>
      <c r="AC199" s="527" t="str">
        <f>IFERROR(INDEX(잔가map!$C$14:$AR$18,MATCH(차량DB!$AC$5,잔가map!$B$14:$B$18,0),MATCH(차량DB!Y199,잔가map!$C$13:$AR$13,0)),"")</f>
        <v/>
      </c>
      <c r="AD199" s="527" t="str">
        <f>IFERROR(INDEX(잔가map!$C$14:$AR$18,MATCH(차량DB!$AD$5,잔가map!$B$14:$B$18,0),MATCH(차량DB!Y199,잔가map!$C$13:$AR$13,0)),"")</f>
        <v/>
      </c>
      <c r="AE199" s="643"/>
      <c r="AF199" s="644"/>
      <c r="AG199" s="644"/>
      <c r="AH199" s="644"/>
      <c r="AI199" s="644"/>
      <c r="AJ199" s="644"/>
      <c r="AK199" s="574"/>
      <c r="AL199" s="575"/>
    </row>
    <row r="200" spans="5:38" x14ac:dyDescent="0.3">
      <c r="E200" s="293" t="s">
        <v>343</v>
      </c>
      <c r="F200" s="604" t="s">
        <v>1169</v>
      </c>
      <c r="G200" s="294">
        <v>2998</v>
      </c>
      <c r="H200" s="295" t="s">
        <v>58</v>
      </c>
      <c r="I200" s="294">
        <v>128700000</v>
      </c>
      <c r="P200" s="295" t="s">
        <v>1118</v>
      </c>
      <c r="R200" s="500"/>
      <c r="S200" s="639" t="s">
        <v>1208</v>
      </c>
      <c r="T200" s="640"/>
      <c r="U200" s="640"/>
      <c r="V200" s="640"/>
      <c r="W200" s="640"/>
      <c r="X200" s="640"/>
      <c r="Y200" s="553"/>
      <c r="Z200" s="527" t="str">
        <f>IFERROR(INDEX(잔가map!$C$14:$AR$18,MATCH(차량DB!$Z$5,잔가map!$B$14:$B$18,0),MATCH(차량DB!Y200,잔가map!$C$13:$AR$13,0)),"")</f>
        <v/>
      </c>
      <c r="AA200" s="527" t="str">
        <f>IFERROR(INDEX(잔가map!$C$14:$AR$18,MATCH(차량DB!$AA$5,잔가map!$B$14:$B$18,0),MATCH(차량DB!Y200,잔가map!$C$13:$AR$13,0)),"")</f>
        <v/>
      </c>
      <c r="AB200" s="527" t="str">
        <f>IFERROR(INDEX(잔가map!$C$14:$AR$18,MATCH(차량DB!$AB$5,잔가map!$B$14:$B$18,0),MATCH(차량DB!Y200,잔가map!$C$13:$AR$13,0)),"")</f>
        <v/>
      </c>
      <c r="AC200" s="527" t="str">
        <f>IFERROR(INDEX(잔가map!$C$14:$AR$18,MATCH(차량DB!$AC$5,잔가map!$B$14:$B$18,0),MATCH(차량DB!Y200,잔가map!$C$13:$AR$13,0)),"")</f>
        <v/>
      </c>
      <c r="AD200" s="527" t="str">
        <f>IFERROR(INDEX(잔가map!$C$14:$AR$18,MATCH(차량DB!$AD$5,잔가map!$B$14:$B$18,0),MATCH(차량DB!Y200,잔가map!$C$13:$AR$13,0)),"")</f>
        <v/>
      </c>
      <c r="AE200" s="643"/>
      <c r="AF200" s="644"/>
      <c r="AG200" s="644"/>
      <c r="AH200" s="644"/>
      <c r="AI200" s="644"/>
      <c r="AJ200" s="644"/>
      <c r="AK200" s="574"/>
      <c r="AL200" s="575"/>
    </row>
    <row r="201" spans="5:38" x14ac:dyDescent="0.3">
      <c r="E201" s="293" t="s">
        <v>343</v>
      </c>
      <c r="F201" s="604" t="s">
        <v>1170</v>
      </c>
      <c r="G201" s="294">
        <v>2998</v>
      </c>
      <c r="H201" s="295" t="s">
        <v>58</v>
      </c>
      <c r="I201" s="294">
        <v>135400000</v>
      </c>
      <c r="P201" s="295" t="s">
        <v>1151</v>
      </c>
      <c r="R201" s="500"/>
      <c r="S201" s="639" t="s">
        <v>1200</v>
      </c>
      <c r="T201" s="640"/>
      <c r="U201" s="640"/>
      <c r="V201" s="640"/>
      <c r="W201" s="640"/>
      <c r="X201" s="640"/>
      <c r="Y201" s="553"/>
      <c r="Z201" s="527" t="str">
        <f>IFERROR(INDEX(잔가map!$C$14:$AR$18,MATCH(차량DB!$Z$5,잔가map!$B$14:$B$18,0),MATCH(차량DB!Y201,잔가map!$C$13:$AR$13,0)),"")</f>
        <v/>
      </c>
      <c r="AA201" s="527" t="str">
        <f>IFERROR(INDEX(잔가map!$C$14:$AR$18,MATCH(차량DB!$AA$5,잔가map!$B$14:$B$18,0),MATCH(차량DB!Y201,잔가map!$C$13:$AR$13,0)),"")</f>
        <v/>
      </c>
      <c r="AB201" s="527" t="str">
        <f>IFERROR(INDEX(잔가map!$C$14:$AR$18,MATCH(차량DB!$AB$5,잔가map!$B$14:$B$18,0),MATCH(차량DB!Y201,잔가map!$C$13:$AR$13,0)),"")</f>
        <v/>
      </c>
      <c r="AC201" s="527" t="str">
        <f>IFERROR(INDEX(잔가map!$C$14:$AR$18,MATCH(차량DB!$AC$5,잔가map!$B$14:$B$18,0),MATCH(차량DB!Y201,잔가map!$C$13:$AR$13,0)),"")</f>
        <v/>
      </c>
      <c r="AD201" s="527" t="str">
        <f>IFERROR(INDEX(잔가map!$C$14:$AR$18,MATCH(차량DB!$AD$5,잔가map!$B$14:$B$18,0),MATCH(차량DB!Y201,잔가map!$C$13:$AR$13,0)),"")</f>
        <v/>
      </c>
      <c r="AE201" s="643"/>
      <c r="AF201" s="644"/>
      <c r="AG201" s="644"/>
      <c r="AH201" s="644"/>
      <c r="AI201" s="644"/>
      <c r="AJ201" s="644"/>
      <c r="AK201" s="574"/>
      <c r="AL201" s="575"/>
    </row>
    <row r="202" spans="5:38" x14ac:dyDescent="0.3">
      <c r="E202" s="293" t="s">
        <v>343</v>
      </c>
      <c r="F202" s="605" t="s">
        <v>1171</v>
      </c>
      <c r="G202" s="294">
        <v>4395</v>
      </c>
      <c r="H202" s="295" t="s">
        <v>58</v>
      </c>
      <c r="I202" s="294">
        <v>158000000</v>
      </c>
      <c r="P202" s="295" t="s">
        <v>576</v>
      </c>
      <c r="R202" s="500">
        <v>0</v>
      </c>
      <c r="S202" s="639" t="s">
        <v>1282</v>
      </c>
      <c r="T202" s="640"/>
      <c r="U202" s="640"/>
      <c r="V202" s="640"/>
      <c r="W202" s="640"/>
      <c r="X202" s="640"/>
      <c r="Y202" s="553" t="s">
        <v>365</v>
      </c>
      <c r="Z202" s="527">
        <f>IFERROR(INDEX(잔가map!$C$14:$AR$18,MATCH(차량DB!$Z$5,잔가map!$B$14:$B$18,0),MATCH(차량DB!Y202,잔가map!$C$13:$AR$13,0)),"")</f>
        <v>0.7</v>
      </c>
      <c r="AA202" s="527">
        <f>IFERROR(INDEX(잔가map!$C$14:$AR$18,MATCH(차량DB!$AA$5,잔가map!$B$14:$B$18,0),MATCH(차량DB!Y202,잔가map!$C$13:$AR$13,0)),"")</f>
        <v>0.62</v>
      </c>
      <c r="AB202" s="527">
        <f>IFERROR(INDEX(잔가map!$C$14:$AR$18,MATCH(차량DB!$AB$5,잔가map!$B$14:$B$18,0),MATCH(차량DB!Y202,잔가map!$C$13:$AR$13,0)),"")</f>
        <v>0.52999999999999992</v>
      </c>
      <c r="AC202" s="527">
        <f>IFERROR(INDEX(잔가map!$C$14:$AR$18,MATCH(차량DB!$AC$5,잔가map!$B$14:$B$18,0),MATCH(차량DB!Y202,잔가map!$C$13:$AR$13,0)),"")</f>
        <v>0.45</v>
      </c>
      <c r="AD202" s="527">
        <f>IFERROR(INDEX(잔가map!$C$14:$AR$18,MATCH(차량DB!$AD$5,잔가map!$B$14:$B$18,0),MATCH(차량DB!Y202,잔가map!$C$13:$AR$13,0)),"")</f>
        <v>0.39</v>
      </c>
      <c r="AE202" s="643"/>
      <c r="AF202" s="644"/>
      <c r="AG202" s="644"/>
      <c r="AH202" s="644"/>
      <c r="AI202" s="644"/>
      <c r="AJ202" s="644"/>
      <c r="AK202" s="547"/>
      <c r="AL202" s="575"/>
    </row>
    <row r="203" spans="5:38" x14ac:dyDescent="0.3">
      <c r="E203" s="293" t="s">
        <v>343</v>
      </c>
      <c r="F203" s="605" t="s">
        <v>831</v>
      </c>
      <c r="G203" s="294">
        <v>4395</v>
      </c>
      <c r="H203" s="295" t="s">
        <v>58</v>
      </c>
      <c r="I203" s="294">
        <v>174600000</v>
      </c>
      <c r="P203" s="295" t="s">
        <v>576</v>
      </c>
      <c r="R203" s="500">
        <v>0</v>
      </c>
      <c r="S203" s="639" t="s">
        <v>1287</v>
      </c>
      <c r="T203" s="640"/>
      <c r="U203" s="640"/>
      <c r="V203" s="640"/>
      <c r="W203" s="640"/>
      <c r="X203" s="640"/>
      <c r="Y203" s="553" t="s">
        <v>360</v>
      </c>
      <c r="Z203" s="527">
        <f>IFERROR(INDEX(잔가map!$C$14:$AR$18,MATCH(차량DB!$Z$5,잔가map!$B$14:$B$18,0),MATCH(차량DB!Y203,잔가map!$C$13:$AR$13,0)),"")</f>
        <v>0.69</v>
      </c>
      <c r="AA203" s="527">
        <f>IFERROR(INDEX(잔가map!$C$14:$AR$18,MATCH(차량DB!$AA$5,잔가map!$B$14:$B$18,0),MATCH(차량DB!Y203,잔가map!$C$13:$AR$13,0)),"")</f>
        <v>0.61</v>
      </c>
      <c r="AB203" s="527">
        <f>IFERROR(INDEX(잔가map!$C$14:$AR$18,MATCH(차량DB!$AB$5,잔가map!$B$14:$B$18,0),MATCH(차량DB!Y203,잔가map!$C$13:$AR$13,0)),"")</f>
        <v>0.51999999999999991</v>
      </c>
      <c r="AC203" s="527">
        <f>IFERROR(INDEX(잔가map!$C$14:$AR$18,MATCH(차량DB!$AC$5,잔가map!$B$14:$B$18,0),MATCH(차량DB!Y203,잔가map!$C$13:$AR$13,0)),"")</f>
        <v>0.44</v>
      </c>
      <c r="AD203" s="527">
        <f>IFERROR(INDEX(잔가map!$C$14:$AR$18,MATCH(차량DB!$AD$5,잔가map!$B$14:$B$18,0),MATCH(차량DB!Y203,잔가map!$C$13:$AR$13,0)),"")</f>
        <v>0.38</v>
      </c>
      <c r="AE203" s="643"/>
      <c r="AF203" s="644"/>
      <c r="AG203" s="644"/>
      <c r="AH203" s="644"/>
      <c r="AI203" s="644"/>
      <c r="AJ203" s="644"/>
      <c r="AK203" s="547"/>
      <c r="AL203" s="575"/>
    </row>
    <row r="204" spans="5:38" x14ac:dyDescent="0.3">
      <c r="E204" s="293" t="s">
        <v>343</v>
      </c>
      <c r="F204" s="605" t="s">
        <v>477</v>
      </c>
      <c r="G204" s="294">
        <v>2993</v>
      </c>
      <c r="H204" s="295" t="s">
        <v>58</v>
      </c>
      <c r="I204" s="294">
        <v>123100000</v>
      </c>
      <c r="P204" s="295" t="s">
        <v>576</v>
      </c>
      <c r="R204" s="500">
        <v>0</v>
      </c>
      <c r="S204" s="639" t="s">
        <v>1205</v>
      </c>
      <c r="T204" s="640"/>
      <c r="U204" s="640"/>
      <c r="V204" s="640"/>
      <c r="W204" s="640"/>
      <c r="X204" s="640"/>
      <c r="Y204" s="553"/>
      <c r="Z204" s="527" t="str">
        <f>IFERROR(INDEX(잔가map!$C$14:$AR$18,MATCH(차량DB!$Z$5,잔가map!$B$14:$B$18,0),MATCH(차량DB!Y204,잔가map!$C$13:$AR$13,0)),"")</f>
        <v/>
      </c>
      <c r="AA204" s="527" t="str">
        <f>IFERROR(INDEX(잔가map!$C$14:$AR$18,MATCH(차량DB!$AA$5,잔가map!$B$14:$B$18,0),MATCH(차량DB!Y204,잔가map!$C$13:$AR$13,0)),"")</f>
        <v/>
      </c>
      <c r="AB204" s="527" t="str">
        <f>IFERROR(INDEX(잔가map!$C$14:$AR$18,MATCH(차량DB!$AB$5,잔가map!$B$14:$B$18,0),MATCH(차량DB!Y204,잔가map!$C$13:$AR$13,0)),"")</f>
        <v/>
      </c>
      <c r="AC204" s="527" t="str">
        <f>IFERROR(INDEX(잔가map!$C$14:$AR$18,MATCH(차량DB!$AC$5,잔가map!$B$14:$B$18,0),MATCH(차량DB!Y204,잔가map!$C$13:$AR$13,0)),"")</f>
        <v/>
      </c>
      <c r="AD204" s="527" t="str">
        <f>IFERROR(INDEX(잔가map!$C$14:$AR$18,MATCH(차량DB!$AD$5,잔가map!$B$14:$B$18,0),MATCH(차량DB!Y204,잔가map!$C$13:$AR$13,0)),"")</f>
        <v/>
      </c>
      <c r="AE204" s="643"/>
      <c r="AF204" s="644"/>
      <c r="AG204" s="644"/>
      <c r="AH204" s="644"/>
      <c r="AI204" s="644"/>
      <c r="AJ204" s="644"/>
      <c r="AK204" s="547"/>
      <c r="AL204" s="576"/>
    </row>
    <row r="205" spans="5:38" x14ac:dyDescent="0.3">
      <c r="E205" s="293" t="s">
        <v>343</v>
      </c>
      <c r="F205" s="605" t="s">
        <v>478</v>
      </c>
      <c r="G205" s="294">
        <v>2998</v>
      </c>
      <c r="H205" s="295" t="s">
        <v>58</v>
      </c>
      <c r="I205" s="294">
        <v>127600000</v>
      </c>
      <c r="P205" s="295" t="s">
        <v>576</v>
      </c>
      <c r="R205" s="500">
        <v>0</v>
      </c>
      <c r="S205" s="639" t="s">
        <v>1200</v>
      </c>
      <c r="T205" s="640"/>
      <c r="U205" s="640"/>
      <c r="V205" s="640"/>
      <c r="W205" s="640"/>
      <c r="X205" s="640"/>
      <c r="Y205" s="553"/>
      <c r="Z205" s="527" t="str">
        <f>IFERROR(INDEX(잔가map!$C$14:$AR$18,MATCH(차량DB!$Z$5,잔가map!$B$14:$B$18,0),MATCH(차량DB!Y205,잔가map!$C$13:$AR$13,0)),"")</f>
        <v/>
      </c>
      <c r="AA205" s="527" t="str">
        <f>IFERROR(INDEX(잔가map!$C$14:$AR$18,MATCH(차량DB!$AA$5,잔가map!$B$14:$B$18,0),MATCH(차량DB!Y205,잔가map!$C$13:$AR$13,0)),"")</f>
        <v/>
      </c>
      <c r="AB205" s="527" t="str">
        <f>IFERROR(INDEX(잔가map!$C$14:$AR$18,MATCH(차량DB!$AB$5,잔가map!$B$14:$B$18,0),MATCH(차량DB!Y205,잔가map!$C$13:$AR$13,0)),"")</f>
        <v/>
      </c>
      <c r="AC205" s="527" t="str">
        <f>IFERROR(INDEX(잔가map!$C$14:$AR$18,MATCH(차량DB!$AC$5,잔가map!$B$14:$B$18,0),MATCH(차량DB!Y205,잔가map!$C$13:$AR$13,0)),"")</f>
        <v/>
      </c>
      <c r="AD205" s="527" t="str">
        <f>IFERROR(INDEX(잔가map!$C$14:$AR$18,MATCH(차량DB!$AD$5,잔가map!$B$14:$B$18,0),MATCH(차량DB!Y205,잔가map!$C$13:$AR$13,0)),"")</f>
        <v/>
      </c>
      <c r="AE205" s="643"/>
      <c r="AF205" s="644"/>
      <c r="AG205" s="644"/>
      <c r="AH205" s="644"/>
      <c r="AI205" s="644"/>
      <c r="AJ205" s="644"/>
      <c r="AK205" s="574"/>
      <c r="AL205" s="576"/>
    </row>
    <row r="206" spans="5:38" x14ac:dyDescent="0.3">
      <c r="E206" s="293" t="s">
        <v>343</v>
      </c>
      <c r="F206" s="604" t="s">
        <v>1172</v>
      </c>
      <c r="G206" s="294">
        <v>4395</v>
      </c>
      <c r="H206" s="295" t="s">
        <v>58</v>
      </c>
      <c r="I206" s="294">
        <v>156000000</v>
      </c>
      <c r="P206" s="295" t="s">
        <v>576</v>
      </c>
      <c r="R206" s="500">
        <v>0</v>
      </c>
      <c r="S206" s="639" t="s">
        <v>1291</v>
      </c>
      <c r="T206" s="640"/>
      <c r="U206" s="640"/>
      <c r="V206" s="640"/>
      <c r="W206" s="640"/>
      <c r="X206" s="640"/>
      <c r="Y206" s="553" t="s">
        <v>365</v>
      </c>
      <c r="Z206" s="527">
        <f>IFERROR(INDEX(잔가map!$C$14:$AR$18,MATCH(차량DB!$Z$5,잔가map!$B$14:$B$18,0),MATCH(차량DB!Y206,잔가map!$C$13:$AR$13,0)),"")</f>
        <v>0.7</v>
      </c>
      <c r="AA206" s="527">
        <f>IFERROR(INDEX(잔가map!$C$14:$AR$18,MATCH(차량DB!$AA$5,잔가map!$B$14:$B$18,0),MATCH(차량DB!Y206,잔가map!$C$13:$AR$13,0)),"")</f>
        <v>0.62</v>
      </c>
      <c r="AB206" s="527">
        <f>IFERROR(INDEX(잔가map!$C$14:$AR$18,MATCH(차량DB!$AB$5,잔가map!$B$14:$B$18,0),MATCH(차량DB!Y206,잔가map!$C$13:$AR$13,0)),"")</f>
        <v>0.52999999999999992</v>
      </c>
      <c r="AC206" s="527">
        <f>IFERROR(INDEX(잔가map!$C$14:$AR$18,MATCH(차량DB!$AC$5,잔가map!$B$14:$B$18,0),MATCH(차량DB!Y206,잔가map!$C$13:$AR$13,0)),"")</f>
        <v>0.45</v>
      </c>
      <c r="AD206" s="527">
        <f>IFERROR(INDEX(잔가map!$C$14:$AR$18,MATCH(차량DB!$AD$5,잔가map!$B$14:$B$18,0),MATCH(차량DB!Y206,잔가map!$C$13:$AR$13,0)),"")</f>
        <v>0.39</v>
      </c>
      <c r="AE206" s="643"/>
      <c r="AF206" s="644"/>
      <c r="AG206" s="644"/>
      <c r="AH206" s="644"/>
      <c r="AI206" s="644"/>
      <c r="AJ206" s="644"/>
      <c r="AK206" s="547"/>
      <c r="AL206" s="576"/>
    </row>
    <row r="207" spans="5:38" x14ac:dyDescent="0.3">
      <c r="E207" s="293" t="s">
        <v>343</v>
      </c>
      <c r="F207" s="604" t="s">
        <v>832</v>
      </c>
      <c r="G207" s="294">
        <v>4395</v>
      </c>
      <c r="H207" s="295" t="s">
        <v>58</v>
      </c>
      <c r="I207" s="294">
        <v>181500000</v>
      </c>
      <c r="P207" s="295" t="s">
        <v>576</v>
      </c>
      <c r="R207" s="500">
        <v>0</v>
      </c>
      <c r="S207" s="639" t="s">
        <v>1295</v>
      </c>
      <c r="T207" s="640"/>
      <c r="U207" s="640"/>
      <c r="V207" s="640"/>
      <c r="W207" s="640"/>
      <c r="X207" s="640"/>
      <c r="Y207" s="553"/>
      <c r="Z207" s="527" t="str">
        <f>IFERROR(INDEX(잔가map!$C$14:$AR$18,MATCH(차량DB!$Z$5,잔가map!$B$14:$B$18,0),MATCH(차량DB!Y207,잔가map!$C$13:$AR$13,0)),"")</f>
        <v/>
      </c>
      <c r="AA207" s="527" t="str">
        <f>IFERROR(INDEX(잔가map!$C$14:$AR$18,MATCH(차량DB!$AA$5,잔가map!$B$14:$B$18,0),MATCH(차량DB!Y207,잔가map!$C$13:$AR$13,0)),"")</f>
        <v/>
      </c>
      <c r="AB207" s="527" t="str">
        <f>IFERROR(INDEX(잔가map!$C$14:$AR$18,MATCH(차량DB!$AB$5,잔가map!$B$14:$B$18,0),MATCH(차량DB!Y207,잔가map!$C$13:$AR$13,0)),"")</f>
        <v/>
      </c>
      <c r="AC207" s="527" t="str">
        <f>IFERROR(INDEX(잔가map!$C$14:$AR$18,MATCH(차량DB!$AC$5,잔가map!$B$14:$B$18,0),MATCH(차량DB!Y207,잔가map!$C$13:$AR$13,0)),"")</f>
        <v/>
      </c>
      <c r="AD207" s="527" t="str">
        <f>IFERROR(INDEX(잔가map!$C$14:$AR$18,MATCH(차량DB!$AD$5,잔가map!$B$14:$B$18,0),MATCH(차량DB!Y207,잔가map!$C$13:$AR$13,0)),"")</f>
        <v/>
      </c>
      <c r="AE207" s="643"/>
      <c r="AF207" s="644"/>
      <c r="AG207" s="644"/>
      <c r="AH207" s="644"/>
      <c r="AI207" s="644"/>
      <c r="AJ207" s="644"/>
      <c r="AK207" s="547"/>
      <c r="AL207" s="576"/>
    </row>
    <row r="208" spans="5:38" x14ac:dyDescent="0.3">
      <c r="E208" s="293" t="s">
        <v>343</v>
      </c>
      <c r="F208" s="604" t="s">
        <v>479</v>
      </c>
      <c r="G208" s="294">
        <v>2993</v>
      </c>
      <c r="H208" s="295" t="s">
        <v>58</v>
      </c>
      <c r="I208" s="294">
        <v>152700000</v>
      </c>
      <c r="P208" s="295" t="s">
        <v>576</v>
      </c>
      <c r="R208" s="500">
        <v>0</v>
      </c>
      <c r="S208" s="639" t="s">
        <v>1209</v>
      </c>
      <c r="T208" s="640"/>
      <c r="U208" s="640"/>
      <c r="V208" s="640"/>
      <c r="W208" s="640"/>
      <c r="X208" s="640"/>
      <c r="Y208" s="553" t="s">
        <v>1332</v>
      </c>
      <c r="Z208" s="527">
        <f>IFERROR(INDEX(잔가map!$C$14:$AR$18,MATCH(차량DB!$Z$5,잔가map!$B$14:$B$18,0),MATCH(차량DB!Y208,잔가map!$C$13:$AR$13,0)),"")</f>
        <v>0.8</v>
      </c>
      <c r="AA208" s="527">
        <f>IFERROR(INDEX(잔가map!$C$14:$AR$18,MATCH(차량DB!$AA$5,잔가map!$B$14:$B$18,0),MATCH(차량DB!Y208,잔가map!$C$13:$AR$13,0)),"")</f>
        <v>0.72</v>
      </c>
      <c r="AB208" s="527">
        <f>IFERROR(INDEX(잔가map!$C$14:$AR$18,MATCH(차량DB!$AB$5,잔가map!$B$14:$B$18,0),MATCH(차량DB!Y208,잔가map!$C$13:$AR$13,0)),"")</f>
        <v>0.63</v>
      </c>
      <c r="AC208" s="527">
        <f>IFERROR(INDEX(잔가map!$C$14:$AR$18,MATCH(차량DB!$AC$5,잔가map!$B$14:$B$18,0),MATCH(차량DB!Y208,잔가map!$C$13:$AR$13,0)),"")</f>
        <v>0.55000000000000004</v>
      </c>
      <c r="AD208" s="527">
        <f>IFERROR(INDEX(잔가map!$C$14:$AR$18,MATCH(차량DB!$AD$5,잔가map!$B$14:$B$18,0),MATCH(차량DB!Y208,잔가map!$C$13:$AR$13,0)),"")</f>
        <v>0.49</v>
      </c>
      <c r="AE208" s="643"/>
      <c r="AF208" s="644"/>
      <c r="AG208" s="644"/>
      <c r="AH208" s="644"/>
      <c r="AI208" s="644"/>
      <c r="AJ208" s="644"/>
      <c r="AK208" s="547"/>
      <c r="AL208" s="575"/>
    </row>
    <row r="209" spans="5:38" x14ac:dyDescent="0.3">
      <c r="E209" s="293" t="s">
        <v>343</v>
      </c>
      <c r="F209" s="605" t="s">
        <v>480</v>
      </c>
      <c r="G209" s="294">
        <v>2993</v>
      </c>
      <c r="H209" s="295" t="s">
        <v>305</v>
      </c>
      <c r="I209" s="294">
        <v>148200000</v>
      </c>
      <c r="P209" s="295" t="s">
        <v>576</v>
      </c>
      <c r="R209" s="500">
        <v>0</v>
      </c>
      <c r="S209" s="639" t="s">
        <v>1209</v>
      </c>
      <c r="T209" s="640"/>
      <c r="U209" s="640"/>
      <c r="V209" s="640"/>
      <c r="W209" s="640"/>
      <c r="X209" s="640"/>
      <c r="Y209" s="553" t="s">
        <v>1332</v>
      </c>
      <c r="Z209" s="527">
        <f>IFERROR(INDEX(잔가map!$C$14:$AR$18,MATCH(차량DB!$Z$5,잔가map!$B$14:$B$18,0),MATCH(차량DB!Y209,잔가map!$C$13:$AR$13,0)),"")</f>
        <v>0.8</v>
      </c>
      <c r="AA209" s="527">
        <f>IFERROR(INDEX(잔가map!$C$14:$AR$18,MATCH(차량DB!$AA$5,잔가map!$B$14:$B$18,0),MATCH(차량DB!Y209,잔가map!$C$13:$AR$13,0)),"")</f>
        <v>0.72</v>
      </c>
      <c r="AB209" s="527">
        <f>IFERROR(INDEX(잔가map!$C$14:$AR$18,MATCH(차량DB!$AB$5,잔가map!$B$14:$B$18,0),MATCH(차량DB!Y209,잔가map!$C$13:$AR$13,0)),"")</f>
        <v>0.63</v>
      </c>
      <c r="AC209" s="527">
        <f>IFERROR(INDEX(잔가map!$C$14:$AR$18,MATCH(차량DB!$AC$5,잔가map!$B$14:$B$18,0),MATCH(차량DB!Y209,잔가map!$C$13:$AR$13,0)),"")</f>
        <v>0.55000000000000004</v>
      </c>
      <c r="AD209" s="527">
        <f>IFERROR(INDEX(잔가map!$C$14:$AR$18,MATCH(차량DB!$AD$5,잔가map!$B$14:$B$18,0),MATCH(차량DB!Y209,잔가map!$C$13:$AR$13,0)),"")</f>
        <v>0.49</v>
      </c>
      <c r="AE209" s="643"/>
      <c r="AF209" s="644"/>
      <c r="AG209" s="644"/>
      <c r="AH209" s="644"/>
      <c r="AI209" s="644"/>
      <c r="AJ209" s="644"/>
      <c r="AK209" s="547"/>
      <c r="AL209" s="575"/>
    </row>
    <row r="210" spans="5:38" x14ac:dyDescent="0.3">
      <c r="E210" s="293" t="s">
        <v>343</v>
      </c>
      <c r="F210" s="605" t="s">
        <v>481</v>
      </c>
      <c r="G210" s="294">
        <v>2993</v>
      </c>
      <c r="H210" s="295" t="s">
        <v>58</v>
      </c>
      <c r="I210" s="294">
        <v>152700000</v>
      </c>
      <c r="P210" s="295" t="s">
        <v>576</v>
      </c>
      <c r="R210" s="500">
        <v>0</v>
      </c>
      <c r="S210" s="639" t="s">
        <v>1209</v>
      </c>
      <c r="T210" s="640"/>
      <c r="U210" s="640"/>
      <c r="V210" s="640"/>
      <c r="W210" s="640"/>
      <c r="X210" s="640"/>
      <c r="Y210" s="553" t="s">
        <v>1332</v>
      </c>
      <c r="Z210" s="527">
        <f>IFERROR(INDEX(잔가map!$C$14:$AR$18,MATCH(차량DB!$Z$5,잔가map!$B$14:$B$18,0),MATCH(차량DB!Y210,잔가map!$C$13:$AR$13,0)),"")</f>
        <v>0.8</v>
      </c>
      <c r="AA210" s="527">
        <f>IFERROR(INDEX(잔가map!$C$14:$AR$18,MATCH(차량DB!$AA$5,잔가map!$B$14:$B$18,0),MATCH(차량DB!Y210,잔가map!$C$13:$AR$13,0)),"")</f>
        <v>0.72</v>
      </c>
      <c r="AB210" s="527">
        <f>IFERROR(INDEX(잔가map!$C$14:$AR$18,MATCH(차량DB!$AB$5,잔가map!$B$14:$B$18,0),MATCH(차량DB!Y210,잔가map!$C$13:$AR$13,0)),"")</f>
        <v>0.63</v>
      </c>
      <c r="AC210" s="527">
        <f>IFERROR(INDEX(잔가map!$C$14:$AR$18,MATCH(차량DB!$AC$5,잔가map!$B$14:$B$18,0),MATCH(차량DB!Y210,잔가map!$C$13:$AR$13,0)),"")</f>
        <v>0.55000000000000004</v>
      </c>
      <c r="AD210" s="527">
        <f>IFERROR(INDEX(잔가map!$C$14:$AR$18,MATCH(차량DB!$AD$5,잔가map!$B$14:$B$18,0),MATCH(차량DB!Y210,잔가map!$C$13:$AR$13,0)),"")</f>
        <v>0.49</v>
      </c>
      <c r="AE210" s="643"/>
      <c r="AF210" s="644"/>
      <c r="AG210" s="644"/>
      <c r="AH210" s="644"/>
      <c r="AI210" s="644"/>
      <c r="AJ210" s="644"/>
      <c r="AK210" s="547"/>
      <c r="AL210" s="575"/>
    </row>
    <row r="211" spans="5:38" x14ac:dyDescent="0.3">
      <c r="E211" s="293" t="s">
        <v>343</v>
      </c>
      <c r="F211" s="605" t="s">
        <v>833</v>
      </c>
      <c r="G211" s="294">
        <v>2993</v>
      </c>
      <c r="H211" s="295" t="s">
        <v>305</v>
      </c>
      <c r="I211" s="294">
        <v>150700000</v>
      </c>
      <c r="P211" s="295" t="s">
        <v>576</v>
      </c>
      <c r="R211" s="500"/>
      <c r="S211" s="639" t="s">
        <v>1209</v>
      </c>
      <c r="T211" s="640"/>
      <c r="U211" s="640"/>
      <c r="V211" s="640"/>
      <c r="W211" s="640"/>
      <c r="X211" s="640"/>
      <c r="Y211" s="553" t="s">
        <v>1332</v>
      </c>
      <c r="Z211" s="527">
        <f>IFERROR(INDEX(잔가map!$C$14:$AR$18,MATCH(차량DB!$Z$5,잔가map!$B$14:$B$18,0),MATCH(차량DB!Y211,잔가map!$C$13:$AR$13,0)),"")</f>
        <v>0.8</v>
      </c>
      <c r="AA211" s="527">
        <f>IFERROR(INDEX(잔가map!$C$14:$AR$18,MATCH(차량DB!$AA$5,잔가map!$B$14:$B$18,0),MATCH(차량DB!Y211,잔가map!$C$13:$AR$13,0)),"")</f>
        <v>0.72</v>
      </c>
      <c r="AB211" s="527">
        <f>IFERROR(INDEX(잔가map!$C$14:$AR$18,MATCH(차량DB!$AB$5,잔가map!$B$14:$B$18,0),MATCH(차량DB!Y211,잔가map!$C$13:$AR$13,0)),"")</f>
        <v>0.63</v>
      </c>
      <c r="AC211" s="527">
        <f>IFERROR(INDEX(잔가map!$C$14:$AR$18,MATCH(차량DB!$AC$5,잔가map!$B$14:$B$18,0),MATCH(차량DB!Y211,잔가map!$C$13:$AR$13,0)),"")</f>
        <v>0.55000000000000004</v>
      </c>
      <c r="AD211" s="527">
        <f>IFERROR(INDEX(잔가map!$C$14:$AR$18,MATCH(차량DB!$AD$5,잔가map!$B$14:$B$18,0),MATCH(차량DB!Y211,잔가map!$C$13:$AR$13,0)),"")</f>
        <v>0.49</v>
      </c>
      <c r="AE211" s="643"/>
      <c r="AF211" s="644"/>
      <c r="AG211" s="644"/>
      <c r="AH211" s="644"/>
      <c r="AI211" s="644"/>
      <c r="AJ211" s="644"/>
      <c r="AK211" s="547"/>
      <c r="AL211" s="575"/>
    </row>
    <row r="212" spans="5:38" x14ac:dyDescent="0.3">
      <c r="E212" s="293" t="s">
        <v>343</v>
      </c>
      <c r="F212" s="604" t="s">
        <v>482</v>
      </c>
      <c r="G212" s="294">
        <v>2993</v>
      </c>
      <c r="H212" s="295" t="s">
        <v>58</v>
      </c>
      <c r="I212" s="294">
        <v>149200000</v>
      </c>
      <c r="P212" s="295" t="s">
        <v>576</v>
      </c>
      <c r="R212" s="500">
        <v>0</v>
      </c>
      <c r="S212" s="639" t="s">
        <v>1212</v>
      </c>
      <c r="T212" s="640"/>
      <c r="U212" s="640"/>
      <c r="V212" s="640"/>
      <c r="W212" s="640"/>
      <c r="X212" s="640"/>
      <c r="Y212" s="553" t="s">
        <v>1332</v>
      </c>
      <c r="Z212" s="527">
        <f>IFERROR(INDEX(잔가map!$C$14:$AR$18,MATCH(차량DB!$Z$5,잔가map!$B$14:$B$18,0),MATCH(차량DB!Y212,잔가map!$C$13:$AR$13,0)),"")</f>
        <v>0.8</v>
      </c>
      <c r="AA212" s="527">
        <f>IFERROR(INDEX(잔가map!$C$14:$AR$18,MATCH(차량DB!$AA$5,잔가map!$B$14:$B$18,0),MATCH(차량DB!Y212,잔가map!$C$13:$AR$13,0)),"")</f>
        <v>0.72</v>
      </c>
      <c r="AB212" s="527">
        <f>IFERROR(INDEX(잔가map!$C$14:$AR$18,MATCH(차량DB!$AB$5,잔가map!$B$14:$B$18,0),MATCH(차량DB!Y212,잔가map!$C$13:$AR$13,0)),"")</f>
        <v>0.63</v>
      </c>
      <c r="AC212" s="527">
        <f>IFERROR(INDEX(잔가map!$C$14:$AR$18,MATCH(차량DB!$AC$5,잔가map!$B$14:$B$18,0),MATCH(차량DB!Y212,잔가map!$C$13:$AR$13,0)),"")</f>
        <v>0.55000000000000004</v>
      </c>
      <c r="AD212" s="527">
        <f>IFERROR(INDEX(잔가map!$C$14:$AR$18,MATCH(차량DB!$AD$5,잔가map!$B$14:$B$18,0),MATCH(차량DB!Y212,잔가map!$C$13:$AR$13,0)),"")</f>
        <v>0.49</v>
      </c>
      <c r="AE212" s="643"/>
      <c r="AF212" s="644"/>
      <c r="AG212" s="644"/>
      <c r="AH212" s="644"/>
      <c r="AI212" s="644"/>
      <c r="AJ212" s="644"/>
      <c r="AK212" s="574"/>
      <c r="AL212" s="575"/>
    </row>
    <row r="213" spans="5:38" x14ac:dyDescent="0.3">
      <c r="E213" s="293" t="s">
        <v>343</v>
      </c>
      <c r="F213" s="605" t="s">
        <v>483</v>
      </c>
      <c r="G213" s="294">
        <v>2993</v>
      </c>
      <c r="H213" s="295" t="s">
        <v>305</v>
      </c>
      <c r="I213" s="294">
        <v>147200000</v>
      </c>
      <c r="P213" s="295" t="s">
        <v>576</v>
      </c>
      <c r="R213" s="500">
        <v>0</v>
      </c>
      <c r="S213" s="639" t="s">
        <v>1209</v>
      </c>
      <c r="T213" s="640"/>
      <c r="U213" s="640"/>
      <c r="V213" s="640"/>
      <c r="W213" s="640"/>
      <c r="X213" s="640"/>
      <c r="Y213" s="553" t="s">
        <v>1332</v>
      </c>
      <c r="Z213" s="527">
        <f>IFERROR(INDEX(잔가map!$C$14:$AR$18,MATCH(차량DB!$Z$5,잔가map!$B$14:$B$18,0),MATCH(차량DB!Y213,잔가map!$C$13:$AR$13,0)),"")</f>
        <v>0.8</v>
      </c>
      <c r="AA213" s="527">
        <f>IFERROR(INDEX(잔가map!$C$14:$AR$18,MATCH(차량DB!$AA$5,잔가map!$B$14:$B$18,0),MATCH(차량DB!Y213,잔가map!$C$13:$AR$13,0)),"")</f>
        <v>0.72</v>
      </c>
      <c r="AB213" s="527">
        <f>IFERROR(INDEX(잔가map!$C$14:$AR$18,MATCH(차량DB!$AB$5,잔가map!$B$14:$B$18,0),MATCH(차량DB!Y213,잔가map!$C$13:$AR$13,0)),"")</f>
        <v>0.63</v>
      </c>
      <c r="AC213" s="527">
        <f>IFERROR(INDEX(잔가map!$C$14:$AR$18,MATCH(차량DB!$AC$5,잔가map!$B$14:$B$18,0),MATCH(차량DB!Y213,잔가map!$C$13:$AR$13,0)),"")</f>
        <v>0.55000000000000004</v>
      </c>
      <c r="AD213" s="527">
        <f>IFERROR(INDEX(잔가map!$C$14:$AR$18,MATCH(차량DB!$AD$5,잔가map!$B$14:$B$18,0),MATCH(차량DB!Y213,잔가map!$C$13:$AR$13,0)),"")</f>
        <v>0.49</v>
      </c>
      <c r="AE213" s="643"/>
      <c r="AF213" s="644"/>
      <c r="AG213" s="644"/>
      <c r="AH213" s="644"/>
      <c r="AI213" s="644"/>
      <c r="AJ213" s="644"/>
      <c r="AK213" s="574"/>
      <c r="AL213" s="575"/>
    </row>
    <row r="214" spans="5:38" x14ac:dyDescent="0.3">
      <c r="E214" s="293" t="s">
        <v>343</v>
      </c>
      <c r="F214" s="604" t="s">
        <v>1173</v>
      </c>
      <c r="G214" s="294">
        <v>2993</v>
      </c>
      <c r="H214" s="295" t="s">
        <v>58</v>
      </c>
      <c r="I214" s="294">
        <v>151700000</v>
      </c>
      <c r="P214" s="295" t="s">
        <v>576</v>
      </c>
      <c r="R214" s="500">
        <v>0</v>
      </c>
      <c r="S214" s="639" t="s">
        <v>1209</v>
      </c>
      <c r="T214" s="640"/>
      <c r="U214" s="640"/>
      <c r="V214" s="640"/>
      <c r="W214" s="640"/>
      <c r="X214" s="640"/>
      <c r="Y214" s="553" t="s">
        <v>1332</v>
      </c>
      <c r="Z214" s="527">
        <f>IFERROR(INDEX(잔가map!$C$14:$AR$18,MATCH(차량DB!$Z$5,잔가map!$B$14:$B$18,0),MATCH(차량DB!Y214,잔가map!$C$13:$AR$13,0)),"")</f>
        <v>0.8</v>
      </c>
      <c r="AA214" s="527">
        <f>IFERROR(INDEX(잔가map!$C$14:$AR$18,MATCH(차량DB!$AA$5,잔가map!$B$14:$B$18,0),MATCH(차량DB!Y214,잔가map!$C$13:$AR$13,0)),"")</f>
        <v>0.72</v>
      </c>
      <c r="AB214" s="527">
        <f>IFERROR(INDEX(잔가map!$C$14:$AR$18,MATCH(차량DB!$AB$5,잔가map!$B$14:$B$18,0),MATCH(차량DB!Y214,잔가map!$C$13:$AR$13,0)),"")</f>
        <v>0.63</v>
      </c>
      <c r="AC214" s="527">
        <f>IFERROR(INDEX(잔가map!$C$14:$AR$18,MATCH(차량DB!$AC$5,잔가map!$B$14:$B$18,0),MATCH(차량DB!Y214,잔가map!$C$13:$AR$13,0)),"")</f>
        <v>0.55000000000000004</v>
      </c>
      <c r="AD214" s="527">
        <f>IFERROR(INDEX(잔가map!$C$14:$AR$18,MATCH(차량DB!$AD$5,잔가map!$B$14:$B$18,0),MATCH(차량DB!Y214,잔가map!$C$13:$AR$13,0)),"")</f>
        <v>0.49</v>
      </c>
      <c r="AE214" s="643"/>
      <c r="AF214" s="644"/>
      <c r="AG214" s="644"/>
      <c r="AH214" s="644"/>
      <c r="AI214" s="644"/>
      <c r="AJ214" s="644"/>
      <c r="AK214" s="574"/>
      <c r="AL214" s="575"/>
    </row>
    <row r="215" spans="5:38" x14ac:dyDescent="0.3">
      <c r="E215" s="293" t="s">
        <v>343</v>
      </c>
      <c r="F215" s="604" t="s">
        <v>834</v>
      </c>
      <c r="G215" s="294">
        <v>2993</v>
      </c>
      <c r="H215" s="295" t="s">
        <v>305</v>
      </c>
      <c r="I215" s="294">
        <v>149700000</v>
      </c>
      <c r="P215" s="295" t="s">
        <v>576</v>
      </c>
      <c r="R215" s="500"/>
      <c r="S215" s="639" t="s">
        <v>1209</v>
      </c>
      <c r="T215" s="640"/>
      <c r="U215" s="640"/>
      <c r="V215" s="640"/>
      <c r="W215" s="640"/>
      <c r="X215" s="640"/>
      <c r="Y215" s="553" t="s">
        <v>1332</v>
      </c>
      <c r="Z215" s="527">
        <f>IFERROR(INDEX(잔가map!$C$14:$AR$18,MATCH(차량DB!$Z$5,잔가map!$B$14:$B$18,0),MATCH(차량DB!Y215,잔가map!$C$13:$AR$13,0)),"")</f>
        <v>0.8</v>
      </c>
      <c r="AA215" s="527">
        <f>IFERROR(INDEX(잔가map!$C$14:$AR$18,MATCH(차량DB!$AA$5,잔가map!$B$14:$B$18,0),MATCH(차량DB!Y215,잔가map!$C$13:$AR$13,0)),"")</f>
        <v>0.72</v>
      </c>
      <c r="AB215" s="527">
        <f>IFERROR(INDEX(잔가map!$C$14:$AR$18,MATCH(차량DB!$AB$5,잔가map!$B$14:$B$18,0),MATCH(차량DB!Y215,잔가map!$C$13:$AR$13,0)),"")</f>
        <v>0.63</v>
      </c>
      <c r="AC215" s="527">
        <f>IFERROR(INDEX(잔가map!$C$14:$AR$18,MATCH(차량DB!$AC$5,잔가map!$B$14:$B$18,0),MATCH(차량DB!Y215,잔가map!$C$13:$AR$13,0)),"")</f>
        <v>0.55000000000000004</v>
      </c>
      <c r="AD215" s="527">
        <f>IFERROR(INDEX(잔가map!$C$14:$AR$18,MATCH(차량DB!$AD$5,잔가map!$B$14:$B$18,0),MATCH(차량DB!Y215,잔가map!$C$13:$AR$13,0)),"")</f>
        <v>0.49</v>
      </c>
      <c r="AE215" s="643"/>
      <c r="AF215" s="644"/>
      <c r="AG215" s="644"/>
      <c r="AH215" s="644"/>
      <c r="AI215" s="644"/>
      <c r="AJ215" s="644"/>
      <c r="AK215" s="574"/>
      <c r="AL215" s="575"/>
    </row>
    <row r="216" spans="5:38" x14ac:dyDescent="0.3">
      <c r="E216" s="293" t="s">
        <v>343</v>
      </c>
      <c r="F216" s="605" t="s">
        <v>1174</v>
      </c>
      <c r="G216" s="294">
        <v>4395</v>
      </c>
      <c r="H216" s="295" t="s">
        <v>58</v>
      </c>
      <c r="I216" s="294">
        <v>181900000</v>
      </c>
      <c r="P216" s="295" t="s">
        <v>576</v>
      </c>
      <c r="R216" s="500">
        <v>0</v>
      </c>
      <c r="S216" s="639" t="s">
        <v>1283</v>
      </c>
      <c r="T216" s="640"/>
      <c r="U216" s="640"/>
      <c r="V216" s="640"/>
      <c r="W216" s="640"/>
      <c r="X216" s="640"/>
      <c r="Y216" s="553"/>
      <c r="Z216" s="527" t="str">
        <f>IFERROR(INDEX(잔가map!$C$14:$AR$18,MATCH(차량DB!$Z$5,잔가map!$B$14:$B$18,0),MATCH(차량DB!Y216,잔가map!$C$13:$AR$13,0)),"")</f>
        <v/>
      </c>
      <c r="AA216" s="527" t="str">
        <f>IFERROR(INDEX(잔가map!$C$14:$AR$18,MATCH(차량DB!$AA$5,잔가map!$B$14:$B$18,0),MATCH(차량DB!Y216,잔가map!$C$13:$AR$13,0)),"")</f>
        <v/>
      </c>
      <c r="AB216" s="527" t="str">
        <f>IFERROR(INDEX(잔가map!$C$14:$AR$18,MATCH(차량DB!$AB$5,잔가map!$B$14:$B$18,0),MATCH(차량DB!Y216,잔가map!$C$13:$AR$13,0)),"")</f>
        <v/>
      </c>
      <c r="AC216" s="527" t="str">
        <f>IFERROR(INDEX(잔가map!$C$14:$AR$18,MATCH(차량DB!$AC$5,잔가map!$B$14:$B$18,0),MATCH(차량DB!Y216,잔가map!$C$13:$AR$13,0)),"")</f>
        <v/>
      </c>
      <c r="AD216" s="527" t="str">
        <f>IFERROR(INDEX(잔가map!$C$14:$AR$18,MATCH(차량DB!$AD$5,잔가map!$B$14:$B$18,0),MATCH(차량DB!Y216,잔가map!$C$13:$AR$13,0)),"")</f>
        <v/>
      </c>
      <c r="AE216" s="643"/>
      <c r="AF216" s="644"/>
      <c r="AG216" s="644"/>
      <c r="AH216" s="644"/>
      <c r="AI216" s="644"/>
      <c r="AJ216" s="644"/>
      <c r="AK216" s="547"/>
      <c r="AL216" s="575"/>
    </row>
    <row r="217" spans="5:38" x14ac:dyDescent="0.3">
      <c r="E217" s="293" t="s">
        <v>1400</v>
      </c>
      <c r="F217" s="605" t="s">
        <v>1175</v>
      </c>
      <c r="G217" s="294">
        <v>4395</v>
      </c>
      <c r="H217" s="295" t="s">
        <v>58</v>
      </c>
      <c r="I217" s="294">
        <v>223300000</v>
      </c>
      <c r="P217" s="295" t="s">
        <v>576</v>
      </c>
      <c r="R217" s="500"/>
      <c r="S217" s="639" t="s">
        <v>1293</v>
      </c>
      <c r="T217" s="640"/>
      <c r="U217" s="640"/>
      <c r="V217" s="640"/>
      <c r="W217" s="640"/>
      <c r="X217" s="640"/>
      <c r="Y217" s="553"/>
      <c r="Z217" s="527" t="str">
        <f>IFERROR(INDEX(잔가map!$C$14:$AR$18,MATCH(차량DB!$Z$5,잔가map!$B$14:$B$18,0),MATCH(차량DB!Y217,잔가map!$C$13:$AR$13,0)),"")</f>
        <v/>
      </c>
      <c r="AA217" s="527" t="str">
        <f>IFERROR(INDEX(잔가map!$C$14:$AR$18,MATCH(차량DB!$AA$5,잔가map!$B$14:$B$18,0),MATCH(차량DB!Y217,잔가map!$C$13:$AR$13,0)),"")</f>
        <v/>
      </c>
      <c r="AB217" s="527" t="str">
        <f>IFERROR(INDEX(잔가map!$C$14:$AR$18,MATCH(차량DB!$AB$5,잔가map!$B$14:$B$18,0),MATCH(차량DB!Y217,잔가map!$C$13:$AR$13,0)),"")</f>
        <v/>
      </c>
      <c r="AC217" s="527" t="str">
        <f>IFERROR(INDEX(잔가map!$C$14:$AR$18,MATCH(차량DB!$AC$5,잔가map!$B$14:$B$18,0),MATCH(차량DB!Y217,잔가map!$C$13:$AR$13,0)),"")</f>
        <v/>
      </c>
      <c r="AD217" s="527" t="str">
        <f>IFERROR(INDEX(잔가map!$C$14:$AR$18,MATCH(차량DB!$AD$5,잔가map!$B$14:$B$18,0),MATCH(차량DB!Y217,잔가map!$C$13:$AR$13,0)),"")</f>
        <v/>
      </c>
      <c r="AE217" s="643"/>
      <c r="AF217" s="644"/>
      <c r="AG217" s="644"/>
      <c r="AH217" s="644"/>
      <c r="AI217" s="644"/>
      <c r="AJ217" s="644"/>
      <c r="AK217" s="547"/>
      <c r="AL217" s="575"/>
    </row>
    <row r="218" spans="5:38" x14ac:dyDescent="0.3">
      <c r="E218" s="293" t="s">
        <v>1400</v>
      </c>
      <c r="F218" s="605" t="s">
        <v>835</v>
      </c>
      <c r="G218" s="294">
        <v>4395</v>
      </c>
      <c r="H218" s="295" t="s">
        <v>58</v>
      </c>
      <c r="I218" s="294">
        <v>223600000</v>
      </c>
      <c r="P218" s="295" t="s">
        <v>576</v>
      </c>
      <c r="R218" s="500"/>
      <c r="S218" s="639" t="s">
        <v>1293</v>
      </c>
      <c r="T218" s="640"/>
      <c r="U218" s="640"/>
      <c r="V218" s="640"/>
      <c r="W218" s="640"/>
      <c r="X218" s="640"/>
      <c r="Y218" s="553"/>
      <c r="Z218" s="527" t="str">
        <f>IFERROR(INDEX(잔가map!$C$14:$AR$18,MATCH(차량DB!$Z$5,잔가map!$B$14:$B$18,0),MATCH(차량DB!Y218,잔가map!$C$13:$AR$13,0)),"")</f>
        <v/>
      </c>
      <c r="AA218" s="527" t="str">
        <f>IFERROR(INDEX(잔가map!$C$14:$AR$18,MATCH(차량DB!$AA$5,잔가map!$B$14:$B$18,0),MATCH(차량DB!Y218,잔가map!$C$13:$AR$13,0)),"")</f>
        <v/>
      </c>
      <c r="AB218" s="527" t="str">
        <f>IFERROR(INDEX(잔가map!$C$14:$AR$18,MATCH(차량DB!$AB$5,잔가map!$B$14:$B$18,0),MATCH(차량DB!Y218,잔가map!$C$13:$AR$13,0)),"")</f>
        <v/>
      </c>
      <c r="AC218" s="527" t="str">
        <f>IFERROR(INDEX(잔가map!$C$14:$AR$18,MATCH(차량DB!$AC$5,잔가map!$B$14:$B$18,0),MATCH(차량DB!Y218,잔가map!$C$13:$AR$13,0)),"")</f>
        <v/>
      </c>
      <c r="AD218" s="527" t="str">
        <f>IFERROR(INDEX(잔가map!$C$14:$AR$18,MATCH(차량DB!$AD$5,잔가map!$B$14:$B$18,0),MATCH(차량DB!Y218,잔가map!$C$13:$AR$13,0)),"")</f>
        <v/>
      </c>
      <c r="AE218" s="643"/>
      <c r="AF218" s="644"/>
      <c r="AG218" s="644"/>
      <c r="AH218" s="644"/>
      <c r="AI218" s="644"/>
      <c r="AJ218" s="644"/>
      <c r="AK218" s="547"/>
      <c r="AL218" s="575"/>
    </row>
    <row r="219" spans="5:38" x14ac:dyDescent="0.3">
      <c r="E219" s="293" t="s">
        <v>1402</v>
      </c>
      <c r="F219" s="605" t="s">
        <v>836</v>
      </c>
      <c r="G219" s="294">
        <v>4395</v>
      </c>
      <c r="H219" s="295" t="s">
        <v>58</v>
      </c>
      <c r="I219" s="294">
        <v>223300000</v>
      </c>
      <c r="P219" s="295" t="s">
        <v>576</v>
      </c>
      <c r="R219" s="500"/>
      <c r="S219" s="639" t="s">
        <v>1294</v>
      </c>
      <c r="T219" s="640"/>
      <c r="U219" s="640"/>
      <c r="V219" s="640"/>
      <c r="W219" s="640"/>
      <c r="X219" s="640"/>
      <c r="Y219" s="553"/>
      <c r="Z219" s="527" t="str">
        <f>IFERROR(INDEX(잔가map!$C$14:$AR$18,MATCH(차량DB!$Z$5,잔가map!$B$14:$B$18,0),MATCH(차량DB!Y219,잔가map!$C$13:$AR$13,0)),"")</f>
        <v/>
      </c>
      <c r="AA219" s="527" t="str">
        <f>IFERROR(INDEX(잔가map!$C$14:$AR$18,MATCH(차량DB!$AA$5,잔가map!$B$14:$B$18,0),MATCH(차량DB!Y219,잔가map!$C$13:$AR$13,0)),"")</f>
        <v/>
      </c>
      <c r="AB219" s="527" t="str">
        <f>IFERROR(INDEX(잔가map!$C$14:$AR$18,MATCH(차량DB!$AB$5,잔가map!$B$14:$B$18,0),MATCH(차량DB!Y219,잔가map!$C$13:$AR$13,0)),"")</f>
        <v/>
      </c>
      <c r="AC219" s="527" t="str">
        <f>IFERROR(INDEX(잔가map!$C$14:$AR$18,MATCH(차량DB!$AC$5,잔가map!$B$14:$B$18,0),MATCH(차량DB!Y219,잔가map!$C$13:$AR$13,0)),"")</f>
        <v/>
      </c>
      <c r="AD219" s="527" t="str">
        <f>IFERROR(INDEX(잔가map!$C$14:$AR$18,MATCH(차량DB!$AD$5,잔가map!$B$14:$B$18,0),MATCH(차량DB!Y219,잔가map!$C$13:$AR$13,0)),"")</f>
        <v/>
      </c>
      <c r="AE219" s="643"/>
      <c r="AF219" s="644"/>
      <c r="AG219" s="644"/>
      <c r="AH219" s="644"/>
      <c r="AI219" s="644"/>
      <c r="AJ219" s="644"/>
      <c r="AK219" s="547"/>
      <c r="AL219" s="575"/>
    </row>
    <row r="220" spans="5:38" x14ac:dyDescent="0.3">
      <c r="E220" s="293" t="s">
        <v>617</v>
      </c>
      <c r="F220" s="605" t="s">
        <v>775</v>
      </c>
      <c r="G220" s="294">
        <v>3996</v>
      </c>
      <c r="H220" s="295" t="s">
        <v>45</v>
      </c>
      <c r="I220" s="294">
        <v>309000000</v>
      </c>
      <c r="P220" s="295" t="s">
        <v>576</v>
      </c>
      <c r="R220" s="500">
        <v>0</v>
      </c>
      <c r="S220" s="639"/>
      <c r="T220" s="640"/>
      <c r="U220" s="640"/>
      <c r="V220" s="640"/>
      <c r="W220" s="640"/>
      <c r="X220" s="640"/>
      <c r="Y220" s="553"/>
      <c r="Z220" s="527" t="str">
        <f>IFERROR(INDEX(잔가map!$C$14:$AR$18,MATCH(차량DB!$Z$5,잔가map!$B$14:$B$18,0),MATCH(차량DB!Y220,잔가map!$C$13:$AR$13,0)),"")</f>
        <v/>
      </c>
      <c r="AA220" s="527" t="str">
        <f>IFERROR(INDEX(잔가map!$C$14:$AR$18,MATCH(차량DB!$AA$5,잔가map!$B$14:$B$18,0),MATCH(차량DB!Y220,잔가map!$C$13:$AR$13,0)),"")</f>
        <v/>
      </c>
      <c r="AB220" s="527" t="str">
        <f>IFERROR(INDEX(잔가map!$C$14:$AR$18,MATCH(차량DB!$AB$5,잔가map!$B$14:$B$18,0),MATCH(차량DB!Y220,잔가map!$C$13:$AR$13,0)),"")</f>
        <v/>
      </c>
      <c r="AC220" s="527" t="str">
        <f>IFERROR(INDEX(잔가map!$C$14:$AR$18,MATCH(차량DB!$AC$5,잔가map!$B$14:$B$18,0),MATCH(차량DB!Y220,잔가map!$C$13:$AR$13,0)),"")</f>
        <v/>
      </c>
      <c r="AD220" s="527" t="str">
        <f>IFERROR(INDEX(잔가map!$C$14:$AR$18,MATCH(차량DB!$AD$5,잔가map!$B$14:$B$18,0),MATCH(차량DB!Y220,잔가map!$C$13:$AR$13,0)),"")</f>
        <v/>
      </c>
      <c r="AE220" s="643"/>
      <c r="AF220" s="644"/>
      <c r="AG220" s="644"/>
      <c r="AH220" s="644"/>
      <c r="AI220" s="644"/>
      <c r="AJ220" s="644"/>
      <c r="AK220" s="547"/>
      <c r="AL220" s="576"/>
    </row>
    <row r="221" spans="5:38" x14ac:dyDescent="0.3">
      <c r="E221" s="293" t="s">
        <v>617</v>
      </c>
      <c r="F221" s="605" t="s">
        <v>776</v>
      </c>
      <c r="G221" s="294">
        <v>3996</v>
      </c>
      <c r="H221" s="295" t="s">
        <v>45</v>
      </c>
      <c r="I221" s="294">
        <v>320000000</v>
      </c>
      <c r="P221" s="295" t="s">
        <v>576</v>
      </c>
      <c r="R221" s="500">
        <v>0</v>
      </c>
      <c r="S221" s="639"/>
      <c r="T221" s="640"/>
      <c r="U221" s="640"/>
      <c r="V221" s="640"/>
      <c r="W221" s="640"/>
      <c r="X221" s="640"/>
      <c r="Y221" s="553"/>
      <c r="Z221" s="527" t="str">
        <f>IFERROR(INDEX(잔가map!$C$14:$AR$18,MATCH(차량DB!$Z$5,잔가map!$B$14:$B$18,0),MATCH(차량DB!Y221,잔가map!$C$13:$AR$13,0)),"")</f>
        <v/>
      </c>
      <c r="AA221" s="527" t="str">
        <f>IFERROR(INDEX(잔가map!$C$14:$AR$18,MATCH(차량DB!$AA$5,잔가map!$B$14:$B$18,0),MATCH(차량DB!Y221,잔가map!$C$13:$AR$13,0)),"")</f>
        <v/>
      </c>
      <c r="AB221" s="527" t="str">
        <f>IFERROR(INDEX(잔가map!$C$14:$AR$18,MATCH(차량DB!$AB$5,잔가map!$B$14:$B$18,0),MATCH(차량DB!Y221,잔가map!$C$13:$AR$13,0)),"")</f>
        <v/>
      </c>
      <c r="AC221" s="527" t="str">
        <f>IFERROR(INDEX(잔가map!$C$14:$AR$18,MATCH(차량DB!$AC$5,잔가map!$B$14:$B$18,0),MATCH(차량DB!Y221,잔가map!$C$13:$AR$13,0)),"")</f>
        <v/>
      </c>
      <c r="AD221" s="527" t="str">
        <f>IFERROR(INDEX(잔가map!$C$14:$AR$18,MATCH(차량DB!$AD$5,잔가map!$B$14:$B$18,0),MATCH(차량DB!Y221,잔가map!$C$13:$AR$13,0)),"")</f>
        <v/>
      </c>
      <c r="AE221" s="643"/>
      <c r="AF221" s="644"/>
      <c r="AG221" s="644"/>
      <c r="AH221" s="644"/>
      <c r="AI221" s="644"/>
      <c r="AJ221" s="644"/>
      <c r="AK221" s="547"/>
      <c r="AL221" s="576"/>
    </row>
    <row r="222" spans="5:38" x14ac:dyDescent="0.3">
      <c r="E222" s="293" t="s">
        <v>617</v>
      </c>
      <c r="F222" s="605" t="s">
        <v>777</v>
      </c>
      <c r="G222" s="294">
        <v>3996</v>
      </c>
      <c r="H222" s="295" t="s">
        <v>45</v>
      </c>
      <c r="I222" s="294">
        <v>323000000</v>
      </c>
      <c r="P222" s="295" t="s">
        <v>576</v>
      </c>
      <c r="R222" s="500">
        <v>0</v>
      </c>
      <c r="S222" s="639"/>
      <c r="T222" s="640"/>
      <c r="U222" s="640"/>
      <c r="V222" s="640"/>
      <c r="W222" s="640"/>
      <c r="X222" s="640"/>
      <c r="Y222" s="553"/>
      <c r="Z222" s="527" t="str">
        <f>IFERROR(INDEX(잔가map!$C$14:$AR$18,MATCH(차량DB!$Z$5,잔가map!$B$14:$B$18,0),MATCH(차량DB!Y222,잔가map!$C$13:$AR$13,0)),"")</f>
        <v/>
      </c>
      <c r="AA222" s="527" t="str">
        <f>IFERROR(INDEX(잔가map!$C$14:$AR$18,MATCH(차량DB!$AA$5,잔가map!$B$14:$B$18,0),MATCH(차량DB!Y222,잔가map!$C$13:$AR$13,0)),"")</f>
        <v/>
      </c>
      <c r="AB222" s="527" t="str">
        <f>IFERROR(INDEX(잔가map!$C$14:$AR$18,MATCH(차량DB!$AB$5,잔가map!$B$14:$B$18,0),MATCH(차량DB!Y222,잔가map!$C$13:$AR$13,0)),"")</f>
        <v/>
      </c>
      <c r="AC222" s="527" t="str">
        <f>IFERROR(INDEX(잔가map!$C$14:$AR$18,MATCH(차량DB!$AC$5,잔가map!$B$14:$B$18,0),MATCH(차량DB!Y222,잔가map!$C$13:$AR$13,0)),"")</f>
        <v/>
      </c>
      <c r="AD222" s="527" t="str">
        <f>IFERROR(INDEX(잔가map!$C$14:$AR$18,MATCH(차량DB!$AD$5,잔가map!$B$14:$B$18,0),MATCH(차량DB!Y222,잔가map!$C$13:$AR$13,0)),"")</f>
        <v/>
      </c>
      <c r="AE222" s="643"/>
      <c r="AF222" s="644"/>
      <c r="AG222" s="644"/>
      <c r="AH222" s="644"/>
      <c r="AI222" s="644"/>
      <c r="AJ222" s="644"/>
      <c r="AK222" s="547"/>
      <c r="AL222" s="576"/>
    </row>
    <row r="223" spans="5:38" x14ac:dyDescent="0.3">
      <c r="E223" s="293" t="s">
        <v>617</v>
      </c>
      <c r="F223" s="605" t="s">
        <v>778</v>
      </c>
      <c r="G223" s="294">
        <v>6752</v>
      </c>
      <c r="H223" s="295" t="s">
        <v>45</v>
      </c>
      <c r="I223" s="294">
        <v>488000000</v>
      </c>
      <c r="P223" s="295" t="s">
        <v>576</v>
      </c>
      <c r="R223" s="500">
        <v>0</v>
      </c>
      <c r="S223" s="639"/>
      <c r="T223" s="640"/>
      <c r="U223" s="640"/>
      <c r="V223" s="640"/>
      <c r="W223" s="640"/>
      <c r="X223" s="640"/>
      <c r="Y223" s="553"/>
      <c r="Z223" s="527" t="str">
        <f>IFERROR(INDEX(잔가map!$C$14:$AR$18,MATCH(차량DB!$Z$5,잔가map!$B$14:$B$18,0),MATCH(차량DB!Y223,잔가map!$C$13:$AR$13,0)),"")</f>
        <v/>
      </c>
      <c r="AA223" s="527" t="str">
        <f>IFERROR(INDEX(잔가map!$C$14:$AR$18,MATCH(차량DB!$AA$5,잔가map!$B$14:$B$18,0),MATCH(차량DB!Y223,잔가map!$C$13:$AR$13,0)),"")</f>
        <v/>
      </c>
      <c r="AB223" s="527" t="str">
        <f>IFERROR(INDEX(잔가map!$C$14:$AR$18,MATCH(차량DB!$AB$5,잔가map!$B$14:$B$18,0),MATCH(차량DB!Y223,잔가map!$C$13:$AR$13,0)),"")</f>
        <v/>
      </c>
      <c r="AC223" s="527" t="str">
        <f>IFERROR(INDEX(잔가map!$C$14:$AR$18,MATCH(차량DB!$AC$5,잔가map!$B$14:$B$18,0),MATCH(차량DB!Y223,잔가map!$C$13:$AR$13,0)),"")</f>
        <v/>
      </c>
      <c r="AD223" s="527" t="str">
        <f>IFERROR(INDEX(잔가map!$C$14:$AR$18,MATCH(차량DB!$AD$5,잔가map!$B$14:$B$18,0),MATCH(차량DB!Y223,잔가map!$C$13:$AR$13,0)),"")</f>
        <v/>
      </c>
      <c r="AE223" s="643"/>
      <c r="AF223" s="644"/>
      <c r="AG223" s="644"/>
      <c r="AH223" s="644"/>
      <c r="AI223" s="644"/>
      <c r="AJ223" s="644"/>
      <c r="AK223" s="547"/>
      <c r="AL223" s="576"/>
    </row>
    <row r="224" spans="5:38" x14ac:dyDescent="0.3">
      <c r="E224" s="293" t="s">
        <v>617</v>
      </c>
      <c r="F224" s="605" t="s">
        <v>779</v>
      </c>
      <c r="G224" s="294">
        <v>3996</v>
      </c>
      <c r="H224" s="295" t="s">
        <v>58</v>
      </c>
      <c r="I224" s="294">
        <v>309000000</v>
      </c>
      <c r="P224" s="295" t="s">
        <v>576</v>
      </c>
      <c r="R224" s="500">
        <v>0</v>
      </c>
      <c r="S224" s="639"/>
      <c r="T224" s="640"/>
      <c r="U224" s="640"/>
      <c r="V224" s="640"/>
      <c r="W224" s="640"/>
      <c r="X224" s="640"/>
      <c r="Y224" s="553"/>
      <c r="Z224" s="527" t="str">
        <f>IFERROR(INDEX(잔가map!$C$14:$AR$18,MATCH(차량DB!$Z$5,잔가map!$B$14:$B$18,0),MATCH(차량DB!Y224,잔가map!$C$13:$AR$13,0)),"")</f>
        <v/>
      </c>
      <c r="AA224" s="527" t="str">
        <f>IFERROR(INDEX(잔가map!$C$14:$AR$18,MATCH(차량DB!$AA$5,잔가map!$B$14:$B$18,0),MATCH(차량DB!Y224,잔가map!$C$13:$AR$13,0)),"")</f>
        <v/>
      </c>
      <c r="AB224" s="527" t="str">
        <f>IFERROR(INDEX(잔가map!$C$14:$AR$18,MATCH(차량DB!$AB$5,잔가map!$B$14:$B$18,0),MATCH(차량DB!Y224,잔가map!$C$13:$AR$13,0)),"")</f>
        <v/>
      </c>
      <c r="AC224" s="527" t="str">
        <f>IFERROR(INDEX(잔가map!$C$14:$AR$18,MATCH(차량DB!$AC$5,잔가map!$B$14:$B$18,0),MATCH(차량DB!Y224,잔가map!$C$13:$AR$13,0)),"")</f>
        <v/>
      </c>
      <c r="AD224" s="527" t="str">
        <f>IFERROR(INDEX(잔가map!$C$14:$AR$18,MATCH(차량DB!$AD$5,잔가map!$B$14:$B$18,0),MATCH(차량DB!Y224,잔가map!$C$13:$AR$13,0)),"")</f>
        <v/>
      </c>
      <c r="AE224" s="643"/>
      <c r="AF224" s="644"/>
      <c r="AG224" s="644"/>
      <c r="AH224" s="644"/>
      <c r="AI224" s="644"/>
      <c r="AJ224" s="644"/>
      <c r="AK224" s="547"/>
      <c r="AL224" s="576"/>
    </row>
    <row r="225" spans="5:38" x14ac:dyDescent="0.3">
      <c r="E225" s="293" t="s">
        <v>414</v>
      </c>
      <c r="F225" s="605" t="s">
        <v>837</v>
      </c>
      <c r="G225" s="294">
        <v>1998</v>
      </c>
      <c r="H225" s="295" t="s">
        <v>45</v>
      </c>
      <c r="I225" s="294">
        <v>49350000</v>
      </c>
      <c r="P225" s="295" t="s">
        <v>576</v>
      </c>
      <c r="R225" s="500">
        <v>0</v>
      </c>
      <c r="S225" s="639"/>
      <c r="T225" s="640"/>
      <c r="U225" s="640"/>
      <c r="V225" s="640"/>
      <c r="W225" s="640"/>
      <c r="X225" s="640"/>
      <c r="Y225" s="553"/>
      <c r="Z225" s="527" t="str">
        <f>IFERROR(INDEX(잔가map!$C$14:$AR$18,MATCH(차량DB!$Z$5,잔가map!$B$14:$B$18,0),MATCH(차량DB!Y225,잔가map!$C$13:$AR$13,0)),"")</f>
        <v/>
      </c>
      <c r="AA225" s="527" t="str">
        <f>IFERROR(INDEX(잔가map!$C$14:$AR$18,MATCH(차량DB!$AA$5,잔가map!$B$14:$B$18,0),MATCH(차량DB!Y225,잔가map!$C$13:$AR$13,0)),"")</f>
        <v/>
      </c>
      <c r="AB225" s="527" t="str">
        <f>IFERROR(INDEX(잔가map!$C$14:$AR$18,MATCH(차량DB!$AB$5,잔가map!$B$14:$B$18,0),MATCH(차량DB!Y225,잔가map!$C$13:$AR$13,0)),"")</f>
        <v/>
      </c>
      <c r="AC225" s="527" t="str">
        <f>IFERROR(INDEX(잔가map!$C$14:$AR$18,MATCH(차량DB!$AC$5,잔가map!$B$14:$B$18,0),MATCH(차량DB!Y225,잔가map!$C$13:$AR$13,0)),"")</f>
        <v/>
      </c>
      <c r="AD225" s="527" t="str">
        <f>IFERROR(INDEX(잔가map!$C$14:$AR$18,MATCH(차량DB!$AD$5,잔가map!$B$14:$B$18,0),MATCH(차량DB!Y225,잔가map!$C$13:$AR$13,0)),"")</f>
        <v/>
      </c>
      <c r="AE225" s="643"/>
      <c r="AF225" s="644"/>
      <c r="AG225" s="644"/>
      <c r="AH225" s="644"/>
      <c r="AI225" s="644"/>
      <c r="AJ225" s="644"/>
      <c r="AK225" s="547"/>
      <c r="AL225" s="576"/>
    </row>
    <row r="226" spans="5:38" x14ac:dyDescent="0.3">
      <c r="E226" s="293" t="s">
        <v>414</v>
      </c>
      <c r="F226" s="605" t="s">
        <v>838</v>
      </c>
      <c r="G226" s="294">
        <v>1988</v>
      </c>
      <c r="H226" s="295" t="s">
        <v>45</v>
      </c>
      <c r="I226" s="294">
        <v>54780000</v>
      </c>
      <c r="P226" s="295" t="s">
        <v>576</v>
      </c>
      <c r="R226" s="500">
        <v>0</v>
      </c>
      <c r="S226" s="639"/>
      <c r="T226" s="640"/>
      <c r="U226" s="640"/>
      <c r="V226" s="640"/>
      <c r="W226" s="640"/>
      <c r="X226" s="640"/>
      <c r="Y226" s="553"/>
      <c r="Z226" s="527" t="str">
        <f>IFERROR(INDEX(잔가map!$C$14:$AR$18,MATCH(차량DB!$Z$5,잔가map!$B$14:$B$18,0),MATCH(차량DB!Y226,잔가map!$C$13:$AR$13,0)),"")</f>
        <v/>
      </c>
      <c r="AA226" s="527" t="str">
        <f>IFERROR(INDEX(잔가map!$C$14:$AR$18,MATCH(차량DB!$AA$5,잔가map!$B$14:$B$18,0),MATCH(차량DB!Y226,잔가map!$C$13:$AR$13,0)),"")</f>
        <v/>
      </c>
      <c r="AB226" s="527" t="str">
        <f>IFERROR(INDEX(잔가map!$C$14:$AR$18,MATCH(차량DB!$AB$5,잔가map!$B$14:$B$18,0),MATCH(차량DB!Y226,잔가map!$C$13:$AR$13,0)),"")</f>
        <v/>
      </c>
      <c r="AC226" s="527" t="str">
        <f>IFERROR(INDEX(잔가map!$C$14:$AR$18,MATCH(차량DB!$AC$5,잔가map!$B$14:$B$18,0),MATCH(차량DB!Y226,잔가map!$C$13:$AR$13,0)),"")</f>
        <v/>
      </c>
      <c r="AD226" s="527" t="str">
        <f>IFERROR(INDEX(잔가map!$C$14:$AR$18,MATCH(차량DB!$AD$5,잔가map!$B$14:$B$18,0),MATCH(차량DB!Y226,잔가map!$C$13:$AR$13,0)),"")</f>
        <v/>
      </c>
      <c r="AE226" s="643"/>
      <c r="AF226" s="644"/>
      <c r="AG226" s="644"/>
      <c r="AH226" s="644"/>
      <c r="AI226" s="644"/>
      <c r="AJ226" s="644"/>
      <c r="AK226" s="547"/>
      <c r="AL226" s="576"/>
    </row>
    <row r="227" spans="5:38" x14ac:dyDescent="0.3">
      <c r="E227" s="293" t="s">
        <v>414</v>
      </c>
      <c r="F227" s="605" t="s">
        <v>839</v>
      </c>
      <c r="G227" s="294">
        <v>1988</v>
      </c>
      <c r="H227" s="295" t="s">
        <v>45</v>
      </c>
      <c r="I227" s="294">
        <v>59710000</v>
      </c>
      <c r="P227" s="295" t="s">
        <v>576</v>
      </c>
      <c r="R227" s="500">
        <v>0</v>
      </c>
      <c r="S227" s="639"/>
      <c r="T227" s="640"/>
      <c r="U227" s="640"/>
      <c r="V227" s="640"/>
      <c r="W227" s="640"/>
      <c r="X227" s="640"/>
      <c r="Y227" s="553"/>
      <c r="Z227" s="527" t="str">
        <f>IFERROR(INDEX(잔가map!$C$14:$AR$18,MATCH(차량DB!$Z$5,잔가map!$B$14:$B$18,0),MATCH(차량DB!Y227,잔가map!$C$13:$AR$13,0)),"")</f>
        <v/>
      </c>
      <c r="AA227" s="527" t="str">
        <f>IFERROR(INDEX(잔가map!$C$14:$AR$18,MATCH(차량DB!$AA$5,잔가map!$B$14:$B$18,0),MATCH(차량DB!Y227,잔가map!$C$13:$AR$13,0)),"")</f>
        <v/>
      </c>
      <c r="AB227" s="527" t="str">
        <f>IFERROR(INDEX(잔가map!$C$14:$AR$18,MATCH(차량DB!$AB$5,잔가map!$B$14:$B$18,0),MATCH(차량DB!Y227,잔가map!$C$13:$AR$13,0)),"")</f>
        <v/>
      </c>
      <c r="AC227" s="527" t="str">
        <f>IFERROR(INDEX(잔가map!$C$14:$AR$18,MATCH(차량DB!$AC$5,잔가map!$B$14:$B$18,0),MATCH(차량DB!Y227,잔가map!$C$13:$AR$13,0)),"")</f>
        <v/>
      </c>
      <c r="AD227" s="527" t="str">
        <f>IFERROR(INDEX(잔가map!$C$14:$AR$18,MATCH(차량DB!$AD$5,잔가map!$B$14:$B$18,0),MATCH(차량DB!Y227,잔가map!$C$13:$AR$13,0)),"")</f>
        <v/>
      </c>
      <c r="AE227" s="643"/>
      <c r="AF227" s="644"/>
      <c r="AG227" s="644"/>
      <c r="AH227" s="644"/>
      <c r="AI227" s="644"/>
      <c r="AJ227" s="644"/>
      <c r="AK227" s="547"/>
      <c r="AL227" s="576"/>
    </row>
    <row r="228" spans="5:38" x14ac:dyDescent="0.3">
      <c r="E228" s="293" t="s">
        <v>414</v>
      </c>
      <c r="F228" s="605" t="s">
        <v>840</v>
      </c>
      <c r="G228" s="294">
        <v>6162</v>
      </c>
      <c r="H228" s="295" t="s">
        <v>45</v>
      </c>
      <c r="I228" s="294">
        <v>138570000</v>
      </c>
      <c r="P228" s="295" t="s">
        <v>576</v>
      </c>
      <c r="R228" s="500"/>
      <c r="S228" s="639"/>
      <c r="T228" s="640"/>
      <c r="U228" s="640"/>
      <c r="V228" s="640"/>
      <c r="W228" s="640"/>
      <c r="X228" s="640"/>
      <c r="Y228" s="553"/>
      <c r="Z228" s="527" t="str">
        <f>IFERROR(INDEX(잔가map!$C$14:$AR$18,MATCH(차량DB!$Z$5,잔가map!$B$14:$B$18,0),MATCH(차량DB!Y228,잔가map!$C$13:$AR$13,0)),"")</f>
        <v/>
      </c>
      <c r="AA228" s="527" t="str">
        <f>IFERROR(INDEX(잔가map!$C$14:$AR$18,MATCH(차량DB!$AA$5,잔가map!$B$14:$B$18,0),MATCH(차량DB!Y228,잔가map!$C$13:$AR$13,0)),"")</f>
        <v/>
      </c>
      <c r="AB228" s="527" t="str">
        <f>IFERROR(INDEX(잔가map!$C$14:$AR$18,MATCH(차량DB!$AB$5,잔가map!$B$14:$B$18,0),MATCH(차량DB!Y228,잔가map!$C$13:$AR$13,0)),"")</f>
        <v/>
      </c>
      <c r="AC228" s="527" t="str">
        <f>IFERROR(INDEX(잔가map!$C$14:$AR$18,MATCH(차량DB!$AC$5,잔가map!$B$14:$B$18,0),MATCH(차량DB!Y228,잔가map!$C$13:$AR$13,0)),"")</f>
        <v/>
      </c>
      <c r="AD228" s="527" t="str">
        <f>IFERROR(INDEX(잔가map!$C$14:$AR$18,MATCH(차량DB!$AD$5,잔가map!$B$14:$B$18,0),MATCH(차량DB!Y228,잔가map!$C$13:$AR$13,0)),"")</f>
        <v/>
      </c>
      <c r="AE228" s="643"/>
      <c r="AF228" s="644"/>
      <c r="AG228" s="644"/>
      <c r="AH228" s="644"/>
      <c r="AI228" s="644"/>
      <c r="AJ228" s="644"/>
      <c r="AK228" s="547"/>
      <c r="AL228" s="576"/>
    </row>
    <row r="229" spans="5:38" x14ac:dyDescent="0.3">
      <c r="E229" s="293" t="s">
        <v>414</v>
      </c>
      <c r="F229" s="604" t="s">
        <v>620</v>
      </c>
      <c r="G229" s="294">
        <v>1998</v>
      </c>
      <c r="H229" s="295" t="s">
        <v>45</v>
      </c>
      <c r="I229" s="294">
        <v>58510000</v>
      </c>
      <c r="P229" s="295" t="s">
        <v>576</v>
      </c>
      <c r="R229" s="500">
        <v>0</v>
      </c>
      <c r="S229" s="639"/>
      <c r="T229" s="640"/>
      <c r="U229" s="640"/>
      <c r="V229" s="640"/>
      <c r="W229" s="640"/>
      <c r="X229" s="640"/>
      <c r="Y229" s="553"/>
      <c r="Z229" s="527" t="str">
        <f>IFERROR(INDEX(잔가map!$C$14:$AR$18,MATCH(차량DB!$Z$5,잔가map!$B$14:$B$18,0),MATCH(차량DB!Y229,잔가map!$C$13:$AR$13,0)),"")</f>
        <v/>
      </c>
      <c r="AA229" s="527" t="str">
        <f>IFERROR(INDEX(잔가map!$C$14:$AR$18,MATCH(차량DB!$AA$5,잔가map!$B$14:$B$18,0),MATCH(차량DB!Y229,잔가map!$C$13:$AR$13,0)),"")</f>
        <v/>
      </c>
      <c r="AB229" s="527" t="str">
        <f>IFERROR(INDEX(잔가map!$C$14:$AR$18,MATCH(차량DB!$AB$5,잔가map!$B$14:$B$18,0),MATCH(차량DB!Y229,잔가map!$C$13:$AR$13,0)),"")</f>
        <v/>
      </c>
      <c r="AC229" s="527" t="str">
        <f>IFERROR(INDEX(잔가map!$C$14:$AR$18,MATCH(차량DB!$AC$5,잔가map!$B$14:$B$18,0),MATCH(차량DB!Y229,잔가map!$C$13:$AR$13,0)),"")</f>
        <v/>
      </c>
      <c r="AD229" s="527" t="str">
        <f>IFERROR(INDEX(잔가map!$C$14:$AR$18,MATCH(차량DB!$AD$5,잔가map!$B$14:$B$18,0),MATCH(차량DB!Y229,잔가map!$C$13:$AR$13,0)),"")</f>
        <v/>
      </c>
      <c r="AE229" s="643"/>
      <c r="AF229" s="644"/>
      <c r="AG229" s="644"/>
      <c r="AH229" s="644"/>
      <c r="AI229" s="644"/>
      <c r="AJ229" s="644"/>
      <c r="AK229" s="547"/>
      <c r="AL229" s="576"/>
    </row>
    <row r="230" spans="5:38" x14ac:dyDescent="0.3">
      <c r="E230" s="293" t="s">
        <v>414</v>
      </c>
      <c r="F230" s="604" t="s">
        <v>484</v>
      </c>
      <c r="G230" s="294">
        <v>3649</v>
      </c>
      <c r="H230" s="295" t="s">
        <v>45</v>
      </c>
      <c r="I230" s="294">
        <v>68430000</v>
      </c>
      <c r="P230" s="295" t="s">
        <v>576</v>
      </c>
      <c r="R230" s="500">
        <v>0</v>
      </c>
      <c r="S230" s="639"/>
      <c r="T230" s="640"/>
      <c r="U230" s="640"/>
      <c r="V230" s="640"/>
      <c r="W230" s="640"/>
      <c r="X230" s="640"/>
      <c r="Y230" s="553"/>
      <c r="Z230" s="527" t="str">
        <f>IFERROR(INDEX(잔가map!$C$14:$AR$18,MATCH(차량DB!$Z$5,잔가map!$B$14:$B$18,0),MATCH(차량DB!Y230,잔가map!$C$13:$AR$13,0)),"")</f>
        <v/>
      </c>
      <c r="AA230" s="527" t="str">
        <f>IFERROR(INDEX(잔가map!$C$14:$AR$18,MATCH(차량DB!$AA$5,잔가map!$B$14:$B$18,0),MATCH(차량DB!Y230,잔가map!$C$13:$AR$13,0)),"")</f>
        <v/>
      </c>
      <c r="AB230" s="527" t="str">
        <f>IFERROR(INDEX(잔가map!$C$14:$AR$18,MATCH(차량DB!$AB$5,잔가map!$B$14:$B$18,0),MATCH(차량DB!Y230,잔가map!$C$13:$AR$13,0)),"")</f>
        <v/>
      </c>
      <c r="AC230" s="527" t="str">
        <f>IFERROR(INDEX(잔가map!$C$14:$AR$18,MATCH(차량DB!$AC$5,잔가map!$B$14:$B$18,0),MATCH(차량DB!Y230,잔가map!$C$13:$AR$13,0)),"")</f>
        <v/>
      </c>
      <c r="AD230" s="527" t="str">
        <f>IFERROR(INDEX(잔가map!$C$14:$AR$18,MATCH(차량DB!$AD$5,잔가map!$B$14:$B$18,0),MATCH(차량DB!Y230,잔가map!$C$13:$AR$13,0)),"")</f>
        <v/>
      </c>
      <c r="AE230" s="643"/>
      <c r="AF230" s="644"/>
      <c r="AG230" s="644"/>
      <c r="AH230" s="644"/>
      <c r="AI230" s="644"/>
      <c r="AJ230" s="644"/>
      <c r="AK230" s="547"/>
      <c r="AL230" s="576"/>
    </row>
    <row r="231" spans="5:38" x14ac:dyDescent="0.3">
      <c r="E231" s="293" t="s">
        <v>414</v>
      </c>
      <c r="F231" s="604" t="s">
        <v>485</v>
      </c>
      <c r="G231" s="294">
        <v>3649</v>
      </c>
      <c r="H231" s="295" t="s">
        <v>45</v>
      </c>
      <c r="I231" s="294">
        <v>76320000</v>
      </c>
      <c r="P231" s="295" t="s">
        <v>576</v>
      </c>
      <c r="R231" s="500">
        <v>0</v>
      </c>
      <c r="S231" s="639"/>
      <c r="T231" s="640"/>
      <c r="U231" s="640"/>
      <c r="V231" s="640"/>
      <c r="W231" s="640"/>
      <c r="X231" s="640"/>
      <c r="Y231" s="553"/>
      <c r="Z231" s="527" t="str">
        <f>IFERROR(INDEX(잔가map!$C$14:$AR$18,MATCH(차량DB!$Z$5,잔가map!$B$14:$B$18,0),MATCH(차량DB!Y231,잔가map!$C$13:$AR$13,0)),"")</f>
        <v/>
      </c>
      <c r="AA231" s="527" t="str">
        <f>IFERROR(INDEX(잔가map!$C$14:$AR$18,MATCH(차량DB!$AA$5,잔가map!$B$14:$B$18,0),MATCH(차량DB!Y231,잔가map!$C$13:$AR$13,0)),"")</f>
        <v/>
      </c>
      <c r="AB231" s="527" t="str">
        <f>IFERROR(INDEX(잔가map!$C$14:$AR$18,MATCH(차량DB!$AB$5,잔가map!$B$14:$B$18,0),MATCH(차량DB!Y231,잔가map!$C$13:$AR$13,0)),"")</f>
        <v/>
      </c>
      <c r="AC231" s="527" t="str">
        <f>IFERROR(INDEX(잔가map!$C$14:$AR$18,MATCH(차량DB!$AC$5,잔가map!$B$14:$B$18,0),MATCH(차량DB!Y231,잔가map!$C$13:$AR$13,0)),"")</f>
        <v/>
      </c>
      <c r="AD231" s="527" t="str">
        <f>IFERROR(INDEX(잔가map!$C$14:$AR$18,MATCH(차량DB!$AD$5,잔가map!$B$14:$B$18,0),MATCH(차량DB!Y231,잔가map!$C$13:$AR$13,0)),"")</f>
        <v/>
      </c>
      <c r="AE231" s="643"/>
      <c r="AF231" s="644"/>
      <c r="AG231" s="644"/>
      <c r="AH231" s="644"/>
      <c r="AI231" s="644"/>
      <c r="AJ231" s="644"/>
      <c r="AK231" s="547"/>
      <c r="AL231" s="576"/>
    </row>
    <row r="232" spans="5:38" x14ac:dyDescent="0.3">
      <c r="E232" s="293" t="s">
        <v>414</v>
      </c>
      <c r="F232" s="604" t="s">
        <v>845</v>
      </c>
      <c r="G232" s="294">
        <v>3649</v>
      </c>
      <c r="H232" s="295" t="s">
        <v>45</v>
      </c>
      <c r="I232" s="294">
        <v>84410000</v>
      </c>
      <c r="P232" s="295" t="s">
        <v>576</v>
      </c>
      <c r="R232" s="500">
        <v>0</v>
      </c>
      <c r="S232" s="639"/>
      <c r="T232" s="640"/>
      <c r="U232" s="640"/>
      <c r="V232" s="640"/>
      <c r="W232" s="640"/>
      <c r="X232" s="640"/>
      <c r="Y232" s="553"/>
      <c r="Z232" s="527" t="str">
        <f>IFERROR(INDEX(잔가map!$C$14:$AR$18,MATCH(차량DB!$Z$5,잔가map!$B$14:$B$18,0),MATCH(차량DB!Y232,잔가map!$C$13:$AR$13,0)),"")</f>
        <v/>
      </c>
      <c r="AA232" s="527" t="str">
        <f>IFERROR(INDEX(잔가map!$C$14:$AR$18,MATCH(차량DB!$AA$5,잔가map!$B$14:$B$18,0),MATCH(차량DB!Y232,잔가map!$C$13:$AR$13,0)),"")</f>
        <v/>
      </c>
      <c r="AB232" s="527" t="str">
        <f>IFERROR(INDEX(잔가map!$C$14:$AR$18,MATCH(차량DB!$AB$5,잔가map!$B$14:$B$18,0),MATCH(차량DB!Y232,잔가map!$C$13:$AR$13,0)),"")</f>
        <v/>
      </c>
      <c r="AC232" s="527" t="str">
        <f>IFERROR(INDEX(잔가map!$C$14:$AR$18,MATCH(차량DB!$AC$5,잔가map!$B$14:$B$18,0),MATCH(차량DB!Y232,잔가map!$C$13:$AR$13,0)),"")</f>
        <v/>
      </c>
      <c r="AD232" s="527" t="str">
        <f>IFERROR(INDEX(잔가map!$C$14:$AR$18,MATCH(차량DB!$AD$5,잔가map!$B$14:$B$18,0),MATCH(차량DB!Y232,잔가map!$C$13:$AR$13,0)),"")</f>
        <v/>
      </c>
      <c r="AE232" s="643"/>
      <c r="AF232" s="644"/>
      <c r="AG232" s="644"/>
      <c r="AH232" s="644"/>
      <c r="AI232" s="644"/>
      <c r="AJ232" s="644"/>
      <c r="AK232" s="547"/>
      <c r="AL232" s="576"/>
    </row>
    <row r="233" spans="5:38" x14ac:dyDescent="0.3">
      <c r="E233" s="293" t="s">
        <v>414</v>
      </c>
      <c r="F233" s="604" t="s">
        <v>846</v>
      </c>
      <c r="G233" s="294">
        <v>3649</v>
      </c>
      <c r="H233" s="295" t="s">
        <v>45</v>
      </c>
      <c r="I233" s="294">
        <v>84410000</v>
      </c>
      <c r="P233" s="295" t="s">
        <v>576</v>
      </c>
      <c r="R233" s="500"/>
      <c r="S233" s="639"/>
      <c r="T233" s="640"/>
      <c r="U233" s="640"/>
      <c r="V233" s="640"/>
      <c r="W233" s="640"/>
      <c r="X233" s="640"/>
      <c r="Y233" s="553"/>
      <c r="Z233" s="527" t="str">
        <f>IFERROR(INDEX(잔가map!$C$14:$AR$18,MATCH(차량DB!$Z$5,잔가map!$B$14:$B$18,0),MATCH(차량DB!Y233,잔가map!$C$13:$AR$13,0)),"")</f>
        <v/>
      </c>
      <c r="AA233" s="527" t="str">
        <f>IFERROR(INDEX(잔가map!$C$14:$AR$18,MATCH(차량DB!$AA$5,잔가map!$B$14:$B$18,0),MATCH(차량DB!Y233,잔가map!$C$13:$AR$13,0)),"")</f>
        <v/>
      </c>
      <c r="AB233" s="527" t="str">
        <f>IFERROR(INDEX(잔가map!$C$14:$AR$18,MATCH(차량DB!$AB$5,잔가map!$B$14:$B$18,0),MATCH(차량DB!Y233,잔가map!$C$13:$AR$13,0)),"")</f>
        <v/>
      </c>
      <c r="AC233" s="527" t="str">
        <f>IFERROR(INDEX(잔가map!$C$14:$AR$18,MATCH(차량DB!$AC$5,잔가map!$B$14:$B$18,0),MATCH(차량DB!Y233,잔가map!$C$13:$AR$13,0)),"")</f>
        <v/>
      </c>
      <c r="AD233" s="527" t="str">
        <f>IFERROR(INDEX(잔가map!$C$14:$AR$18,MATCH(차량DB!$AD$5,잔가map!$B$14:$B$18,0),MATCH(차량DB!Y233,잔가map!$C$13:$AR$13,0)),"")</f>
        <v/>
      </c>
      <c r="AE233" s="643"/>
      <c r="AF233" s="644"/>
      <c r="AG233" s="644"/>
      <c r="AH233" s="644"/>
      <c r="AI233" s="644"/>
      <c r="AJ233" s="644"/>
      <c r="AK233" s="547"/>
      <c r="AL233" s="576"/>
    </row>
    <row r="234" spans="5:38" x14ac:dyDescent="0.3">
      <c r="E234" s="293" t="s">
        <v>414</v>
      </c>
      <c r="F234" s="604" t="s">
        <v>841</v>
      </c>
      <c r="G234" s="294">
        <v>6162</v>
      </c>
      <c r="H234" s="295" t="s">
        <v>305</v>
      </c>
      <c r="I234" s="294">
        <v>165570000</v>
      </c>
      <c r="P234" s="295" t="s">
        <v>576</v>
      </c>
      <c r="R234" s="500">
        <v>0</v>
      </c>
      <c r="S234" s="639"/>
      <c r="T234" s="640"/>
      <c r="U234" s="640"/>
      <c r="V234" s="640"/>
      <c r="W234" s="640"/>
      <c r="X234" s="640"/>
      <c r="Y234" s="553"/>
      <c r="Z234" s="527" t="str">
        <f>IFERROR(INDEX(잔가map!$C$14:$AR$18,MATCH(차량DB!$Z$5,잔가map!$B$14:$B$18,0),MATCH(차량DB!Y234,잔가map!$C$13:$AR$13,0)),"")</f>
        <v/>
      </c>
      <c r="AA234" s="527" t="str">
        <f>IFERROR(INDEX(잔가map!$C$14:$AR$18,MATCH(차량DB!$AA$5,잔가map!$B$14:$B$18,0),MATCH(차량DB!Y234,잔가map!$C$13:$AR$13,0)),"")</f>
        <v/>
      </c>
      <c r="AB234" s="527" t="str">
        <f>IFERROR(INDEX(잔가map!$C$14:$AR$18,MATCH(차량DB!$AB$5,잔가map!$B$14:$B$18,0),MATCH(차량DB!Y234,잔가map!$C$13:$AR$13,0)),"")</f>
        <v/>
      </c>
      <c r="AC234" s="527" t="str">
        <f>IFERROR(INDEX(잔가map!$C$14:$AR$18,MATCH(차량DB!$AC$5,잔가map!$B$14:$B$18,0),MATCH(차량DB!Y234,잔가map!$C$13:$AR$13,0)),"")</f>
        <v/>
      </c>
      <c r="AD234" s="527" t="str">
        <f>IFERROR(INDEX(잔가map!$C$14:$AR$18,MATCH(차량DB!$AD$5,잔가map!$B$14:$B$18,0),MATCH(차량DB!Y234,잔가map!$C$13:$AR$13,0)),"")</f>
        <v/>
      </c>
      <c r="AE234" s="643"/>
      <c r="AF234" s="644"/>
      <c r="AG234" s="644"/>
      <c r="AH234" s="644"/>
      <c r="AI234" s="644"/>
      <c r="AJ234" s="644"/>
      <c r="AK234" s="547"/>
      <c r="AL234" s="576"/>
    </row>
    <row r="235" spans="5:38" x14ac:dyDescent="0.3">
      <c r="E235" s="293" t="s">
        <v>414</v>
      </c>
      <c r="F235" s="604" t="s">
        <v>842</v>
      </c>
      <c r="G235" s="294">
        <v>6162</v>
      </c>
      <c r="H235" s="295" t="s">
        <v>305</v>
      </c>
      <c r="I235" s="294">
        <v>165570000</v>
      </c>
      <c r="P235" s="295" t="s">
        <v>576</v>
      </c>
      <c r="R235" s="500">
        <v>0</v>
      </c>
      <c r="S235" s="639"/>
      <c r="T235" s="640"/>
      <c r="U235" s="640"/>
      <c r="V235" s="640"/>
      <c r="W235" s="640"/>
      <c r="X235" s="640"/>
      <c r="Y235" s="553"/>
      <c r="Z235" s="527" t="str">
        <f>IFERROR(INDEX(잔가map!$C$14:$AR$18,MATCH(차량DB!$Z$5,잔가map!$B$14:$B$18,0),MATCH(차량DB!Y235,잔가map!$C$13:$AR$13,0)),"")</f>
        <v/>
      </c>
      <c r="AA235" s="527" t="str">
        <f>IFERROR(INDEX(잔가map!$C$14:$AR$18,MATCH(차량DB!$AA$5,잔가map!$B$14:$B$18,0),MATCH(차량DB!Y235,잔가map!$C$13:$AR$13,0)),"")</f>
        <v/>
      </c>
      <c r="AB235" s="527" t="str">
        <f>IFERROR(INDEX(잔가map!$C$14:$AR$18,MATCH(차량DB!$AB$5,잔가map!$B$14:$B$18,0),MATCH(차량DB!Y235,잔가map!$C$13:$AR$13,0)),"")</f>
        <v/>
      </c>
      <c r="AC235" s="527" t="str">
        <f>IFERROR(INDEX(잔가map!$C$14:$AR$18,MATCH(차량DB!$AC$5,잔가map!$B$14:$B$18,0),MATCH(차량DB!Y235,잔가map!$C$13:$AR$13,0)),"")</f>
        <v/>
      </c>
      <c r="AD235" s="527" t="str">
        <f>IFERROR(INDEX(잔가map!$C$14:$AR$18,MATCH(차량DB!$AD$5,잔가map!$B$14:$B$18,0),MATCH(차량DB!Y235,잔가map!$C$13:$AR$13,0)),"")</f>
        <v/>
      </c>
      <c r="AE235" s="643"/>
      <c r="AF235" s="644"/>
      <c r="AG235" s="644"/>
      <c r="AH235" s="644"/>
      <c r="AI235" s="644"/>
      <c r="AJ235" s="644"/>
      <c r="AK235" s="547"/>
      <c r="AL235" s="576"/>
    </row>
    <row r="236" spans="5:38" x14ac:dyDescent="0.3">
      <c r="E236" s="293" t="s">
        <v>414</v>
      </c>
      <c r="F236" s="604" t="s">
        <v>843</v>
      </c>
      <c r="G236" s="294">
        <v>6162</v>
      </c>
      <c r="H236" s="295" t="s">
        <v>305</v>
      </c>
      <c r="I236" s="294">
        <v>155570000</v>
      </c>
      <c r="P236" s="295" t="s">
        <v>576</v>
      </c>
      <c r="R236" s="500">
        <v>0</v>
      </c>
      <c r="S236" s="639"/>
      <c r="T236" s="640"/>
      <c r="U236" s="640"/>
      <c r="V236" s="640"/>
      <c r="W236" s="640"/>
      <c r="X236" s="640"/>
      <c r="Y236" s="553"/>
      <c r="Z236" s="527" t="str">
        <f>IFERROR(INDEX(잔가map!$C$14:$AR$18,MATCH(차량DB!$Z$5,잔가map!$B$14:$B$18,0),MATCH(차량DB!Y236,잔가map!$C$13:$AR$13,0)),"")</f>
        <v/>
      </c>
      <c r="AA236" s="527" t="str">
        <f>IFERROR(INDEX(잔가map!$C$14:$AR$18,MATCH(차량DB!$AA$5,잔가map!$B$14:$B$18,0),MATCH(차량DB!Y236,잔가map!$C$13:$AR$13,0)),"")</f>
        <v/>
      </c>
      <c r="AB236" s="527" t="str">
        <f>IFERROR(INDEX(잔가map!$C$14:$AR$18,MATCH(차량DB!$AB$5,잔가map!$B$14:$B$18,0),MATCH(차량DB!Y236,잔가map!$C$13:$AR$13,0)),"")</f>
        <v/>
      </c>
      <c r="AC236" s="527" t="str">
        <f>IFERROR(INDEX(잔가map!$C$14:$AR$18,MATCH(차량DB!$AC$5,잔가map!$B$14:$B$18,0),MATCH(차량DB!Y236,잔가map!$C$13:$AR$13,0)),"")</f>
        <v/>
      </c>
      <c r="AD236" s="527" t="str">
        <f>IFERROR(INDEX(잔가map!$C$14:$AR$18,MATCH(차량DB!$AD$5,잔가map!$B$14:$B$18,0),MATCH(차량DB!Y236,잔가map!$C$13:$AR$13,0)),"")</f>
        <v/>
      </c>
      <c r="AE236" s="643"/>
      <c r="AF236" s="644"/>
      <c r="AG236" s="644"/>
      <c r="AH236" s="644"/>
      <c r="AI236" s="644"/>
      <c r="AJ236" s="644"/>
      <c r="AK236" s="547"/>
      <c r="AL236" s="576"/>
    </row>
    <row r="237" spans="5:38" x14ac:dyDescent="0.3">
      <c r="E237" s="293" t="s">
        <v>414</v>
      </c>
      <c r="F237" s="604" t="s">
        <v>844</v>
      </c>
      <c r="G237" s="294">
        <v>6162</v>
      </c>
      <c r="H237" s="295" t="s">
        <v>305</v>
      </c>
      <c r="I237" s="294">
        <v>155570000</v>
      </c>
      <c r="P237" s="295" t="s">
        <v>576</v>
      </c>
      <c r="R237" s="500">
        <v>0</v>
      </c>
      <c r="S237" s="639"/>
      <c r="T237" s="640"/>
      <c r="U237" s="640"/>
      <c r="V237" s="640"/>
      <c r="W237" s="640"/>
      <c r="X237" s="640"/>
      <c r="Y237" s="553"/>
      <c r="Z237" s="527" t="str">
        <f>IFERROR(INDEX(잔가map!$C$14:$AR$18,MATCH(차량DB!$Z$5,잔가map!$B$14:$B$18,0),MATCH(차량DB!Y237,잔가map!$C$13:$AR$13,0)),"")</f>
        <v/>
      </c>
      <c r="AA237" s="527" t="str">
        <f>IFERROR(INDEX(잔가map!$C$14:$AR$18,MATCH(차량DB!$AA$5,잔가map!$B$14:$B$18,0),MATCH(차량DB!Y237,잔가map!$C$13:$AR$13,0)),"")</f>
        <v/>
      </c>
      <c r="AB237" s="527" t="str">
        <f>IFERROR(INDEX(잔가map!$C$14:$AR$18,MATCH(차량DB!$AB$5,잔가map!$B$14:$B$18,0),MATCH(차량DB!Y237,잔가map!$C$13:$AR$13,0)),"")</f>
        <v/>
      </c>
      <c r="AC237" s="527" t="str">
        <f>IFERROR(INDEX(잔가map!$C$14:$AR$18,MATCH(차량DB!$AC$5,잔가map!$B$14:$B$18,0),MATCH(차량DB!Y237,잔가map!$C$13:$AR$13,0)),"")</f>
        <v/>
      </c>
      <c r="AD237" s="527" t="str">
        <f>IFERROR(INDEX(잔가map!$C$14:$AR$18,MATCH(차량DB!$AD$5,잔가map!$B$14:$B$18,0),MATCH(차량DB!Y237,잔가map!$C$13:$AR$13,0)),"")</f>
        <v/>
      </c>
      <c r="AE237" s="643"/>
      <c r="AF237" s="644"/>
      <c r="AG237" s="644"/>
      <c r="AH237" s="644"/>
      <c r="AI237" s="644"/>
      <c r="AJ237" s="644"/>
      <c r="AK237" s="547"/>
      <c r="AL237" s="576"/>
    </row>
    <row r="238" spans="5:38" x14ac:dyDescent="0.3">
      <c r="E238" s="293" t="s">
        <v>547</v>
      </c>
      <c r="F238" s="604" t="s">
        <v>486</v>
      </c>
      <c r="G238" s="294">
        <v>3855</v>
      </c>
      <c r="H238" s="295" t="s">
        <v>45</v>
      </c>
      <c r="I238" s="294">
        <v>299000000</v>
      </c>
      <c r="P238" s="295" t="s">
        <v>576</v>
      </c>
      <c r="R238" s="500">
        <v>0</v>
      </c>
      <c r="S238" s="639"/>
      <c r="T238" s="640"/>
      <c r="U238" s="640"/>
      <c r="V238" s="640"/>
      <c r="W238" s="640"/>
      <c r="X238" s="640"/>
      <c r="Y238" s="553"/>
      <c r="Z238" s="527" t="str">
        <f>IFERROR(INDEX(잔가map!$C$14:$AR$18,MATCH(차량DB!$Z$5,잔가map!$B$14:$B$18,0),MATCH(차량DB!Y238,잔가map!$C$13:$AR$13,0)),"")</f>
        <v/>
      </c>
      <c r="AA238" s="527" t="str">
        <f>IFERROR(INDEX(잔가map!$C$14:$AR$18,MATCH(차량DB!$AA$5,잔가map!$B$14:$B$18,0),MATCH(차량DB!Y238,잔가map!$C$13:$AR$13,0)),"")</f>
        <v/>
      </c>
      <c r="AB238" s="527" t="str">
        <f>IFERROR(INDEX(잔가map!$C$14:$AR$18,MATCH(차량DB!$AB$5,잔가map!$B$14:$B$18,0),MATCH(차량DB!Y238,잔가map!$C$13:$AR$13,0)),"")</f>
        <v/>
      </c>
      <c r="AC238" s="527" t="str">
        <f>IFERROR(INDEX(잔가map!$C$14:$AR$18,MATCH(차량DB!$AC$5,잔가map!$B$14:$B$18,0),MATCH(차량DB!Y238,잔가map!$C$13:$AR$13,0)),"")</f>
        <v/>
      </c>
      <c r="AD238" s="527" t="str">
        <f>IFERROR(INDEX(잔가map!$C$14:$AR$18,MATCH(차량DB!$AD$5,잔가map!$B$14:$B$18,0),MATCH(차량DB!Y238,잔가map!$C$13:$AR$13,0)),"")</f>
        <v/>
      </c>
      <c r="AE238" s="643"/>
      <c r="AF238" s="644"/>
      <c r="AG238" s="644"/>
      <c r="AH238" s="644"/>
      <c r="AI238" s="644"/>
      <c r="AJ238" s="644"/>
      <c r="AK238" s="547"/>
      <c r="AL238" s="576"/>
    </row>
    <row r="239" spans="5:38" x14ac:dyDescent="0.3">
      <c r="E239" s="293" t="s">
        <v>547</v>
      </c>
      <c r="F239" s="604" t="s">
        <v>487</v>
      </c>
      <c r="G239" s="294">
        <v>6496</v>
      </c>
      <c r="H239" s="295" t="s">
        <v>45</v>
      </c>
      <c r="I239" s="294">
        <v>471000000</v>
      </c>
      <c r="P239" s="295" t="s">
        <v>576</v>
      </c>
      <c r="R239" s="500">
        <v>0</v>
      </c>
      <c r="S239" s="639"/>
      <c r="T239" s="640"/>
      <c r="U239" s="640"/>
      <c r="V239" s="640"/>
      <c r="W239" s="640"/>
      <c r="X239" s="640"/>
      <c r="Y239" s="553"/>
      <c r="Z239" s="527" t="str">
        <f>IFERROR(INDEX(잔가map!$C$14:$AR$18,MATCH(차량DB!$Z$5,잔가map!$B$14:$B$18,0),MATCH(차량DB!Y239,잔가map!$C$13:$AR$13,0)),"")</f>
        <v/>
      </c>
      <c r="AA239" s="527" t="str">
        <f>IFERROR(INDEX(잔가map!$C$14:$AR$18,MATCH(차량DB!$AA$5,잔가map!$B$14:$B$18,0),MATCH(차량DB!Y239,잔가map!$C$13:$AR$13,0)),"")</f>
        <v/>
      </c>
      <c r="AB239" s="527" t="str">
        <f>IFERROR(INDEX(잔가map!$C$14:$AR$18,MATCH(차량DB!$AB$5,잔가map!$B$14:$B$18,0),MATCH(차량DB!Y239,잔가map!$C$13:$AR$13,0)),"")</f>
        <v/>
      </c>
      <c r="AC239" s="527" t="str">
        <f>IFERROR(INDEX(잔가map!$C$14:$AR$18,MATCH(차량DB!$AC$5,잔가map!$B$14:$B$18,0),MATCH(차량DB!Y239,잔가map!$C$13:$AR$13,0)),"")</f>
        <v/>
      </c>
      <c r="AD239" s="527" t="str">
        <f>IFERROR(INDEX(잔가map!$C$14:$AR$18,MATCH(차량DB!$AD$5,잔가map!$B$14:$B$18,0),MATCH(차량DB!Y239,잔가map!$C$13:$AR$13,0)),"")</f>
        <v/>
      </c>
      <c r="AE239" s="643"/>
      <c r="AF239" s="644"/>
      <c r="AG239" s="644"/>
      <c r="AH239" s="644"/>
      <c r="AI239" s="644"/>
      <c r="AJ239" s="644"/>
      <c r="AK239" s="547"/>
      <c r="AL239" s="576"/>
    </row>
    <row r="240" spans="5:38" x14ac:dyDescent="0.3">
      <c r="E240" s="293" t="s">
        <v>547</v>
      </c>
      <c r="F240" s="604" t="s">
        <v>488</v>
      </c>
      <c r="G240" s="294">
        <v>3902</v>
      </c>
      <c r="H240" s="295" t="s">
        <v>45</v>
      </c>
      <c r="I240" s="294">
        <v>360000000</v>
      </c>
      <c r="P240" s="295" t="s">
        <v>576</v>
      </c>
      <c r="R240" s="500">
        <v>0</v>
      </c>
      <c r="S240" s="639"/>
      <c r="T240" s="640"/>
      <c r="U240" s="640"/>
      <c r="V240" s="640"/>
      <c r="W240" s="640"/>
      <c r="X240" s="640"/>
      <c r="Y240" s="553"/>
      <c r="Z240" s="527" t="str">
        <f>IFERROR(INDEX(잔가map!$C$14:$AR$18,MATCH(차량DB!$Z$5,잔가map!$B$14:$B$18,0),MATCH(차량DB!Y240,잔가map!$C$13:$AR$13,0)),"")</f>
        <v/>
      </c>
      <c r="AA240" s="527" t="str">
        <f>IFERROR(INDEX(잔가map!$C$14:$AR$18,MATCH(차량DB!$AA$5,잔가map!$B$14:$B$18,0),MATCH(차량DB!Y240,잔가map!$C$13:$AR$13,0)),"")</f>
        <v/>
      </c>
      <c r="AB240" s="527" t="str">
        <f>IFERROR(INDEX(잔가map!$C$14:$AR$18,MATCH(차량DB!$AB$5,잔가map!$B$14:$B$18,0),MATCH(차량DB!Y240,잔가map!$C$13:$AR$13,0)),"")</f>
        <v/>
      </c>
      <c r="AC240" s="527" t="str">
        <f>IFERROR(INDEX(잔가map!$C$14:$AR$18,MATCH(차량DB!$AC$5,잔가map!$B$14:$B$18,0),MATCH(차량DB!Y240,잔가map!$C$13:$AR$13,0)),"")</f>
        <v/>
      </c>
      <c r="AD240" s="527" t="str">
        <f>IFERROR(INDEX(잔가map!$C$14:$AR$18,MATCH(차량DB!$AD$5,잔가map!$B$14:$B$18,0),MATCH(차량DB!Y240,잔가map!$C$13:$AR$13,0)),"")</f>
        <v/>
      </c>
      <c r="AE240" s="643"/>
      <c r="AF240" s="644"/>
      <c r="AG240" s="644"/>
      <c r="AH240" s="644"/>
      <c r="AI240" s="644"/>
      <c r="AJ240" s="644"/>
      <c r="AK240" s="547"/>
      <c r="AL240" s="576"/>
    </row>
    <row r="241" spans="5:38" x14ac:dyDescent="0.3">
      <c r="E241" s="293" t="s">
        <v>547</v>
      </c>
      <c r="F241" s="604" t="s">
        <v>847</v>
      </c>
      <c r="G241" s="294">
        <v>3855</v>
      </c>
      <c r="H241" s="295" t="s">
        <v>45</v>
      </c>
      <c r="I241" s="294">
        <v>369000000</v>
      </c>
      <c r="P241" s="295" t="s">
        <v>576</v>
      </c>
      <c r="R241" s="500"/>
      <c r="S241" s="639"/>
      <c r="T241" s="640"/>
      <c r="U241" s="640"/>
      <c r="V241" s="640"/>
      <c r="W241" s="640"/>
      <c r="X241" s="640"/>
      <c r="Y241" s="553"/>
      <c r="Z241" s="527" t="str">
        <f>IFERROR(INDEX(잔가map!$C$14:$AR$18,MATCH(차량DB!$Z$5,잔가map!$B$14:$B$18,0),MATCH(차량DB!Y241,잔가map!$C$13:$AR$13,0)),"")</f>
        <v/>
      </c>
      <c r="AA241" s="527" t="str">
        <f>IFERROR(INDEX(잔가map!$C$14:$AR$18,MATCH(차량DB!$AA$5,잔가map!$B$14:$B$18,0),MATCH(차량DB!Y241,잔가map!$C$13:$AR$13,0)),"")</f>
        <v/>
      </c>
      <c r="AB241" s="527" t="str">
        <f>IFERROR(INDEX(잔가map!$C$14:$AR$18,MATCH(차량DB!$AB$5,잔가map!$B$14:$B$18,0),MATCH(차량DB!Y241,잔가map!$C$13:$AR$13,0)),"")</f>
        <v/>
      </c>
      <c r="AC241" s="527" t="str">
        <f>IFERROR(INDEX(잔가map!$C$14:$AR$18,MATCH(차량DB!$AC$5,잔가map!$B$14:$B$18,0),MATCH(차량DB!Y241,잔가map!$C$13:$AR$13,0)),"")</f>
        <v/>
      </c>
      <c r="AD241" s="527" t="str">
        <f>IFERROR(INDEX(잔가map!$C$14:$AR$18,MATCH(차량DB!$AD$5,잔가map!$B$14:$B$18,0),MATCH(차량DB!Y241,잔가map!$C$13:$AR$13,0)),"")</f>
        <v/>
      </c>
      <c r="AE241" s="643"/>
      <c r="AF241" s="644"/>
      <c r="AG241" s="644"/>
      <c r="AH241" s="644"/>
      <c r="AI241" s="644"/>
      <c r="AJ241" s="644"/>
      <c r="AK241" s="547"/>
      <c r="AL241" s="576"/>
    </row>
    <row r="242" spans="5:38" x14ac:dyDescent="0.3">
      <c r="E242" s="293" t="s">
        <v>547</v>
      </c>
      <c r="F242" s="604" t="s">
        <v>848</v>
      </c>
      <c r="G242" s="294">
        <v>6262</v>
      </c>
      <c r="H242" s="295" t="s">
        <v>45</v>
      </c>
      <c r="I242" s="294">
        <v>450000000</v>
      </c>
      <c r="P242" s="295" t="s">
        <v>576</v>
      </c>
      <c r="R242" s="500"/>
      <c r="S242" s="639"/>
      <c r="T242" s="640"/>
      <c r="U242" s="640"/>
      <c r="V242" s="640"/>
      <c r="W242" s="640"/>
      <c r="X242" s="640"/>
      <c r="Y242" s="553"/>
      <c r="Z242" s="527" t="str">
        <f>IFERROR(INDEX(잔가map!$C$14:$AR$18,MATCH(차량DB!$Z$5,잔가map!$B$14:$B$18,0),MATCH(차량DB!Y242,잔가map!$C$13:$AR$13,0)),"")</f>
        <v/>
      </c>
      <c r="AA242" s="527" t="str">
        <f>IFERROR(INDEX(잔가map!$C$14:$AR$18,MATCH(차량DB!$AA$5,잔가map!$B$14:$B$18,0),MATCH(차량DB!Y242,잔가map!$C$13:$AR$13,0)),"")</f>
        <v/>
      </c>
      <c r="AB242" s="527" t="str">
        <f>IFERROR(INDEX(잔가map!$C$14:$AR$18,MATCH(차량DB!$AB$5,잔가map!$B$14:$B$18,0),MATCH(차량DB!Y242,잔가map!$C$13:$AR$13,0)),"")</f>
        <v/>
      </c>
      <c r="AC242" s="527" t="str">
        <f>IFERROR(INDEX(잔가map!$C$14:$AR$18,MATCH(차량DB!$AC$5,잔가map!$B$14:$B$18,0),MATCH(차량DB!Y242,잔가map!$C$13:$AR$13,0)),"")</f>
        <v/>
      </c>
      <c r="AD242" s="527" t="str">
        <f>IFERROR(INDEX(잔가map!$C$14:$AR$18,MATCH(차량DB!$AD$5,잔가map!$B$14:$B$18,0),MATCH(차량DB!Y242,잔가map!$C$13:$AR$13,0)),"")</f>
        <v/>
      </c>
      <c r="AE242" s="643"/>
      <c r="AF242" s="644"/>
      <c r="AG242" s="644"/>
      <c r="AH242" s="644"/>
      <c r="AI242" s="644"/>
      <c r="AJ242" s="644"/>
      <c r="AK242" s="547"/>
      <c r="AL242" s="576"/>
    </row>
    <row r="243" spans="5:38" x14ac:dyDescent="0.3">
      <c r="E243" s="293" t="s">
        <v>415</v>
      </c>
      <c r="F243" s="604" t="s">
        <v>849</v>
      </c>
      <c r="G243" s="294">
        <v>2261</v>
      </c>
      <c r="H243" s="295" t="s">
        <v>305</v>
      </c>
      <c r="I243" s="294">
        <v>61500000</v>
      </c>
      <c r="P243" s="295" t="s">
        <v>576</v>
      </c>
      <c r="R243" s="500">
        <v>0</v>
      </c>
      <c r="S243" s="639"/>
      <c r="T243" s="640"/>
      <c r="U243" s="640"/>
      <c r="V243" s="640"/>
      <c r="W243" s="640"/>
      <c r="X243" s="640"/>
      <c r="Y243" s="553" t="s">
        <v>365</v>
      </c>
      <c r="Z243" s="527">
        <f>IFERROR(INDEX(잔가map!$C$14:$AR$18,MATCH(차량DB!$Z$5,잔가map!$B$14:$B$18,0),MATCH(차량DB!Y243,잔가map!$C$13:$AR$13,0)),"")</f>
        <v>0.7</v>
      </c>
      <c r="AA243" s="527">
        <f>IFERROR(INDEX(잔가map!$C$14:$AR$18,MATCH(차량DB!$AA$5,잔가map!$B$14:$B$18,0),MATCH(차량DB!Y243,잔가map!$C$13:$AR$13,0)),"")</f>
        <v>0.62</v>
      </c>
      <c r="AB243" s="527">
        <f>IFERROR(INDEX(잔가map!$C$14:$AR$18,MATCH(차량DB!$AB$5,잔가map!$B$14:$B$18,0),MATCH(차량DB!Y243,잔가map!$C$13:$AR$13,0)),"")</f>
        <v>0.52999999999999992</v>
      </c>
      <c r="AC243" s="527">
        <f>IFERROR(INDEX(잔가map!$C$14:$AR$18,MATCH(차량DB!$AC$5,잔가map!$B$14:$B$18,0),MATCH(차량DB!Y243,잔가map!$C$13:$AR$13,0)),"")</f>
        <v>0.45</v>
      </c>
      <c r="AD243" s="527">
        <f>IFERROR(INDEX(잔가map!$C$14:$AR$18,MATCH(차량DB!$AD$5,잔가map!$B$14:$B$18,0),MATCH(차량DB!Y243,잔가map!$C$13:$AR$13,0)),"")</f>
        <v>0.39</v>
      </c>
      <c r="AE243" s="643"/>
      <c r="AF243" s="644"/>
      <c r="AG243" s="644"/>
      <c r="AH243" s="644"/>
      <c r="AI243" s="644"/>
      <c r="AJ243" s="644"/>
      <c r="AK243" s="547"/>
      <c r="AL243" s="576"/>
    </row>
    <row r="244" spans="5:38" x14ac:dyDescent="0.3">
      <c r="E244" s="293" t="s">
        <v>415</v>
      </c>
      <c r="F244" s="604" t="s">
        <v>850</v>
      </c>
      <c r="G244" s="294">
        <v>2956</v>
      </c>
      <c r="H244" s="295" t="s">
        <v>305</v>
      </c>
      <c r="I244" s="294">
        <v>69000000</v>
      </c>
      <c r="P244" s="295" t="s">
        <v>576</v>
      </c>
      <c r="R244" s="500">
        <v>0</v>
      </c>
      <c r="S244" s="639"/>
      <c r="T244" s="640"/>
      <c r="U244" s="640"/>
      <c r="V244" s="640"/>
      <c r="W244" s="640"/>
      <c r="X244" s="640"/>
      <c r="Y244" s="553" t="s">
        <v>365</v>
      </c>
      <c r="Z244" s="527">
        <f>IFERROR(INDEX(잔가map!$C$14:$AR$18,MATCH(차량DB!$Z$5,잔가map!$B$14:$B$18,0),MATCH(차량DB!Y244,잔가map!$C$13:$AR$13,0)),"")</f>
        <v>0.7</v>
      </c>
      <c r="AA244" s="527">
        <f>IFERROR(INDEX(잔가map!$C$14:$AR$18,MATCH(차량DB!$AA$5,잔가map!$B$14:$B$18,0),MATCH(차량DB!Y244,잔가map!$C$13:$AR$13,0)),"")</f>
        <v>0.62</v>
      </c>
      <c r="AB244" s="527">
        <f>IFERROR(INDEX(잔가map!$C$14:$AR$18,MATCH(차량DB!$AB$5,잔가map!$B$14:$B$18,0),MATCH(차량DB!Y244,잔가map!$C$13:$AR$13,0)),"")</f>
        <v>0.52999999999999992</v>
      </c>
      <c r="AC244" s="527">
        <f>IFERROR(INDEX(잔가map!$C$14:$AR$18,MATCH(차량DB!$AC$5,잔가map!$B$14:$B$18,0),MATCH(차량DB!Y244,잔가map!$C$13:$AR$13,0)),"")</f>
        <v>0.45</v>
      </c>
      <c r="AD244" s="527">
        <f>IFERROR(INDEX(잔가map!$C$14:$AR$18,MATCH(차량DB!$AD$5,잔가map!$B$14:$B$18,0),MATCH(차량DB!Y244,잔가map!$C$13:$AR$13,0)),"")</f>
        <v>0.39</v>
      </c>
      <c r="AE244" s="643"/>
      <c r="AF244" s="644"/>
      <c r="AG244" s="644"/>
      <c r="AH244" s="644"/>
      <c r="AI244" s="644"/>
      <c r="AJ244" s="644"/>
      <c r="AK244" s="547"/>
      <c r="AL244" s="576"/>
    </row>
    <row r="245" spans="5:38" x14ac:dyDescent="0.3">
      <c r="E245" s="293" t="s">
        <v>415</v>
      </c>
      <c r="F245" s="604" t="s">
        <v>851</v>
      </c>
      <c r="G245" s="294">
        <v>2956</v>
      </c>
      <c r="H245" s="295" t="s">
        <v>305</v>
      </c>
      <c r="I245" s="294">
        <v>67700000</v>
      </c>
      <c r="P245" s="295" t="s">
        <v>576</v>
      </c>
      <c r="R245" s="500">
        <v>0</v>
      </c>
      <c r="S245" s="639"/>
      <c r="T245" s="640"/>
      <c r="U245" s="640"/>
      <c r="V245" s="640"/>
      <c r="W245" s="640"/>
      <c r="X245" s="640"/>
      <c r="Y245" s="553" t="s">
        <v>366</v>
      </c>
      <c r="Z245" s="527">
        <f>IFERROR(INDEX(잔가map!$C$14:$AR$18,MATCH(차량DB!$Z$5,잔가map!$B$14:$B$18,0),MATCH(차량DB!Y245,잔가map!$C$13:$AR$13,0)),"")</f>
        <v>0.66999999999999993</v>
      </c>
      <c r="AA245" s="527">
        <f>IFERROR(INDEX(잔가map!$C$14:$AR$18,MATCH(차량DB!$AA$5,잔가map!$B$14:$B$18,0),MATCH(차량DB!Y245,잔가map!$C$13:$AR$13,0)),"")</f>
        <v>0.59</v>
      </c>
      <c r="AB245" s="527">
        <f>IFERROR(INDEX(잔가map!$C$14:$AR$18,MATCH(차량DB!$AB$5,잔가map!$B$14:$B$18,0),MATCH(차량DB!Y245,잔가map!$C$13:$AR$13,0)),"")</f>
        <v>0.49999999999999989</v>
      </c>
      <c r="AC245" s="527">
        <f>IFERROR(INDEX(잔가map!$C$14:$AR$18,MATCH(차량DB!$AC$5,잔가map!$B$14:$B$18,0),MATCH(차량DB!Y245,잔가map!$C$13:$AR$13,0)),"")</f>
        <v>0.42</v>
      </c>
      <c r="AD245" s="527">
        <f>IFERROR(INDEX(잔가map!$C$14:$AR$18,MATCH(차량DB!$AD$5,잔가map!$B$14:$B$18,0),MATCH(차량DB!Y245,잔가map!$C$13:$AR$13,0)),"")</f>
        <v>0.36</v>
      </c>
      <c r="AE245" s="643"/>
      <c r="AF245" s="644"/>
      <c r="AG245" s="644"/>
      <c r="AH245" s="644"/>
      <c r="AI245" s="644"/>
      <c r="AJ245" s="644"/>
      <c r="AK245" s="547"/>
      <c r="AL245" s="576"/>
    </row>
    <row r="246" spans="5:38" x14ac:dyDescent="0.3">
      <c r="E246" s="293" t="s">
        <v>415</v>
      </c>
      <c r="F246" s="604" t="s">
        <v>854</v>
      </c>
      <c r="G246" s="294">
        <v>2694</v>
      </c>
      <c r="H246" s="295" t="s">
        <v>58</v>
      </c>
      <c r="I246" s="294">
        <v>69000000</v>
      </c>
      <c r="P246" s="295" t="s">
        <v>576</v>
      </c>
      <c r="R246" s="500">
        <v>0</v>
      </c>
      <c r="S246" s="639"/>
      <c r="T246" s="640"/>
      <c r="U246" s="640"/>
      <c r="V246" s="640"/>
      <c r="W246" s="640"/>
      <c r="X246" s="640"/>
      <c r="Y246" s="553" t="s">
        <v>365</v>
      </c>
      <c r="Z246" s="527">
        <f>IFERROR(INDEX(잔가map!$C$14:$AR$18,MATCH(차량DB!$Z$5,잔가map!$B$14:$B$18,0),MATCH(차량DB!Y246,잔가map!$C$13:$AR$13,0)),"")</f>
        <v>0.7</v>
      </c>
      <c r="AA246" s="527">
        <f>IFERROR(INDEX(잔가map!$C$14:$AR$18,MATCH(차량DB!$AA$5,잔가map!$B$14:$B$18,0),MATCH(차량DB!Y246,잔가map!$C$13:$AR$13,0)),"")</f>
        <v>0.62</v>
      </c>
      <c r="AB246" s="527">
        <f>IFERROR(INDEX(잔가map!$C$14:$AR$18,MATCH(차량DB!$AB$5,잔가map!$B$14:$B$18,0),MATCH(차량DB!Y246,잔가map!$C$13:$AR$13,0)),"")</f>
        <v>0.52999999999999992</v>
      </c>
      <c r="AC246" s="527">
        <f>IFERROR(INDEX(잔가map!$C$14:$AR$18,MATCH(차량DB!$AC$5,잔가map!$B$14:$B$18,0),MATCH(차량DB!Y246,잔가map!$C$13:$AR$13,0)),"")</f>
        <v>0.45</v>
      </c>
      <c r="AD246" s="527">
        <f>IFERROR(INDEX(잔가map!$C$14:$AR$18,MATCH(차량DB!$AD$5,잔가map!$B$14:$B$18,0),MATCH(차량DB!Y246,잔가map!$C$13:$AR$13,0)),"")</f>
        <v>0.39</v>
      </c>
      <c r="AE246" s="643"/>
      <c r="AF246" s="644"/>
      <c r="AG246" s="644"/>
      <c r="AH246" s="644"/>
      <c r="AI246" s="644"/>
      <c r="AJ246" s="644"/>
      <c r="AK246" s="574"/>
      <c r="AL246" s="576"/>
    </row>
    <row r="247" spans="5:38" x14ac:dyDescent="0.3">
      <c r="E247" s="293" t="s">
        <v>415</v>
      </c>
      <c r="F247" s="605" t="s">
        <v>852</v>
      </c>
      <c r="G247" s="294">
        <v>3496</v>
      </c>
      <c r="H247" s="295" t="s">
        <v>305</v>
      </c>
      <c r="I247" s="294">
        <v>82100000</v>
      </c>
      <c r="P247" s="295" t="s">
        <v>576</v>
      </c>
      <c r="R247" s="500">
        <v>0</v>
      </c>
      <c r="S247" s="639"/>
      <c r="T247" s="640"/>
      <c r="U247" s="640"/>
      <c r="V247" s="640"/>
      <c r="W247" s="640"/>
      <c r="X247" s="640"/>
      <c r="Y247" s="553"/>
      <c r="Z247" s="527" t="str">
        <f>IFERROR(INDEX(잔가map!$C$14:$AR$18,MATCH(차량DB!$Z$5,잔가map!$B$14:$B$18,0),MATCH(차량DB!Y247,잔가map!$C$13:$AR$13,0)),"")</f>
        <v/>
      </c>
      <c r="AA247" s="527" t="str">
        <f>IFERROR(INDEX(잔가map!$C$14:$AR$18,MATCH(차량DB!$AA$5,잔가map!$B$14:$B$18,0),MATCH(차량DB!Y247,잔가map!$C$13:$AR$13,0)),"")</f>
        <v/>
      </c>
      <c r="AB247" s="527" t="str">
        <f>IFERROR(INDEX(잔가map!$C$14:$AR$18,MATCH(차량DB!$AB$5,잔가map!$B$14:$B$18,0),MATCH(차량DB!Y247,잔가map!$C$13:$AR$13,0)),"")</f>
        <v/>
      </c>
      <c r="AC247" s="527" t="str">
        <f>IFERROR(INDEX(잔가map!$C$14:$AR$18,MATCH(차량DB!$AC$5,잔가map!$B$14:$B$18,0),MATCH(차량DB!Y247,잔가map!$C$13:$AR$13,0)),"")</f>
        <v/>
      </c>
      <c r="AD247" s="527" t="str">
        <f>IFERROR(INDEX(잔가map!$C$14:$AR$18,MATCH(차량DB!$AD$5,잔가map!$B$14:$B$18,0),MATCH(차량DB!Y247,잔가map!$C$13:$AR$13,0)),"")</f>
        <v/>
      </c>
      <c r="AE247" s="643"/>
      <c r="AF247" s="644"/>
      <c r="AG247" s="644"/>
      <c r="AH247" s="644"/>
      <c r="AI247" s="644"/>
      <c r="AJ247" s="644"/>
      <c r="AK247" s="547"/>
      <c r="AL247" s="576"/>
    </row>
    <row r="248" spans="5:38" x14ac:dyDescent="0.3">
      <c r="E248" s="293" t="s">
        <v>415</v>
      </c>
      <c r="F248" s="605" t="s">
        <v>853</v>
      </c>
      <c r="G248" s="294">
        <v>3496</v>
      </c>
      <c r="H248" s="295" t="s">
        <v>305</v>
      </c>
      <c r="I248" s="294">
        <v>82100000</v>
      </c>
      <c r="P248" s="295" t="s">
        <v>576</v>
      </c>
      <c r="R248" s="500">
        <v>0</v>
      </c>
      <c r="S248" s="639"/>
      <c r="T248" s="640"/>
      <c r="U248" s="640"/>
      <c r="V248" s="640"/>
      <c r="W248" s="640"/>
      <c r="X248" s="640"/>
      <c r="Y248" s="553"/>
      <c r="Z248" s="527" t="str">
        <f>IFERROR(INDEX(잔가map!$C$14:$AR$18,MATCH(차량DB!$Z$5,잔가map!$B$14:$B$18,0),MATCH(차량DB!Y248,잔가map!$C$13:$AR$13,0)),"")</f>
        <v/>
      </c>
      <c r="AA248" s="527" t="str">
        <f>IFERROR(INDEX(잔가map!$C$14:$AR$18,MATCH(차량DB!$AA$5,잔가map!$B$14:$B$18,0),MATCH(차량DB!Y248,잔가map!$C$13:$AR$13,0)),"")</f>
        <v/>
      </c>
      <c r="AB248" s="527" t="str">
        <f>IFERROR(INDEX(잔가map!$C$14:$AR$18,MATCH(차량DB!$AB$5,잔가map!$B$14:$B$18,0),MATCH(차량DB!Y248,잔가map!$C$13:$AR$13,0)),"")</f>
        <v/>
      </c>
      <c r="AC248" s="527" t="str">
        <f>IFERROR(INDEX(잔가map!$C$14:$AR$18,MATCH(차량DB!$AC$5,잔가map!$B$14:$B$18,0),MATCH(차량DB!Y248,잔가map!$C$13:$AR$13,0)),"")</f>
        <v/>
      </c>
      <c r="AD248" s="527" t="str">
        <f>IFERROR(INDEX(잔가map!$C$14:$AR$18,MATCH(차량DB!$AD$5,잔가map!$B$14:$B$18,0),MATCH(차량DB!Y248,잔가map!$C$13:$AR$13,0)),"")</f>
        <v/>
      </c>
      <c r="AE248" s="643"/>
      <c r="AF248" s="644"/>
      <c r="AG248" s="644"/>
      <c r="AH248" s="644"/>
      <c r="AI248" s="644"/>
      <c r="AJ248" s="644"/>
      <c r="AK248" s="547"/>
      <c r="AL248" s="576"/>
    </row>
    <row r="249" spans="5:38" x14ac:dyDescent="0.3">
      <c r="E249" s="293" t="s">
        <v>415</v>
      </c>
      <c r="F249" s="605" t="s">
        <v>855</v>
      </c>
      <c r="G249" s="294">
        <v>2261</v>
      </c>
      <c r="H249" s="295" t="s">
        <v>45</v>
      </c>
      <c r="I249" s="294">
        <v>54900000</v>
      </c>
      <c r="P249" s="295" t="s">
        <v>576</v>
      </c>
      <c r="R249" s="500">
        <v>0</v>
      </c>
      <c r="S249" s="639"/>
      <c r="T249" s="640"/>
      <c r="U249" s="640"/>
      <c r="V249" s="640"/>
      <c r="W249" s="640"/>
      <c r="X249" s="640"/>
      <c r="Y249" s="553"/>
      <c r="Z249" s="527" t="str">
        <f>IFERROR(INDEX(잔가map!$C$14:$AR$18,MATCH(차량DB!$Z$5,잔가map!$B$14:$B$18,0),MATCH(차량DB!Y249,잔가map!$C$13:$AR$13,0)),"")</f>
        <v/>
      </c>
      <c r="AA249" s="527" t="str">
        <f>IFERROR(INDEX(잔가map!$C$14:$AR$18,MATCH(차량DB!$AA$5,잔가map!$B$14:$B$18,0),MATCH(차량DB!Y249,잔가map!$C$13:$AR$13,0)),"")</f>
        <v/>
      </c>
      <c r="AB249" s="527" t="str">
        <f>IFERROR(INDEX(잔가map!$C$14:$AR$18,MATCH(차량DB!$AB$5,잔가map!$B$14:$B$18,0),MATCH(차량DB!Y249,잔가map!$C$13:$AR$13,0)),"")</f>
        <v/>
      </c>
      <c r="AC249" s="527" t="str">
        <f>IFERROR(INDEX(잔가map!$C$14:$AR$18,MATCH(차량DB!$AC$5,잔가map!$B$14:$B$18,0),MATCH(차량DB!Y249,잔가map!$C$13:$AR$13,0)),"")</f>
        <v/>
      </c>
      <c r="AD249" s="527" t="str">
        <f>IFERROR(INDEX(잔가map!$C$14:$AR$18,MATCH(차량DB!$AD$5,잔가map!$B$14:$B$18,0),MATCH(차량DB!Y249,잔가map!$C$13:$AR$13,0)),"")</f>
        <v/>
      </c>
      <c r="AE249" s="643"/>
      <c r="AF249" s="644"/>
      <c r="AG249" s="644"/>
      <c r="AH249" s="644"/>
      <c r="AI249" s="644"/>
      <c r="AJ249" s="644"/>
      <c r="AK249" s="547"/>
      <c r="AL249" s="576"/>
    </row>
    <row r="250" spans="5:38" x14ac:dyDescent="0.3">
      <c r="E250" s="293" t="s">
        <v>415</v>
      </c>
      <c r="F250" s="605" t="s">
        <v>856</v>
      </c>
      <c r="G250" s="294">
        <v>2261</v>
      </c>
      <c r="H250" s="295" t="s">
        <v>45</v>
      </c>
      <c r="I250" s="294">
        <v>49100000</v>
      </c>
      <c r="P250" s="295" t="s">
        <v>576</v>
      </c>
      <c r="R250" s="500">
        <v>0</v>
      </c>
      <c r="S250" s="639"/>
      <c r="T250" s="640"/>
      <c r="U250" s="640"/>
      <c r="V250" s="640"/>
      <c r="W250" s="640"/>
      <c r="X250" s="640"/>
      <c r="Y250" s="553"/>
      <c r="Z250" s="527" t="str">
        <f>IFERROR(INDEX(잔가map!$C$14:$AR$18,MATCH(차량DB!$Z$5,잔가map!$B$14:$B$18,0),MATCH(차량DB!Y250,잔가map!$C$13:$AR$13,0)),"")</f>
        <v/>
      </c>
      <c r="AA250" s="527" t="str">
        <f>IFERROR(INDEX(잔가map!$C$14:$AR$18,MATCH(차량DB!$AA$5,잔가map!$B$14:$B$18,0),MATCH(차량DB!Y250,잔가map!$C$13:$AR$13,0)),"")</f>
        <v/>
      </c>
      <c r="AB250" s="527" t="str">
        <f>IFERROR(INDEX(잔가map!$C$14:$AR$18,MATCH(차량DB!$AB$5,잔가map!$B$14:$B$18,0),MATCH(차량DB!Y250,잔가map!$C$13:$AR$13,0)),"")</f>
        <v/>
      </c>
      <c r="AC250" s="527" t="str">
        <f>IFERROR(INDEX(잔가map!$C$14:$AR$18,MATCH(차량DB!$AC$5,잔가map!$B$14:$B$18,0),MATCH(차량DB!Y250,잔가map!$C$13:$AR$13,0)),"")</f>
        <v/>
      </c>
      <c r="AD250" s="527" t="str">
        <f>IFERROR(INDEX(잔가map!$C$14:$AR$18,MATCH(차량DB!$AD$5,잔가map!$B$14:$B$18,0),MATCH(차량DB!Y250,잔가map!$C$13:$AR$13,0)),"")</f>
        <v/>
      </c>
      <c r="AE250" s="643"/>
      <c r="AF250" s="644"/>
      <c r="AG250" s="644"/>
      <c r="AH250" s="644"/>
      <c r="AI250" s="644"/>
      <c r="AJ250" s="644"/>
      <c r="AK250" s="547"/>
      <c r="AL250" s="576"/>
    </row>
    <row r="251" spans="5:38" x14ac:dyDescent="0.3">
      <c r="E251" s="293" t="s">
        <v>415</v>
      </c>
      <c r="F251" s="605" t="s">
        <v>857</v>
      </c>
      <c r="G251" s="294">
        <v>5035</v>
      </c>
      <c r="H251" s="295" t="s">
        <v>45</v>
      </c>
      <c r="I251" s="294">
        <v>70600000</v>
      </c>
      <c r="P251" s="295" t="s">
        <v>576</v>
      </c>
      <c r="R251" s="500">
        <v>0</v>
      </c>
      <c r="S251" s="639"/>
      <c r="T251" s="640"/>
      <c r="U251" s="640"/>
      <c r="V251" s="640"/>
      <c r="W251" s="640"/>
      <c r="X251" s="640"/>
      <c r="Y251" s="553"/>
      <c r="Z251" s="527" t="str">
        <f>IFERROR(INDEX(잔가map!$C$14:$AR$18,MATCH(차량DB!$Z$5,잔가map!$B$14:$B$18,0),MATCH(차량DB!Y251,잔가map!$C$13:$AR$13,0)),"")</f>
        <v/>
      </c>
      <c r="AA251" s="527" t="str">
        <f>IFERROR(INDEX(잔가map!$C$14:$AR$18,MATCH(차량DB!$AA$5,잔가map!$B$14:$B$18,0),MATCH(차량DB!Y251,잔가map!$C$13:$AR$13,0)),"")</f>
        <v/>
      </c>
      <c r="AB251" s="527" t="str">
        <f>IFERROR(INDEX(잔가map!$C$14:$AR$18,MATCH(차량DB!$AB$5,잔가map!$B$14:$B$18,0),MATCH(차량DB!Y251,잔가map!$C$13:$AR$13,0)),"")</f>
        <v/>
      </c>
      <c r="AC251" s="527" t="str">
        <f>IFERROR(INDEX(잔가map!$C$14:$AR$18,MATCH(차량DB!$AC$5,잔가map!$B$14:$B$18,0),MATCH(차량DB!Y251,잔가map!$C$13:$AR$13,0)),"")</f>
        <v/>
      </c>
      <c r="AD251" s="527" t="str">
        <f>IFERROR(INDEX(잔가map!$C$14:$AR$18,MATCH(차량DB!$AD$5,잔가map!$B$14:$B$18,0),MATCH(차량DB!Y251,잔가map!$C$13:$AR$13,0)),"")</f>
        <v/>
      </c>
      <c r="AE251" s="643"/>
      <c r="AF251" s="644"/>
      <c r="AG251" s="644"/>
      <c r="AH251" s="644"/>
      <c r="AI251" s="644"/>
      <c r="AJ251" s="644"/>
      <c r="AK251" s="547"/>
      <c r="AL251" s="576"/>
    </row>
    <row r="252" spans="5:38" x14ac:dyDescent="0.3">
      <c r="E252" s="293" t="s">
        <v>415</v>
      </c>
      <c r="F252" s="605" t="s">
        <v>858</v>
      </c>
      <c r="G252" s="294">
        <v>5035</v>
      </c>
      <c r="H252" s="295" t="s">
        <v>45</v>
      </c>
      <c r="I252" s="294">
        <v>65600000</v>
      </c>
      <c r="P252" s="295" t="s">
        <v>576</v>
      </c>
      <c r="R252" s="500">
        <v>0</v>
      </c>
      <c r="S252" s="639"/>
      <c r="T252" s="640"/>
      <c r="U252" s="640"/>
      <c r="V252" s="640"/>
      <c r="W252" s="640"/>
      <c r="X252" s="640"/>
      <c r="Y252" s="553"/>
      <c r="Z252" s="527" t="str">
        <f>IFERROR(INDEX(잔가map!$C$14:$AR$18,MATCH(차량DB!$Z$5,잔가map!$B$14:$B$18,0),MATCH(차량DB!Y252,잔가map!$C$13:$AR$13,0)),"")</f>
        <v/>
      </c>
      <c r="AA252" s="527" t="str">
        <f>IFERROR(INDEX(잔가map!$C$14:$AR$18,MATCH(차량DB!$AA$5,잔가map!$B$14:$B$18,0),MATCH(차량DB!Y252,잔가map!$C$13:$AR$13,0)),"")</f>
        <v/>
      </c>
      <c r="AB252" s="527" t="str">
        <f>IFERROR(INDEX(잔가map!$C$14:$AR$18,MATCH(차량DB!$AB$5,잔가map!$B$14:$B$18,0),MATCH(차량DB!Y252,잔가map!$C$13:$AR$13,0)),"")</f>
        <v/>
      </c>
      <c r="AC252" s="527" t="str">
        <f>IFERROR(INDEX(잔가map!$C$14:$AR$18,MATCH(차량DB!$AC$5,잔가map!$B$14:$B$18,0),MATCH(차량DB!Y252,잔가map!$C$13:$AR$13,0)),"")</f>
        <v/>
      </c>
      <c r="AD252" s="527" t="str">
        <f>IFERROR(INDEX(잔가map!$C$14:$AR$18,MATCH(차량DB!$AD$5,잔가map!$B$14:$B$18,0),MATCH(차량DB!Y252,잔가map!$C$13:$AR$13,0)),"")</f>
        <v/>
      </c>
      <c r="AE252" s="643"/>
      <c r="AF252" s="644"/>
      <c r="AG252" s="644"/>
      <c r="AH252" s="644"/>
      <c r="AI252" s="644"/>
      <c r="AJ252" s="644"/>
      <c r="AK252" s="547"/>
      <c r="AL252" s="576"/>
    </row>
    <row r="253" spans="5:38" x14ac:dyDescent="0.3">
      <c r="E253" s="293" t="s">
        <v>416</v>
      </c>
      <c r="F253" s="605" t="s">
        <v>489</v>
      </c>
      <c r="G253" s="294">
        <v>1498</v>
      </c>
      <c r="H253" s="295" t="s">
        <v>45</v>
      </c>
      <c r="I253" s="294">
        <v>37400000</v>
      </c>
      <c r="P253" s="295" t="s">
        <v>576</v>
      </c>
      <c r="R253" s="500">
        <v>0</v>
      </c>
      <c r="S253" s="639"/>
      <c r="T253" s="640"/>
      <c r="U253" s="640"/>
      <c r="V253" s="640"/>
      <c r="W253" s="640"/>
      <c r="X253" s="640"/>
      <c r="Y253" s="553"/>
      <c r="Z253" s="527" t="str">
        <f>IFERROR(INDEX(잔가map!$C$14:$AR$18,MATCH(차량DB!$Z$5,잔가map!$B$14:$B$18,0),MATCH(차량DB!Y253,잔가map!$C$13:$AR$13,0)),"")</f>
        <v/>
      </c>
      <c r="AA253" s="527" t="str">
        <f>IFERROR(INDEX(잔가map!$C$14:$AR$18,MATCH(차량DB!$AA$5,잔가map!$B$14:$B$18,0),MATCH(차량DB!Y253,잔가map!$C$13:$AR$13,0)),"")</f>
        <v/>
      </c>
      <c r="AB253" s="527" t="str">
        <f>IFERROR(INDEX(잔가map!$C$14:$AR$18,MATCH(차량DB!$AB$5,잔가map!$B$14:$B$18,0),MATCH(차량DB!Y253,잔가map!$C$13:$AR$13,0)),"")</f>
        <v/>
      </c>
      <c r="AC253" s="527" t="str">
        <f>IFERROR(INDEX(잔가map!$C$14:$AR$18,MATCH(차량DB!$AC$5,잔가map!$B$14:$B$18,0),MATCH(차량DB!Y253,잔가map!$C$13:$AR$13,0)),"")</f>
        <v/>
      </c>
      <c r="AD253" s="527" t="str">
        <f>IFERROR(INDEX(잔가map!$C$14:$AR$18,MATCH(차량DB!$AD$5,잔가map!$B$14:$B$18,0),MATCH(차량DB!Y253,잔가map!$C$13:$AR$13,0)),"")</f>
        <v/>
      </c>
      <c r="AE253" s="643"/>
      <c r="AF253" s="644"/>
      <c r="AG253" s="644"/>
      <c r="AH253" s="644"/>
      <c r="AI253" s="644"/>
      <c r="AJ253" s="644"/>
      <c r="AK253" s="547"/>
      <c r="AL253" s="576"/>
    </row>
    <row r="254" spans="5:38" x14ac:dyDescent="0.3">
      <c r="E254" s="293" t="s">
        <v>416</v>
      </c>
      <c r="F254" s="605" t="s">
        <v>671</v>
      </c>
      <c r="G254" s="294">
        <v>1993</v>
      </c>
      <c r="H254" s="295" t="s">
        <v>45</v>
      </c>
      <c r="I254" s="294">
        <v>45700000</v>
      </c>
      <c r="P254" s="295" t="s">
        <v>576</v>
      </c>
      <c r="R254" s="500">
        <v>0</v>
      </c>
      <c r="S254" s="639"/>
      <c r="T254" s="640"/>
      <c r="U254" s="640"/>
      <c r="V254" s="640"/>
      <c r="W254" s="640"/>
      <c r="X254" s="640"/>
      <c r="Y254" s="553"/>
      <c r="Z254" s="527" t="str">
        <f>IFERROR(INDEX(잔가map!$C$14:$AR$18,MATCH(차량DB!$Z$5,잔가map!$B$14:$B$18,0),MATCH(차량DB!Y254,잔가map!$C$13:$AR$13,0)),"")</f>
        <v/>
      </c>
      <c r="AA254" s="527" t="str">
        <f>IFERROR(INDEX(잔가map!$C$14:$AR$18,MATCH(차량DB!$AA$5,잔가map!$B$14:$B$18,0),MATCH(차량DB!Y254,잔가map!$C$13:$AR$13,0)),"")</f>
        <v/>
      </c>
      <c r="AB254" s="527" t="str">
        <f>IFERROR(INDEX(잔가map!$C$14:$AR$18,MATCH(차량DB!$AB$5,잔가map!$B$14:$B$18,0),MATCH(차량DB!Y254,잔가map!$C$13:$AR$13,0)),"")</f>
        <v/>
      </c>
      <c r="AC254" s="527" t="str">
        <f>IFERROR(INDEX(잔가map!$C$14:$AR$18,MATCH(차량DB!$AC$5,잔가map!$B$14:$B$18,0),MATCH(차량DB!Y254,잔가map!$C$13:$AR$13,0)),"")</f>
        <v/>
      </c>
      <c r="AD254" s="527" t="str">
        <f>IFERROR(INDEX(잔가map!$C$14:$AR$18,MATCH(차량DB!$AD$5,잔가map!$B$14:$B$18,0),MATCH(차량DB!Y254,잔가map!$C$13:$AR$13,0)),"")</f>
        <v/>
      </c>
      <c r="AE254" s="643"/>
      <c r="AF254" s="644"/>
      <c r="AG254" s="644"/>
      <c r="AH254" s="644"/>
      <c r="AI254" s="644"/>
      <c r="AJ254" s="644"/>
      <c r="AK254" s="547"/>
      <c r="AL254" s="576"/>
    </row>
    <row r="255" spans="5:38" x14ac:dyDescent="0.3">
      <c r="E255" s="293" t="s">
        <v>416</v>
      </c>
      <c r="F255" s="605" t="s">
        <v>490</v>
      </c>
      <c r="G255" s="294">
        <v>1498</v>
      </c>
      <c r="H255" s="295" t="s">
        <v>45</v>
      </c>
      <c r="I255" s="294">
        <v>32900000</v>
      </c>
      <c r="P255" s="295" t="s">
        <v>576</v>
      </c>
      <c r="R255" s="500">
        <v>0</v>
      </c>
      <c r="S255" s="639"/>
      <c r="T255" s="640"/>
      <c r="U255" s="640"/>
      <c r="V255" s="640"/>
      <c r="W255" s="640"/>
      <c r="X255" s="640"/>
      <c r="Y255" s="553"/>
      <c r="Z255" s="527" t="str">
        <f>IFERROR(INDEX(잔가map!$C$14:$AR$18,MATCH(차량DB!$Z$5,잔가map!$B$14:$B$18,0),MATCH(차량DB!Y255,잔가map!$C$13:$AR$13,0)),"")</f>
        <v/>
      </c>
      <c r="AA255" s="527" t="str">
        <f>IFERROR(INDEX(잔가map!$C$14:$AR$18,MATCH(차량DB!$AA$5,잔가map!$B$14:$B$18,0),MATCH(차량DB!Y255,잔가map!$C$13:$AR$13,0)),"")</f>
        <v/>
      </c>
      <c r="AB255" s="527" t="str">
        <f>IFERROR(INDEX(잔가map!$C$14:$AR$18,MATCH(차량DB!$AB$5,잔가map!$B$14:$B$18,0),MATCH(차량DB!Y255,잔가map!$C$13:$AR$13,0)),"")</f>
        <v/>
      </c>
      <c r="AC255" s="527" t="str">
        <f>IFERROR(INDEX(잔가map!$C$14:$AR$18,MATCH(차량DB!$AC$5,잔가map!$B$14:$B$18,0),MATCH(차량DB!Y255,잔가map!$C$13:$AR$13,0)),"")</f>
        <v/>
      </c>
      <c r="AD255" s="527" t="str">
        <f>IFERROR(INDEX(잔가map!$C$14:$AR$18,MATCH(차량DB!$AD$5,잔가map!$B$14:$B$18,0),MATCH(차량DB!Y255,잔가map!$C$13:$AR$13,0)),"")</f>
        <v/>
      </c>
      <c r="AE255" s="643"/>
      <c r="AF255" s="644"/>
      <c r="AG255" s="644"/>
      <c r="AH255" s="644"/>
      <c r="AI255" s="644"/>
      <c r="AJ255" s="644"/>
      <c r="AK255" s="547"/>
      <c r="AL255" s="576"/>
    </row>
    <row r="256" spans="5:38" x14ac:dyDescent="0.3">
      <c r="E256" s="293" t="s">
        <v>416</v>
      </c>
      <c r="F256" s="605" t="s">
        <v>862</v>
      </c>
      <c r="G256" s="294">
        <v>1498</v>
      </c>
      <c r="H256" s="295" t="s">
        <v>58</v>
      </c>
      <c r="I256" s="294">
        <v>38500000</v>
      </c>
      <c r="P256" s="295" t="s">
        <v>576</v>
      </c>
      <c r="R256" s="500">
        <v>0</v>
      </c>
      <c r="S256" s="639"/>
      <c r="T256" s="640"/>
      <c r="U256" s="640"/>
      <c r="V256" s="640"/>
      <c r="W256" s="640"/>
      <c r="X256" s="640"/>
      <c r="Y256" s="553"/>
      <c r="Z256" s="527" t="str">
        <f>IFERROR(INDEX(잔가map!$C$14:$AR$18,MATCH(차량DB!$Z$5,잔가map!$B$14:$B$18,0),MATCH(차량DB!Y256,잔가map!$C$13:$AR$13,0)),"")</f>
        <v/>
      </c>
      <c r="AA256" s="527" t="str">
        <f>IFERROR(INDEX(잔가map!$C$14:$AR$18,MATCH(차량DB!$AA$5,잔가map!$B$14:$B$18,0),MATCH(차량DB!Y256,잔가map!$C$13:$AR$13,0)),"")</f>
        <v/>
      </c>
      <c r="AB256" s="527" t="str">
        <f>IFERROR(INDEX(잔가map!$C$14:$AR$18,MATCH(차량DB!$AB$5,잔가map!$B$14:$B$18,0),MATCH(차량DB!Y256,잔가map!$C$13:$AR$13,0)),"")</f>
        <v/>
      </c>
      <c r="AC256" s="527" t="str">
        <f>IFERROR(INDEX(잔가map!$C$14:$AR$18,MATCH(차량DB!$AC$5,잔가map!$B$14:$B$18,0),MATCH(차량DB!Y256,잔가map!$C$13:$AR$13,0)),"")</f>
        <v/>
      </c>
      <c r="AD256" s="527" t="str">
        <f>IFERROR(INDEX(잔가map!$C$14:$AR$18,MATCH(차량DB!$AD$5,잔가map!$B$14:$B$18,0),MATCH(차량DB!Y256,잔가map!$C$13:$AR$13,0)),"")</f>
        <v/>
      </c>
      <c r="AE256" s="643"/>
      <c r="AF256" s="644"/>
      <c r="AG256" s="644"/>
      <c r="AH256" s="644"/>
      <c r="AI256" s="644"/>
      <c r="AJ256" s="644"/>
      <c r="AK256" s="547"/>
      <c r="AL256" s="576"/>
    </row>
    <row r="257" spans="1:38" s="494" customFormat="1" x14ac:dyDescent="0.3">
      <c r="A257" s="295"/>
      <c r="B257" s="295"/>
      <c r="C257" s="295"/>
      <c r="D257" s="295"/>
      <c r="E257" s="293" t="s">
        <v>416</v>
      </c>
      <c r="F257" s="605" t="s">
        <v>863</v>
      </c>
      <c r="G257" s="294">
        <v>1993</v>
      </c>
      <c r="H257" s="295" t="s">
        <v>58</v>
      </c>
      <c r="I257" s="294">
        <v>45100000</v>
      </c>
      <c r="J257" s="487"/>
      <c r="K257" s="487"/>
      <c r="L257" s="487"/>
      <c r="M257" s="487"/>
      <c r="N257" s="487"/>
      <c r="O257" s="294"/>
      <c r="P257" s="295" t="s">
        <v>576</v>
      </c>
      <c r="Q257" s="295"/>
      <c r="R257" s="500">
        <v>0</v>
      </c>
      <c r="S257" s="639"/>
      <c r="T257" s="640"/>
      <c r="U257" s="640"/>
      <c r="V257" s="640"/>
      <c r="W257" s="640"/>
      <c r="X257" s="640"/>
      <c r="Y257" s="553"/>
      <c r="Z257" s="527" t="str">
        <f>IFERROR(INDEX(잔가map!$C$14:$AR$18,MATCH(차량DB!$Z$5,잔가map!$B$14:$B$18,0),MATCH(차량DB!Y257,잔가map!$C$13:$AR$13,0)),"")</f>
        <v/>
      </c>
      <c r="AA257" s="527" t="str">
        <f>IFERROR(INDEX(잔가map!$C$14:$AR$18,MATCH(차량DB!$AA$5,잔가map!$B$14:$B$18,0),MATCH(차량DB!Y257,잔가map!$C$13:$AR$13,0)),"")</f>
        <v/>
      </c>
      <c r="AB257" s="527" t="str">
        <f>IFERROR(INDEX(잔가map!$C$14:$AR$18,MATCH(차량DB!$AB$5,잔가map!$B$14:$B$18,0),MATCH(차량DB!Y257,잔가map!$C$13:$AR$13,0)),"")</f>
        <v/>
      </c>
      <c r="AC257" s="527" t="str">
        <f>IFERROR(INDEX(잔가map!$C$14:$AR$18,MATCH(차량DB!$AC$5,잔가map!$B$14:$B$18,0),MATCH(차량DB!Y257,잔가map!$C$13:$AR$13,0)),"")</f>
        <v/>
      </c>
      <c r="AD257" s="527" t="str">
        <f>IFERROR(INDEX(잔가map!$C$14:$AR$18,MATCH(차량DB!$AD$5,잔가map!$B$14:$B$18,0),MATCH(차량DB!Y257,잔가map!$C$13:$AR$13,0)),"")</f>
        <v/>
      </c>
      <c r="AE257" s="643"/>
      <c r="AF257" s="644"/>
      <c r="AG257" s="644"/>
      <c r="AH257" s="644"/>
      <c r="AI257" s="644"/>
      <c r="AJ257" s="644"/>
      <c r="AK257" s="547"/>
      <c r="AL257" s="576"/>
    </row>
    <row r="258" spans="1:38" s="494" customFormat="1" x14ac:dyDescent="0.3">
      <c r="A258" s="295"/>
      <c r="B258" s="295"/>
      <c r="C258" s="295"/>
      <c r="D258" s="295"/>
      <c r="E258" s="293" t="s">
        <v>416</v>
      </c>
      <c r="F258" s="605" t="s">
        <v>864</v>
      </c>
      <c r="G258" s="294">
        <v>1993</v>
      </c>
      <c r="H258" s="295" t="s">
        <v>58</v>
      </c>
      <c r="I258" s="294">
        <v>47700000</v>
      </c>
      <c r="J258" s="487"/>
      <c r="K258" s="487"/>
      <c r="L258" s="487"/>
      <c r="M258" s="487"/>
      <c r="N258" s="487"/>
      <c r="O258" s="294"/>
      <c r="P258" s="295" t="s">
        <v>576</v>
      </c>
      <c r="Q258" s="295"/>
      <c r="R258" s="500">
        <v>0</v>
      </c>
      <c r="S258" s="639"/>
      <c r="T258" s="640"/>
      <c r="U258" s="640"/>
      <c r="V258" s="640"/>
      <c r="W258" s="640"/>
      <c r="X258" s="640"/>
      <c r="Y258" s="553"/>
      <c r="Z258" s="527" t="str">
        <f>IFERROR(INDEX(잔가map!$C$14:$AR$18,MATCH(차량DB!$Z$5,잔가map!$B$14:$B$18,0),MATCH(차량DB!Y258,잔가map!$C$13:$AR$13,0)),"")</f>
        <v/>
      </c>
      <c r="AA258" s="527" t="str">
        <f>IFERROR(INDEX(잔가map!$C$14:$AR$18,MATCH(차량DB!$AA$5,잔가map!$B$14:$B$18,0),MATCH(차량DB!Y258,잔가map!$C$13:$AR$13,0)),"")</f>
        <v/>
      </c>
      <c r="AB258" s="527" t="str">
        <f>IFERROR(INDEX(잔가map!$C$14:$AR$18,MATCH(차량DB!$AB$5,잔가map!$B$14:$B$18,0),MATCH(차량DB!Y258,잔가map!$C$13:$AR$13,0)),"")</f>
        <v/>
      </c>
      <c r="AC258" s="527" t="str">
        <f>IFERROR(INDEX(잔가map!$C$14:$AR$18,MATCH(차량DB!$AC$5,잔가map!$B$14:$B$18,0),MATCH(차량DB!Y258,잔가map!$C$13:$AR$13,0)),"")</f>
        <v/>
      </c>
      <c r="AD258" s="527" t="str">
        <f>IFERROR(INDEX(잔가map!$C$14:$AR$18,MATCH(차량DB!$AD$5,잔가map!$B$14:$B$18,0),MATCH(차량DB!Y258,잔가map!$C$13:$AR$13,0)),"")</f>
        <v/>
      </c>
      <c r="AE258" s="643"/>
      <c r="AF258" s="644"/>
      <c r="AG258" s="644"/>
      <c r="AH258" s="644"/>
      <c r="AI258" s="644"/>
      <c r="AJ258" s="644"/>
      <c r="AK258" s="547"/>
      <c r="AL258" s="576"/>
    </row>
    <row r="259" spans="1:38" ht="16.899999999999999" customHeight="1" x14ac:dyDescent="0.3">
      <c r="E259" s="293" t="s">
        <v>416</v>
      </c>
      <c r="F259" s="605" t="s">
        <v>865</v>
      </c>
      <c r="G259" s="294">
        <v>3471</v>
      </c>
      <c r="H259" s="295" t="s">
        <v>305</v>
      </c>
      <c r="I259" s="294">
        <v>57900000</v>
      </c>
      <c r="P259" s="295" t="s">
        <v>576</v>
      </c>
      <c r="R259" s="500">
        <v>0</v>
      </c>
      <c r="S259" s="639"/>
      <c r="T259" s="640"/>
      <c r="U259" s="640"/>
      <c r="V259" s="640"/>
      <c r="W259" s="640"/>
      <c r="X259" s="640"/>
      <c r="Y259" s="553"/>
      <c r="Z259" s="527" t="str">
        <f>IFERROR(INDEX(잔가map!$C$14:$AR$18,MATCH(차량DB!$Z$5,잔가map!$B$14:$B$18,0),MATCH(차량DB!Y259,잔가map!$C$13:$AR$13,0)),"")</f>
        <v/>
      </c>
      <c r="AA259" s="527" t="str">
        <f>IFERROR(INDEX(잔가map!$C$14:$AR$18,MATCH(차량DB!$AA$5,잔가map!$B$14:$B$18,0),MATCH(차량DB!Y259,잔가map!$C$13:$AR$13,0)),"")</f>
        <v/>
      </c>
      <c r="AB259" s="527" t="str">
        <f>IFERROR(INDEX(잔가map!$C$14:$AR$18,MATCH(차량DB!$AB$5,잔가map!$B$14:$B$18,0),MATCH(차량DB!Y259,잔가map!$C$13:$AR$13,0)),"")</f>
        <v/>
      </c>
      <c r="AC259" s="527" t="str">
        <f>IFERROR(INDEX(잔가map!$C$14:$AR$18,MATCH(차량DB!$AC$5,잔가map!$B$14:$B$18,0),MATCH(차량DB!Y259,잔가map!$C$13:$AR$13,0)),"")</f>
        <v/>
      </c>
      <c r="AD259" s="527" t="str">
        <f>IFERROR(INDEX(잔가map!$C$14:$AR$18,MATCH(차량DB!$AD$5,잔가map!$B$14:$B$18,0),MATCH(차량DB!Y259,잔가map!$C$13:$AR$13,0)),"")</f>
        <v/>
      </c>
      <c r="AE259" s="643"/>
      <c r="AF259" s="644"/>
      <c r="AG259" s="644"/>
      <c r="AH259" s="644"/>
      <c r="AI259" s="644"/>
      <c r="AJ259" s="644"/>
      <c r="AK259" s="547"/>
      <c r="AL259" s="576"/>
    </row>
    <row r="260" spans="1:38" x14ac:dyDescent="0.3">
      <c r="E260" s="293" t="s">
        <v>416</v>
      </c>
      <c r="F260" s="605" t="s">
        <v>866</v>
      </c>
      <c r="G260" s="294">
        <v>3471</v>
      </c>
      <c r="H260" s="295" t="s">
        <v>305</v>
      </c>
      <c r="I260" s="294">
        <v>59500000</v>
      </c>
      <c r="P260" s="295" t="s">
        <v>576</v>
      </c>
      <c r="R260" s="500">
        <v>0</v>
      </c>
      <c r="S260" s="639"/>
      <c r="T260" s="640"/>
      <c r="U260" s="640"/>
      <c r="V260" s="640"/>
      <c r="W260" s="640"/>
      <c r="X260" s="640"/>
      <c r="Y260" s="553"/>
      <c r="Z260" s="527" t="str">
        <f>IFERROR(INDEX(잔가map!$C$14:$AR$18,MATCH(차량DB!$Z$5,잔가map!$B$14:$B$18,0),MATCH(차량DB!Y260,잔가map!$C$13:$AR$13,0)),"")</f>
        <v/>
      </c>
      <c r="AA260" s="527" t="str">
        <f>IFERROR(INDEX(잔가map!$C$14:$AR$18,MATCH(차량DB!$AA$5,잔가map!$B$14:$B$18,0),MATCH(차량DB!Y260,잔가map!$C$13:$AR$13,0)),"")</f>
        <v/>
      </c>
      <c r="AB260" s="527" t="str">
        <f>IFERROR(INDEX(잔가map!$C$14:$AR$18,MATCH(차량DB!$AB$5,잔가map!$B$14:$B$18,0),MATCH(차량DB!Y260,잔가map!$C$13:$AR$13,0)),"")</f>
        <v/>
      </c>
      <c r="AC260" s="527" t="str">
        <f>IFERROR(INDEX(잔가map!$C$14:$AR$18,MATCH(차량DB!$AC$5,잔가map!$B$14:$B$18,0),MATCH(차량DB!Y260,잔가map!$C$13:$AR$13,0)),"")</f>
        <v/>
      </c>
      <c r="AD260" s="527" t="str">
        <f>IFERROR(INDEX(잔가map!$C$14:$AR$18,MATCH(차량DB!$AD$5,잔가map!$B$14:$B$18,0),MATCH(차량DB!Y260,잔가map!$C$13:$AR$13,0)),"")</f>
        <v/>
      </c>
      <c r="AE260" s="643"/>
      <c r="AF260" s="644"/>
      <c r="AG260" s="644"/>
      <c r="AH260" s="644"/>
      <c r="AI260" s="644"/>
      <c r="AJ260" s="644"/>
      <c r="AK260" s="547"/>
      <c r="AL260" s="576"/>
    </row>
    <row r="261" spans="1:38" x14ac:dyDescent="0.3">
      <c r="E261" s="293" t="s">
        <v>548</v>
      </c>
      <c r="F261" s="605" t="s">
        <v>869</v>
      </c>
      <c r="G261" s="294">
        <v>1997</v>
      </c>
      <c r="H261" s="295" t="s">
        <v>45</v>
      </c>
      <c r="I261" s="294">
        <v>108510000</v>
      </c>
      <c r="P261" s="295" t="s">
        <v>576</v>
      </c>
      <c r="R261" s="500">
        <v>0</v>
      </c>
      <c r="S261" s="639"/>
      <c r="T261" s="640"/>
      <c r="U261" s="640"/>
      <c r="V261" s="640"/>
      <c r="W261" s="640"/>
      <c r="X261" s="640"/>
      <c r="Y261" s="553"/>
      <c r="Z261" s="527" t="str">
        <f>IFERROR(INDEX(잔가map!$C$14:$AR$18,MATCH(차량DB!$Z$5,잔가map!$B$14:$B$18,0),MATCH(차량DB!Y261,잔가map!$C$13:$AR$13,0)),"")</f>
        <v/>
      </c>
      <c r="AA261" s="527" t="str">
        <f>IFERROR(INDEX(잔가map!$C$14:$AR$18,MATCH(차량DB!$AA$5,잔가map!$B$14:$B$18,0),MATCH(차량DB!Y261,잔가map!$C$13:$AR$13,0)),"")</f>
        <v/>
      </c>
      <c r="AB261" s="527" t="str">
        <f>IFERROR(INDEX(잔가map!$C$14:$AR$18,MATCH(차량DB!$AB$5,잔가map!$B$14:$B$18,0),MATCH(차량DB!Y261,잔가map!$C$13:$AR$13,0)),"")</f>
        <v/>
      </c>
      <c r="AC261" s="527" t="str">
        <f>IFERROR(INDEX(잔가map!$C$14:$AR$18,MATCH(차량DB!$AC$5,잔가map!$B$14:$B$18,0),MATCH(차량DB!Y261,잔가map!$C$13:$AR$13,0)),"")</f>
        <v/>
      </c>
      <c r="AD261" s="527" t="str">
        <f>IFERROR(INDEX(잔가map!$C$14:$AR$18,MATCH(차량DB!$AD$5,잔가map!$B$14:$B$18,0),MATCH(차량DB!Y261,잔가map!$C$13:$AR$13,0)),"")</f>
        <v/>
      </c>
      <c r="AE261" s="643"/>
      <c r="AF261" s="644"/>
      <c r="AG261" s="644"/>
      <c r="AH261" s="644"/>
      <c r="AI261" s="644"/>
      <c r="AJ261" s="644"/>
      <c r="AK261" s="547"/>
      <c r="AL261" s="576"/>
    </row>
    <row r="262" spans="1:38" x14ac:dyDescent="0.3">
      <c r="E262" s="293" t="s">
        <v>548</v>
      </c>
      <c r="F262" s="605" t="s">
        <v>870</v>
      </c>
      <c r="G262" s="294">
        <v>2995</v>
      </c>
      <c r="H262" s="295" t="s">
        <v>45</v>
      </c>
      <c r="I262" s="294">
        <v>103510000</v>
      </c>
      <c r="P262" s="295" t="s">
        <v>576</v>
      </c>
      <c r="R262" s="500">
        <v>0</v>
      </c>
      <c r="S262" s="639"/>
      <c r="T262" s="640"/>
      <c r="U262" s="640"/>
      <c r="V262" s="640"/>
      <c r="W262" s="640"/>
      <c r="X262" s="640"/>
      <c r="Y262" s="553"/>
      <c r="Z262" s="527" t="str">
        <f>IFERROR(INDEX(잔가map!$C$14:$AR$18,MATCH(차량DB!$Z$5,잔가map!$B$14:$B$18,0),MATCH(차량DB!Y262,잔가map!$C$13:$AR$13,0)),"")</f>
        <v/>
      </c>
      <c r="AA262" s="527" t="str">
        <f>IFERROR(INDEX(잔가map!$C$14:$AR$18,MATCH(차량DB!$AA$5,잔가map!$B$14:$B$18,0),MATCH(차량DB!Y262,잔가map!$C$13:$AR$13,0)),"")</f>
        <v/>
      </c>
      <c r="AB262" s="527" t="str">
        <f>IFERROR(INDEX(잔가map!$C$14:$AR$18,MATCH(차량DB!$AB$5,잔가map!$B$14:$B$18,0),MATCH(차량DB!Y262,잔가map!$C$13:$AR$13,0)),"")</f>
        <v/>
      </c>
      <c r="AC262" s="527" t="str">
        <f>IFERROR(INDEX(잔가map!$C$14:$AR$18,MATCH(차량DB!$AC$5,잔가map!$B$14:$B$18,0),MATCH(차량DB!Y262,잔가map!$C$13:$AR$13,0)),"")</f>
        <v/>
      </c>
      <c r="AD262" s="527" t="str">
        <f>IFERROR(INDEX(잔가map!$C$14:$AR$18,MATCH(차량DB!$AD$5,잔가map!$B$14:$B$18,0),MATCH(차량DB!Y262,잔가map!$C$13:$AR$13,0)),"")</f>
        <v/>
      </c>
      <c r="AE262" s="643"/>
      <c r="AF262" s="644"/>
      <c r="AG262" s="644"/>
      <c r="AH262" s="644"/>
      <c r="AI262" s="644"/>
      <c r="AJ262" s="644"/>
      <c r="AK262" s="547"/>
      <c r="AL262" s="576"/>
    </row>
    <row r="263" spans="1:38" x14ac:dyDescent="0.3">
      <c r="E263" s="293" t="s">
        <v>548</v>
      </c>
      <c r="F263" s="605" t="s">
        <v>867</v>
      </c>
      <c r="G263" s="294">
        <v>1997</v>
      </c>
      <c r="H263" s="295" t="s">
        <v>45</v>
      </c>
      <c r="I263" s="294">
        <v>68100000</v>
      </c>
      <c r="P263" s="295" t="s">
        <v>576</v>
      </c>
      <c r="R263" s="500"/>
      <c r="S263" s="639"/>
      <c r="T263" s="640"/>
      <c r="U263" s="640"/>
      <c r="V263" s="640"/>
      <c r="W263" s="640"/>
      <c r="X263" s="640"/>
      <c r="Y263" s="553"/>
      <c r="Z263" s="527" t="str">
        <f>IFERROR(INDEX(잔가map!$C$14:$AR$18,MATCH(차량DB!$Z$5,잔가map!$B$14:$B$18,0),MATCH(차량DB!Y263,잔가map!$C$13:$AR$13,0)),"")</f>
        <v/>
      </c>
      <c r="AA263" s="527" t="str">
        <f>IFERROR(INDEX(잔가map!$C$14:$AR$18,MATCH(차량DB!$AA$5,잔가map!$B$14:$B$18,0),MATCH(차량DB!Y263,잔가map!$C$13:$AR$13,0)),"")</f>
        <v/>
      </c>
      <c r="AB263" s="527" t="str">
        <f>IFERROR(INDEX(잔가map!$C$14:$AR$18,MATCH(차량DB!$AB$5,잔가map!$B$14:$B$18,0),MATCH(차량DB!Y263,잔가map!$C$13:$AR$13,0)),"")</f>
        <v/>
      </c>
      <c r="AC263" s="527" t="str">
        <f>IFERROR(INDEX(잔가map!$C$14:$AR$18,MATCH(차량DB!$AC$5,잔가map!$B$14:$B$18,0),MATCH(차량DB!Y263,잔가map!$C$13:$AR$13,0)),"")</f>
        <v/>
      </c>
      <c r="AD263" s="527" t="str">
        <f>IFERROR(INDEX(잔가map!$C$14:$AR$18,MATCH(차량DB!$AD$5,잔가map!$B$14:$B$18,0),MATCH(차량DB!Y263,잔가map!$C$13:$AR$13,0)),"")</f>
        <v/>
      </c>
      <c r="AE263" s="643"/>
      <c r="AF263" s="644"/>
      <c r="AG263" s="644"/>
      <c r="AH263" s="644"/>
      <c r="AI263" s="644"/>
      <c r="AJ263" s="644"/>
      <c r="AK263" s="547"/>
      <c r="AL263" s="576"/>
    </row>
    <row r="264" spans="1:38" x14ac:dyDescent="0.3">
      <c r="E264" s="293" t="s">
        <v>548</v>
      </c>
      <c r="F264" s="605" t="s">
        <v>868</v>
      </c>
      <c r="G264" s="294">
        <v>1997</v>
      </c>
      <c r="H264" s="295" t="s">
        <v>45</v>
      </c>
      <c r="I264" s="294">
        <v>72900000</v>
      </c>
      <c r="P264" s="295" t="s">
        <v>576</v>
      </c>
      <c r="R264" s="500"/>
      <c r="S264" s="639"/>
      <c r="T264" s="640"/>
      <c r="U264" s="640"/>
      <c r="V264" s="640"/>
      <c r="W264" s="640"/>
      <c r="X264" s="640"/>
      <c r="Y264" s="553"/>
      <c r="Z264" s="527" t="str">
        <f>IFERROR(INDEX(잔가map!$C$14:$AR$18,MATCH(차량DB!$Z$5,잔가map!$B$14:$B$18,0),MATCH(차량DB!Y264,잔가map!$C$13:$AR$13,0)),"")</f>
        <v/>
      </c>
      <c r="AA264" s="527" t="str">
        <f>IFERROR(INDEX(잔가map!$C$14:$AR$18,MATCH(차량DB!$AA$5,잔가map!$B$14:$B$18,0),MATCH(차량DB!Y264,잔가map!$C$13:$AR$13,0)),"")</f>
        <v/>
      </c>
      <c r="AB264" s="527" t="str">
        <f>IFERROR(INDEX(잔가map!$C$14:$AR$18,MATCH(차량DB!$AB$5,잔가map!$B$14:$B$18,0),MATCH(차량DB!Y264,잔가map!$C$13:$AR$13,0)),"")</f>
        <v/>
      </c>
      <c r="AC264" s="527" t="str">
        <f>IFERROR(INDEX(잔가map!$C$14:$AR$18,MATCH(차량DB!$AC$5,잔가map!$B$14:$B$18,0),MATCH(차량DB!Y264,잔가map!$C$13:$AR$13,0)),"")</f>
        <v/>
      </c>
      <c r="AD264" s="527" t="str">
        <f>IFERROR(INDEX(잔가map!$C$14:$AR$18,MATCH(차량DB!$AD$5,잔가map!$B$14:$B$18,0),MATCH(차량DB!Y264,잔가map!$C$13:$AR$13,0)),"")</f>
        <v/>
      </c>
      <c r="AE264" s="643"/>
      <c r="AF264" s="644"/>
      <c r="AG264" s="644"/>
      <c r="AH264" s="644"/>
      <c r="AI264" s="644"/>
      <c r="AJ264" s="644"/>
      <c r="AK264" s="547"/>
      <c r="AL264" s="576"/>
    </row>
    <row r="265" spans="1:38" s="494" customFormat="1" x14ac:dyDescent="0.3">
      <c r="A265" s="295"/>
      <c r="B265" s="295"/>
      <c r="C265" s="295"/>
      <c r="D265" s="295"/>
      <c r="E265" s="293" t="s">
        <v>548</v>
      </c>
      <c r="F265" s="605" t="s">
        <v>634</v>
      </c>
      <c r="G265" s="294">
        <v>1999</v>
      </c>
      <c r="H265" s="295" t="s">
        <v>58</v>
      </c>
      <c r="I265" s="294">
        <v>79600000</v>
      </c>
      <c r="J265" s="487"/>
      <c r="K265" s="487"/>
      <c r="L265" s="487"/>
      <c r="M265" s="487"/>
      <c r="N265" s="487"/>
      <c r="O265" s="294"/>
      <c r="P265" s="295" t="s">
        <v>576</v>
      </c>
      <c r="Q265" s="295"/>
      <c r="R265" s="500">
        <v>0</v>
      </c>
      <c r="S265" s="639"/>
      <c r="T265" s="640"/>
      <c r="U265" s="640"/>
      <c r="V265" s="640"/>
      <c r="W265" s="640"/>
      <c r="X265" s="640"/>
      <c r="Y265" s="553"/>
      <c r="Z265" s="527" t="str">
        <f>IFERROR(INDEX(잔가map!$C$14:$AR$18,MATCH(차량DB!$Z$5,잔가map!$B$14:$B$18,0),MATCH(차량DB!Y265,잔가map!$C$13:$AR$13,0)),"")</f>
        <v/>
      </c>
      <c r="AA265" s="527" t="str">
        <f>IFERROR(INDEX(잔가map!$C$14:$AR$18,MATCH(차량DB!$AA$5,잔가map!$B$14:$B$18,0),MATCH(차량DB!Y265,잔가map!$C$13:$AR$13,0)),"")</f>
        <v/>
      </c>
      <c r="AB265" s="527" t="str">
        <f>IFERROR(INDEX(잔가map!$C$14:$AR$18,MATCH(차량DB!$AB$5,잔가map!$B$14:$B$18,0),MATCH(차량DB!Y265,잔가map!$C$13:$AR$13,0)),"")</f>
        <v/>
      </c>
      <c r="AC265" s="527" t="str">
        <f>IFERROR(INDEX(잔가map!$C$14:$AR$18,MATCH(차량DB!$AC$5,잔가map!$B$14:$B$18,0),MATCH(차량DB!Y265,잔가map!$C$13:$AR$13,0)),"")</f>
        <v/>
      </c>
      <c r="AD265" s="527" t="str">
        <f>IFERROR(INDEX(잔가map!$C$14:$AR$18,MATCH(차량DB!$AD$5,잔가map!$B$14:$B$18,0),MATCH(차량DB!Y265,잔가map!$C$13:$AR$13,0)),"")</f>
        <v/>
      </c>
      <c r="AE265" s="643"/>
      <c r="AF265" s="644"/>
      <c r="AG265" s="644"/>
      <c r="AH265" s="644"/>
      <c r="AI265" s="644"/>
      <c r="AJ265" s="644"/>
      <c r="AK265" s="547"/>
      <c r="AL265" s="576"/>
    </row>
    <row r="266" spans="1:38" x14ac:dyDescent="0.3">
      <c r="E266" s="293" t="s">
        <v>548</v>
      </c>
      <c r="F266" s="605" t="s">
        <v>871</v>
      </c>
      <c r="G266" s="294">
        <v>1997</v>
      </c>
      <c r="H266" s="295" t="s">
        <v>58</v>
      </c>
      <c r="I266" s="294">
        <v>73300000</v>
      </c>
      <c r="P266" s="295" t="s">
        <v>576</v>
      </c>
      <c r="R266" s="500">
        <v>0</v>
      </c>
      <c r="S266" s="639"/>
      <c r="T266" s="640"/>
      <c r="U266" s="640"/>
      <c r="V266" s="640"/>
      <c r="W266" s="640"/>
      <c r="X266" s="640"/>
      <c r="Y266" s="553"/>
      <c r="Z266" s="527" t="str">
        <f>IFERROR(INDEX(잔가map!$C$14:$AR$18,MATCH(차량DB!$Z$5,잔가map!$B$14:$B$18,0),MATCH(차량DB!Y266,잔가map!$C$13:$AR$13,0)),"")</f>
        <v/>
      </c>
      <c r="AA266" s="527" t="str">
        <f>IFERROR(INDEX(잔가map!$C$14:$AR$18,MATCH(차량DB!$AA$5,잔가map!$B$14:$B$18,0),MATCH(차량DB!Y266,잔가map!$C$13:$AR$13,0)),"")</f>
        <v/>
      </c>
      <c r="AB266" s="527" t="str">
        <f>IFERROR(INDEX(잔가map!$C$14:$AR$18,MATCH(차량DB!$AB$5,잔가map!$B$14:$B$18,0),MATCH(차량DB!Y266,잔가map!$C$13:$AR$13,0)),"")</f>
        <v/>
      </c>
      <c r="AC266" s="527" t="str">
        <f>IFERROR(INDEX(잔가map!$C$14:$AR$18,MATCH(차량DB!$AC$5,잔가map!$B$14:$B$18,0),MATCH(차량DB!Y266,잔가map!$C$13:$AR$13,0)),"")</f>
        <v/>
      </c>
      <c r="AD266" s="527" t="str">
        <f>IFERROR(INDEX(잔가map!$C$14:$AR$18,MATCH(차량DB!$AD$5,잔가map!$B$14:$B$18,0),MATCH(차량DB!Y266,잔가map!$C$13:$AR$13,0)),"")</f>
        <v/>
      </c>
      <c r="AE266" s="643"/>
      <c r="AF266" s="644"/>
      <c r="AG266" s="644"/>
      <c r="AH266" s="644"/>
      <c r="AI266" s="644"/>
      <c r="AJ266" s="644"/>
      <c r="AK266" s="547"/>
      <c r="AL266" s="576"/>
    </row>
    <row r="267" spans="1:38" x14ac:dyDescent="0.3">
      <c r="E267" s="293" t="s">
        <v>548</v>
      </c>
      <c r="F267" s="605" t="s">
        <v>1105</v>
      </c>
      <c r="G267" s="294">
        <v>1997</v>
      </c>
      <c r="H267" s="295" t="s">
        <v>58</v>
      </c>
      <c r="I267" s="294">
        <v>79600000</v>
      </c>
      <c r="P267" s="295" t="s">
        <v>576</v>
      </c>
      <c r="R267" s="500">
        <v>0</v>
      </c>
      <c r="S267" s="639"/>
      <c r="T267" s="640"/>
      <c r="U267" s="640"/>
      <c r="V267" s="640"/>
      <c r="W267" s="640"/>
      <c r="X267" s="640"/>
      <c r="Y267" s="553"/>
      <c r="Z267" s="527" t="str">
        <f>IFERROR(INDEX(잔가map!$C$14:$AR$18,MATCH(차량DB!$Z$5,잔가map!$B$14:$B$18,0),MATCH(차량DB!Y267,잔가map!$C$13:$AR$13,0)),"")</f>
        <v/>
      </c>
      <c r="AA267" s="527" t="str">
        <f>IFERROR(INDEX(잔가map!$C$14:$AR$18,MATCH(차량DB!$AA$5,잔가map!$B$14:$B$18,0),MATCH(차량DB!Y267,잔가map!$C$13:$AR$13,0)),"")</f>
        <v/>
      </c>
      <c r="AB267" s="527" t="str">
        <f>IFERROR(INDEX(잔가map!$C$14:$AR$18,MATCH(차량DB!$AB$5,잔가map!$B$14:$B$18,0),MATCH(차량DB!Y267,잔가map!$C$13:$AR$13,0)),"")</f>
        <v/>
      </c>
      <c r="AC267" s="527" t="str">
        <f>IFERROR(INDEX(잔가map!$C$14:$AR$18,MATCH(차량DB!$AC$5,잔가map!$B$14:$B$18,0),MATCH(차량DB!Y267,잔가map!$C$13:$AR$13,0)),"")</f>
        <v/>
      </c>
      <c r="AD267" s="527" t="str">
        <f>IFERROR(INDEX(잔가map!$C$14:$AR$18,MATCH(차량DB!$AD$5,잔가map!$B$14:$B$18,0),MATCH(차량DB!Y267,잔가map!$C$13:$AR$13,0)),"")</f>
        <v/>
      </c>
      <c r="AE267" s="643"/>
      <c r="AF267" s="644"/>
      <c r="AG267" s="644"/>
      <c r="AH267" s="644"/>
      <c r="AI267" s="644"/>
      <c r="AJ267" s="644"/>
      <c r="AK267" s="547"/>
      <c r="AL267" s="576"/>
    </row>
    <row r="268" spans="1:38" s="494" customFormat="1" x14ac:dyDescent="0.3">
      <c r="A268" s="295"/>
      <c r="B268" s="295"/>
      <c r="C268" s="295"/>
      <c r="D268" s="295"/>
      <c r="E268" s="293" t="s">
        <v>548</v>
      </c>
      <c r="F268" s="605" t="s">
        <v>1375</v>
      </c>
      <c r="G268" s="294">
        <v>2997</v>
      </c>
      <c r="H268" s="295" t="s">
        <v>305</v>
      </c>
      <c r="I268" s="294">
        <v>126170000</v>
      </c>
      <c r="J268" s="487"/>
      <c r="K268" s="487"/>
      <c r="L268" s="487"/>
      <c r="M268" s="487"/>
      <c r="N268" s="487"/>
      <c r="O268" s="294"/>
      <c r="P268" s="295" t="s">
        <v>576</v>
      </c>
      <c r="Q268" s="295"/>
      <c r="R268" s="500">
        <v>0</v>
      </c>
      <c r="S268" s="639" t="s">
        <v>1379</v>
      </c>
      <c r="T268" s="640"/>
      <c r="U268" s="640"/>
      <c r="V268" s="640"/>
      <c r="W268" s="640"/>
      <c r="X268" s="640"/>
      <c r="Y268" s="553"/>
      <c r="Z268" s="527" t="str">
        <f>IFERROR(INDEX(잔가map!$C$14:$AR$18,MATCH(차량DB!$Z$5,잔가map!$B$14:$B$18,0),MATCH(차량DB!Y268,잔가map!$C$13:$AR$13,0)),"")</f>
        <v/>
      </c>
      <c r="AA268" s="527" t="str">
        <f>IFERROR(INDEX(잔가map!$C$14:$AR$18,MATCH(차량DB!$AA$5,잔가map!$B$14:$B$18,0),MATCH(차량DB!Y268,잔가map!$C$13:$AR$13,0)),"")</f>
        <v/>
      </c>
      <c r="AB268" s="527" t="str">
        <f>IFERROR(INDEX(잔가map!$C$14:$AR$18,MATCH(차량DB!$AB$5,잔가map!$B$14:$B$18,0),MATCH(차량DB!Y268,잔가map!$C$13:$AR$13,0)),"")</f>
        <v/>
      </c>
      <c r="AC268" s="527" t="str">
        <f>IFERROR(INDEX(잔가map!$C$14:$AR$18,MATCH(차량DB!$AC$5,잔가map!$B$14:$B$18,0),MATCH(차량DB!Y268,잔가map!$C$13:$AR$13,0)),"")</f>
        <v/>
      </c>
      <c r="AD268" s="527" t="str">
        <f>IFERROR(INDEX(잔가map!$C$14:$AR$18,MATCH(차량DB!$AD$5,잔가map!$B$14:$B$18,0),MATCH(차량DB!Y268,잔가map!$C$13:$AR$13,0)),"")</f>
        <v/>
      </c>
      <c r="AE268" s="643"/>
      <c r="AF268" s="644"/>
      <c r="AG268" s="644"/>
      <c r="AH268" s="644"/>
      <c r="AI268" s="644"/>
      <c r="AJ268" s="644"/>
      <c r="AK268" s="547"/>
      <c r="AL268" s="576"/>
    </row>
    <row r="269" spans="1:38" s="494" customFormat="1" x14ac:dyDescent="0.3">
      <c r="A269" s="295"/>
      <c r="B269" s="295"/>
      <c r="C269" s="295"/>
      <c r="D269" s="295"/>
      <c r="E269" s="293" t="s">
        <v>548</v>
      </c>
      <c r="F269" s="605" t="s">
        <v>876</v>
      </c>
      <c r="G269" s="294">
        <v>2997</v>
      </c>
      <c r="H269" s="295" t="s">
        <v>305</v>
      </c>
      <c r="I269" s="294">
        <v>101300000</v>
      </c>
      <c r="J269" s="487"/>
      <c r="K269" s="487"/>
      <c r="L269" s="487"/>
      <c r="M269" s="487"/>
      <c r="N269" s="487"/>
      <c r="O269" s="294"/>
      <c r="P269" s="295" t="s">
        <v>576</v>
      </c>
      <c r="Q269" s="295"/>
      <c r="R269" s="500">
        <v>0</v>
      </c>
      <c r="S269" s="639" t="s">
        <v>1380</v>
      </c>
      <c r="T269" s="640"/>
      <c r="U269" s="640"/>
      <c r="V269" s="640"/>
      <c r="W269" s="640"/>
      <c r="X269" s="640"/>
      <c r="Y269" s="553"/>
      <c r="Z269" s="527" t="str">
        <f>IFERROR(INDEX(잔가map!$C$14:$AR$18,MATCH(차량DB!$Z$5,잔가map!$B$14:$B$18,0),MATCH(차량DB!Y269,잔가map!$C$13:$AR$13,0)),"")</f>
        <v/>
      </c>
      <c r="AA269" s="527" t="str">
        <f>IFERROR(INDEX(잔가map!$C$14:$AR$18,MATCH(차량DB!$AA$5,잔가map!$B$14:$B$18,0),MATCH(차량DB!Y269,잔가map!$C$13:$AR$13,0)),"")</f>
        <v/>
      </c>
      <c r="AB269" s="527" t="str">
        <f>IFERROR(INDEX(잔가map!$C$14:$AR$18,MATCH(차량DB!$AB$5,잔가map!$B$14:$B$18,0),MATCH(차량DB!Y269,잔가map!$C$13:$AR$13,0)),"")</f>
        <v/>
      </c>
      <c r="AC269" s="527" t="str">
        <f>IFERROR(INDEX(잔가map!$C$14:$AR$18,MATCH(차량DB!$AC$5,잔가map!$B$14:$B$18,0),MATCH(차량DB!Y269,잔가map!$C$13:$AR$13,0)),"")</f>
        <v/>
      </c>
      <c r="AD269" s="527" t="str">
        <f>IFERROR(INDEX(잔가map!$C$14:$AR$18,MATCH(차량DB!$AD$5,잔가map!$B$14:$B$18,0),MATCH(차량DB!Y269,잔가map!$C$13:$AR$13,0)),"")</f>
        <v/>
      </c>
      <c r="AE269" s="643"/>
      <c r="AF269" s="644"/>
      <c r="AG269" s="644"/>
      <c r="AH269" s="644"/>
      <c r="AI269" s="644"/>
      <c r="AJ269" s="644"/>
      <c r="AK269" s="547"/>
      <c r="AL269" s="576"/>
    </row>
    <row r="270" spans="1:38" s="494" customFormat="1" x14ac:dyDescent="0.3">
      <c r="A270" s="295"/>
      <c r="B270" s="295"/>
      <c r="C270" s="295"/>
      <c r="D270" s="295"/>
      <c r="E270" s="293" t="s">
        <v>548</v>
      </c>
      <c r="F270" s="605" t="s">
        <v>877</v>
      </c>
      <c r="G270" s="294">
        <v>2996</v>
      </c>
      <c r="H270" s="295" t="s">
        <v>305</v>
      </c>
      <c r="I270" s="294">
        <v>97700000</v>
      </c>
      <c r="J270" s="487"/>
      <c r="K270" s="487"/>
      <c r="L270" s="487"/>
      <c r="M270" s="487"/>
      <c r="N270" s="487"/>
      <c r="O270" s="294"/>
      <c r="P270" s="295" t="s">
        <v>576</v>
      </c>
      <c r="Q270" s="295"/>
      <c r="R270" s="500">
        <v>0</v>
      </c>
      <c r="S270" s="639" t="s">
        <v>1381</v>
      </c>
      <c r="T270" s="640"/>
      <c r="U270" s="640"/>
      <c r="V270" s="640"/>
      <c r="W270" s="640"/>
      <c r="X270" s="640"/>
      <c r="Y270" s="553"/>
      <c r="Z270" s="527" t="str">
        <f>IFERROR(INDEX(잔가map!$C$14:$AR$18,MATCH(차량DB!$Z$5,잔가map!$B$14:$B$18,0),MATCH(차량DB!Y270,잔가map!$C$13:$AR$13,0)),"")</f>
        <v/>
      </c>
      <c r="AA270" s="527" t="str">
        <f>IFERROR(INDEX(잔가map!$C$14:$AR$18,MATCH(차량DB!$AA$5,잔가map!$B$14:$B$18,0),MATCH(차량DB!Y270,잔가map!$C$13:$AR$13,0)),"")</f>
        <v/>
      </c>
      <c r="AB270" s="527" t="str">
        <f>IFERROR(INDEX(잔가map!$C$14:$AR$18,MATCH(차량DB!$AB$5,잔가map!$B$14:$B$18,0),MATCH(차량DB!Y270,잔가map!$C$13:$AR$13,0)),"")</f>
        <v/>
      </c>
      <c r="AC270" s="527" t="str">
        <f>IFERROR(INDEX(잔가map!$C$14:$AR$18,MATCH(차량DB!$AC$5,잔가map!$B$14:$B$18,0),MATCH(차량DB!Y270,잔가map!$C$13:$AR$13,0)),"")</f>
        <v/>
      </c>
      <c r="AD270" s="527" t="str">
        <f>IFERROR(INDEX(잔가map!$C$14:$AR$18,MATCH(차량DB!$AD$5,잔가map!$B$14:$B$18,0),MATCH(차량DB!Y270,잔가map!$C$13:$AR$13,0)),"")</f>
        <v/>
      </c>
      <c r="AE270" s="643"/>
      <c r="AF270" s="644"/>
      <c r="AG270" s="644"/>
      <c r="AH270" s="644"/>
      <c r="AI270" s="644"/>
      <c r="AJ270" s="644"/>
      <c r="AK270" s="547"/>
      <c r="AL270" s="576"/>
    </row>
    <row r="271" spans="1:38" s="494" customFormat="1" x14ac:dyDescent="0.3">
      <c r="A271" s="295"/>
      <c r="B271" s="295"/>
      <c r="C271" s="295"/>
      <c r="D271" s="295"/>
      <c r="E271" s="293" t="s">
        <v>548</v>
      </c>
      <c r="F271" s="605" t="s">
        <v>1376</v>
      </c>
      <c r="G271" s="294">
        <v>2996</v>
      </c>
      <c r="H271" s="295" t="s">
        <v>305</v>
      </c>
      <c r="I271" s="294">
        <v>129070000</v>
      </c>
      <c r="J271" s="487"/>
      <c r="K271" s="487"/>
      <c r="L271" s="487"/>
      <c r="M271" s="487"/>
      <c r="N271" s="487"/>
      <c r="O271" s="294"/>
      <c r="P271" s="295" t="s">
        <v>576</v>
      </c>
      <c r="Q271" s="295"/>
      <c r="R271" s="500"/>
      <c r="S271" s="639" t="s">
        <v>576</v>
      </c>
      <c r="T271" s="640"/>
      <c r="U271" s="640"/>
      <c r="V271" s="640"/>
      <c r="W271" s="640"/>
      <c r="X271" s="640"/>
      <c r="Y271" s="553"/>
      <c r="Z271" s="527" t="str">
        <f>IFERROR(INDEX(잔가map!$C$14:$AR$18,MATCH(차량DB!$Z$5,잔가map!$B$14:$B$18,0),MATCH(차량DB!Y271,잔가map!$C$13:$AR$13,0)),"")</f>
        <v/>
      </c>
      <c r="AA271" s="527" t="str">
        <f>IFERROR(INDEX(잔가map!$C$14:$AR$18,MATCH(차량DB!$AA$5,잔가map!$B$14:$B$18,0),MATCH(차량DB!Y271,잔가map!$C$13:$AR$13,0)),"")</f>
        <v/>
      </c>
      <c r="AB271" s="527" t="str">
        <f>IFERROR(INDEX(잔가map!$C$14:$AR$18,MATCH(차량DB!$AB$5,잔가map!$B$14:$B$18,0),MATCH(차량DB!Y271,잔가map!$C$13:$AR$13,0)),"")</f>
        <v/>
      </c>
      <c r="AC271" s="527" t="str">
        <f>IFERROR(INDEX(잔가map!$C$14:$AR$18,MATCH(차량DB!$AC$5,잔가map!$B$14:$B$18,0),MATCH(차량DB!Y271,잔가map!$C$13:$AR$13,0)),"")</f>
        <v/>
      </c>
      <c r="AD271" s="527" t="str">
        <f>IFERROR(INDEX(잔가map!$C$14:$AR$18,MATCH(차량DB!$AD$5,잔가map!$B$14:$B$18,0),MATCH(차량DB!Y271,잔가map!$C$13:$AR$13,0)),"")</f>
        <v/>
      </c>
      <c r="AE271" s="643"/>
      <c r="AF271" s="644"/>
      <c r="AG271" s="644"/>
      <c r="AH271" s="644"/>
      <c r="AI271" s="644"/>
      <c r="AJ271" s="644"/>
      <c r="AK271" s="547"/>
      <c r="AL271" s="576"/>
    </row>
    <row r="272" spans="1:38" s="494" customFormat="1" x14ac:dyDescent="0.3">
      <c r="A272" s="295"/>
      <c r="B272" s="295"/>
      <c r="C272" s="295"/>
      <c r="D272" s="295"/>
      <c r="E272" s="293" t="s">
        <v>548</v>
      </c>
      <c r="F272" s="605" t="s">
        <v>1377</v>
      </c>
      <c r="G272" s="294">
        <v>1997</v>
      </c>
      <c r="H272" s="295" t="s">
        <v>305</v>
      </c>
      <c r="I272" s="294">
        <v>97100000</v>
      </c>
      <c r="J272" s="487"/>
      <c r="K272" s="487"/>
      <c r="L272" s="487"/>
      <c r="M272" s="487"/>
      <c r="N272" s="487"/>
      <c r="O272" s="294"/>
      <c r="P272" s="295" t="s">
        <v>576</v>
      </c>
      <c r="Q272" s="295"/>
      <c r="R272" s="500"/>
      <c r="S272" s="639" t="s">
        <v>576</v>
      </c>
      <c r="T272" s="640"/>
      <c r="U272" s="640"/>
      <c r="V272" s="640"/>
      <c r="W272" s="640"/>
      <c r="X272" s="640"/>
      <c r="Y272" s="553"/>
      <c r="Z272" s="527" t="str">
        <f>IFERROR(INDEX(잔가map!$C$14:$AR$18,MATCH(차량DB!$Z$5,잔가map!$B$14:$B$18,0),MATCH(차량DB!Y272,잔가map!$C$13:$AR$13,0)),"")</f>
        <v/>
      </c>
      <c r="AA272" s="527" t="str">
        <f>IFERROR(INDEX(잔가map!$C$14:$AR$18,MATCH(차량DB!$AA$5,잔가map!$B$14:$B$18,0),MATCH(차량DB!Y272,잔가map!$C$13:$AR$13,0)),"")</f>
        <v/>
      </c>
      <c r="AB272" s="527" t="str">
        <f>IFERROR(INDEX(잔가map!$C$14:$AR$18,MATCH(차량DB!$AB$5,잔가map!$B$14:$B$18,0),MATCH(차량DB!Y272,잔가map!$C$13:$AR$13,0)),"")</f>
        <v/>
      </c>
      <c r="AC272" s="527" t="str">
        <f>IFERROR(INDEX(잔가map!$C$14:$AR$18,MATCH(차량DB!$AC$5,잔가map!$B$14:$B$18,0),MATCH(차량DB!Y272,잔가map!$C$13:$AR$13,0)),"")</f>
        <v/>
      </c>
      <c r="AD272" s="527" t="str">
        <f>IFERROR(INDEX(잔가map!$C$14:$AR$18,MATCH(차량DB!$AD$5,잔가map!$B$14:$B$18,0),MATCH(차량DB!Y272,잔가map!$C$13:$AR$13,0)),"")</f>
        <v/>
      </c>
      <c r="AE272" s="643"/>
      <c r="AF272" s="644"/>
      <c r="AG272" s="644"/>
      <c r="AH272" s="644"/>
      <c r="AI272" s="644"/>
      <c r="AJ272" s="644"/>
      <c r="AK272" s="547"/>
      <c r="AL272" s="576"/>
    </row>
    <row r="273" spans="5:38" x14ac:dyDescent="0.3">
      <c r="E273" s="293" t="s">
        <v>548</v>
      </c>
      <c r="F273" s="605" t="s">
        <v>878</v>
      </c>
      <c r="G273" s="294">
        <v>1997</v>
      </c>
      <c r="H273" s="295" t="s">
        <v>58</v>
      </c>
      <c r="I273" s="294">
        <v>74500000</v>
      </c>
      <c r="P273" s="295" t="s">
        <v>576</v>
      </c>
      <c r="R273" s="500">
        <v>0</v>
      </c>
      <c r="S273" s="639" t="s">
        <v>1379</v>
      </c>
      <c r="T273" s="640"/>
      <c r="U273" s="640"/>
      <c r="V273" s="640"/>
      <c r="W273" s="640"/>
      <c r="X273" s="640"/>
      <c r="Y273" s="553"/>
      <c r="Z273" s="527" t="str">
        <f>IFERROR(INDEX(잔가map!$C$14:$AR$18,MATCH(차량DB!$Z$5,잔가map!$B$14:$B$18,0),MATCH(차량DB!Y273,잔가map!$C$13:$AR$13,0)),"")</f>
        <v/>
      </c>
      <c r="AA273" s="527" t="str">
        <f>IFERROR(INDEX(잔가map!$C$14:$AR$18,MATCH(차량DB!$AA$5,잔가map!$B$14:$B$18,0),MATCH(차량DB!Y273,잔가map!$C$13:$AR$13,0)),"")</f>
        <v/>
      </c>
      <c r="AB273" s="527" t="str">
        <f>IFERROR(INDEX(잔가map!$C$14:$AR$18,MATCH(차량DB!$AB$5,잔가map!$B$14:$B$18,0),MATCH(차량DB!Y273,잔가map!$C$13:$AR$13,0)),"")</f>
        <v/>
      </c>
      <c r="AC273" s="527" t="str">
        <f>IFERROR(INDEX(잔가map!$C$14:$AR$18,MATCH(차량DB!$AC$5,잔가map!$B$14:$B$18,0),MATCH(차량DB!Y273,잔가map!$C$13:$AR$13,0)),"")</f>
        <v/>
      </c>
      <c r="AD273" s="527" t="str">
        <f>IFERROR(INDEX(잔가map!$C$14:$AR$18,MATCH(차량DB!$AD$5,잔가map!$B$14:$B$18,0),MATCH(차량DB!Y273,잔가map!$C$13:$AR$13,0)),"")</f>
        <v/>
      </c>
      <c r="AE273" s="643"/>
      <c r="AF273" s="644"/>
      <c r="AG273" s="644"/>
      <c r="AH273" s="644"/>
      <c r="AI273" s="644"/>
      <c r="AJ273" s="644"/>
      <c r="AK273" s="547"/>
      <c r="AL273" s="576"/>
    </row>
    <row r="274" spans="5:38" x14ac:dyDescent="0.3">
      <c r="E274" s="293" t="s">
        <v>548</v>
      </c>
      <c r="F274" s="605" t="s">
        <v>1378</v>
      </c>
      <c r="G274" s="294">
        <v>1997</v>
      </c>
      <c r="H274" s="295" t="s">
        <v>58</v>
      </c>
      <c r="I274" s="294">
        <v>78400000</v>
      </c>
      <c r="P274" s="295" t="s">
        <v>576</v>
      </c>
      <c r="R274" s="500">
        <v>0</v>
      </c>
      <c r="S274" s="639" t="s">
        <v>1381</v>
      </c>
      <c r="T274" s="640"/>
      <c r="U274" s="640"/>
      <c r="V274" s="640"/>
      <c r="W274" s="640"/>
      <c r="X274" s="640"/>
      <c r="Y274" s="553"/>
      <c r="Z274" s="527" t="str">
        <f>IFERROR(INDEX(잔가map!$C$14:$AR$18,MATCH(차량DB!$Z$5,잔가map!$B$14:$B$18,0),MATCH(차량DB!Y274,잔가map!$C$13:$AR$13,0)),"")</f>
        <v/>
      </c>
      <c r="AA274" s="527" t="str">
        <f>IFERROR(INDEX(잔가map!$C$14:$AR$18,MATCH(차량DB!$AA$5,잔가map!$B$14:$B$18,0),MATCH(차량DB!Y274,잔가map!$C$13:$AR$13,0)),"")</f>
        <v/>
      </c>
      <c r="AB274" s="527" t="str">
        <f>IFERROR(INDEX(잔가map!$C$14:$AR$18,MATCH(차량DB!$AB$5,잔가map!$B$14:$B$18,0),MATCH(차량DB!Y274,잔가map!$C$13:$AR$13,0)),"")</f>
        <v/>
      </c>
      <c r="AC274" s="527" t="str">
        <f>IFERROR(INDEX(잔가map!$C$14:$AR$18,MATCH(차량DB!$AC$5,잔가map!$B$14:$B$18,0),MATCH(차량DB!Y274,잔가map!$C$13:$AR$13,0)),"")</f>
        <v/>
      </c>
      <c r="AD274" s="527" t="str">
        <f>IFERROR(INDEX(잔가map!$C$14:$AR$18,MATCH(차량DB!$AD$5,잔가map!$B$14:$B$18,0),MATCH(차량DB!Y274,잔가map!$C$13:$AR$13,0)),"")</f>
        <v/>
      </c>
      <c r="AE274" s="643"/>
      <c r="AF274" s="644"/>
      <c r="AG274" s="644"/>
      <c r="AH274" s="644"/>
      <c r="AI274" s="644"/>
      <c r="AJ274" s="644"/>
      <c r="AK274" s="547"/>
      <c r="AL274" s="576"/>
    </row>
    <row r="275" spans="5:38" x14ac:dyDescent="0.3">
      <c r="E275" s="293" t="s">
        <v>548</v>
      </c>
      <c r="F275" s="605" t="s">
        <v>1370</v>
      </c>
      <c r="G275" s="294">
        <v>1997</v>
      </c>
      <c r="H275" s="295" t="s">
        <v>58</v>
      </c>
      <c r="I275" s="294">
        <v>74400000</v>
      </c>
      <c r="P275" s="295" t="s">
        <v>576</v>
      </c>
      <c r="R275" s="500">
        <v>0</v>
      </c>
      <c r="S275" s="639" t="s">
        <v>1372</v>
      </c>
      <c r="T275" s="640"/>
      <c r="U275" s="640"/>
      <c r="V275" s="640"/>
      <c r="W275" s="640"/>
      <c r="X275" s="640"/>
      <c r="Y275" s="553"/>
      <c r="Z275" s="527" t="str">
        <f>IFERROR(INDEX(잔가map!$C$14:$AR$18,MATCH(차량DB!$Z$5,잔가map!$B$14:$B$18,0),MATCH(차량DB!Y275,잔가map!$C$13:$AR$13,0)),"")</f>
        <v/>
      </c>
      <c r="AA275" s="527" t="str">
        <f>IFERROR(INDEX(잔가map!$C$14:$AR$18,MATCH(차량DB!$AA$5,잔가map!$B$14:$B$18,0),MATCH(차량DB!Y275,잔가map!$C$13:$AR$13,0)),"")</f>
        <v/>
      </c>
      <c r="AB275" s="527" t="str">
        <f>IFERROR(INDEX(잔가map!$C$14:$AR$18,MATCH(차량DB!$AB$5,잔가map!$B$14:$B$18,0),MATCH(차량DB!Y275,잔가map!$C$13:$AR$13,0)),"")</f>
        <v/>
      </c>
      <c r="AC275" s="527" t="str">
        <f>IFERROR(INDEX(잔가map!$C$14:$AR$18,MATCH(차량DB!$AC$5,잔가map!$B$14:$B$18,0),MATCH(차량DB!Y275,잔가map!$C$13:$AR$13,0)),"")</f>
        <v/>
      </c>
      <c r="AD275" s="527" t="str">
        <f>IFERROR(INDEX(잔가map!$C$14:$AR$18,MATCH(차량DB!$AD$5,잔가map!$B$14:$B$18,0),MATCH(차량DB!Y275,잔가map!$C$13:$AR$13,0)),"")</f>
        <v/>
      </c>
      <c r="AE275" s="643"/>
      <c r="AF275" s="644"/>
      <c r="AG275" s="644"/>
      <c r="AH275" s="644"/>
      <c r="AI275" s="644"/>
      <c r="AJ275" s="644"/>
      <c r="AK275" s="547"/>
      <c r="AL275" s="576"/>
    </row>
    <row r="276" spans="5:38" x14ac:dyDescent="0.3">
      <c r="E276" s="293" t="s">
        <v>548</v>
      </c>
      <c r="F276" s="604" t="s">
        <v>879</v>
      </c>
      <c r="G276" s="294">
        <v>1997</v>
      </c>
      <c r="H276" s="295" t="s">
        <v>58</v>
      </c>
      <c r="I276" s="294">
        <v>81900000</v>
      </c>
      <c r="P276" s="295" t="s">
        <v>576</v>
      </c>
      <c r="R276" s="500">
        <v>0</v>
      </c>
      <c r="S276" s="639" t="s">
        <v>1373</v>
      </c>
      <c r="T276" s="640"/>
      <c r="U276" s="640"/>
      <c r="V276" s="640"/>
      <c r="W276" s="640"/>
      <c r="X276" s="640"/>
      <c r="Y276" s="553"/>
      <c r="Z276" s="527" t="str">
        <f>IFERROR(INDEX(잔가map!$C$14:$AR$18,MATCH(차량DB!$Z$5,잔가map!$B$14:$B$18,0),MATCH(차량DB!Y276,잔가map!$C$13:$AR$13,0)),"")</f>
        <v/>
      </c>
      <c r="AA276" s="527" t="str">
        <f>IFERROR(INDEX(잔가map!$C$14:$AR$18,MATCH(차량DB!$AA$5,잔가map!$B$14:$B$18,0),MATCH(차량DB!Y276,잔가map!$C$13:$AR$13,0)),"")</f>
        <v/>
      </c>
      <c r="AB276" s="527" t="str">
        <f>IFERROR(INDEX(잔가map!$C$14:$AR$18,MATCH(차량DB!$AB$5,잔가map!$B$14:$B$18,0),MATCH(차량DB!Y276,잔가map!$C$13:$AR$13,0)),"")</f>
        <v/>
      </c>
      <c r="AC276" s="527" t="str">
        <f>IFERROR(INDEX(잔가map!$C$14:$AR$18,MATCH(차량DB!$AC$5,잔가map!$B$14:$B$18,0),MATCH(차량DB!Y276,잔가map!$C$13:$AR$13,0)),"")</f>
        <v/>
      </c>
      <c r="AD276" s="527" t="str">
        <f>IFERROR(INDEX(잔가map!$C$14:$AR$18,MATCH(차량DB!$AD$5,잔가map!$B$14:$B$18,0),MATCH(차량DB!Y276,잔가map!$C$13:$AR$13,0)),"")</f>
        <v/>
      </c>
      <c r="AE276" s="643"/>
      <c r="AF276" s="644"/>
      <c r="AG276" s="644"/>
      <c r="AH276" s="644"/>
      <c r="AI276" s="644"/>
      <c r="AJ276" s="644"/>
      <c r="AK276" s="547"/>
      <c r="AL276" s="576"/>
    </row>
    <row r="277" spans="5:38" x14ac:dyDescent="0.3">
      <c r="E277" s="293" t="s">
        <v>548</v>
      </c>
      <c r="F277" s="604" t="s">
        <v>1371</v>
      </c>
      <c r="G277" s="294">
        <v>1997</v>
      </c>
      <c r="H277" s="295" t="s">
        <v>58</v>
      </c>
      <c r="I277" s="294">
        <v>80700000</v>
      </c>
      <c r="P277" s="295" t="s">
        <v>576</v>
      </c>
      <c r="R277" s="500">
        <v>0</v>
      </c>
      <c r="S277" s="639" t="s">
        <v>1374</v>
      </c>
      <c r="T277" s="640"/>
      <c r="U277" s="640"/>
      <c r="V277" s="640"/>
      <c r="W277" s="640"/>
      <c r="X277" s="640"/>
      <c r="Y277" s="553"/>
      <c r="Z277" s="527" t="str">
        <f>IFERROR(INDEX(잔가map!$C$14:$AR$18,MATCH(차량DB!$Z$5,잔가map!$B$14:$B$18,0),MATCH(차량DB!Y277,잔가map!$C$13:$AR$13,0)),"")</f>
        <v/>
      </c>
      <c r="AA277" s="527" t="str">
        <f>IFERROR(INDEX(잔가map!$C$14:$AR$18,MATCH(차량DB!$AA$5,잔가map!$B$14:$B$18,0),MATCH(차량DB!Y277,잔가map!$C$13:$AR$13,0)),"")</f>
        <v/>
      </c>
      <c r="AB277" s="527" t="str">
        <f>IFERROR(INDEX(잔가map!$C$14:$AR$18,MATCH(차량DB!$AB$5,잔가map!$B$14:$B$18,0),MATCH(차량DB!Y277,잔가map!$C$13:$AR$13,0)),"")</f>
        <v/>
      </c>
      <c r="AC277" s="527" t="str">
        <f>IFERROR(INDEX(잔가map!$C$14:$AR$18,MATCH(차량DB!$AC$5,잔가map!$B$14:$B$18,0),MATCH(차량DB!Y277,잔가map!$C$13:$AR$13,0)),"")</f>
        <v/>
      </c>
      <c r="AD277" s="527" t="str">
        <f>IFERROR(INDEX(잔가map!$C$14:$AR$18,MATCH(차량DB!$AD$5,잔가map!$B$14:$B$18,0),MATCH(차량DB!Y277,잔가map!$C$13:$AR$13,0)),"")</f>
        <v/>
      </c>
      <c r="AE277" s="643"/>
      <c r="AF277" s="644"/>
      <c r="AG277" s="644"/>
      <c r="AH277" s="644"/>
      <c r="AI277" s="644"/>
      <c r="AJ277" s="644"/>
      <c r="AK277" s="547"/>
      <c r="AL277" s="576"/>
    </row>
    <row r="278" spans="5:38" x14ac:dyDescent="0.3">
      <c r="E278" s="293" t="s">
        <v>548</v>
      </c>
      <c r="F278" s="604" t="s">
        <v>880</v>
      </c>
      <c r="G278" s="294">
        <v>4395</v>
      </c>
      <c r="H278" s="295" t="s">
        <v>58</v>
      </c>
      <c r="I278" s="294">
        <v>230470000</v>
      </c>
      <c r="P278" s="295" t="s">
        <v>576</v>
      </c>
      <c r="R278" s="500"/>
      <c r="S278" s="639" t="s">
        <v>1278</v>
      </c>
      <c r="T278" s="640"/>
      <c r="U278" s="640"/>
      <c r="V278" s="640"/>
      <c r="W278" s="640"/>
      <c r="X278" s="640"/>
      <c r="Y278" s="553"/>
      <c r="Z278" s="527" t="str">
        <f>IFERROR(INDEX(잔가map!$C$14:$AR$18,MATCH(차량DB!$Z$5,잔가map!$B$14:$B$18,0),MATCH(차량DB!Y278,잔가map!$C$13:$AR$13,0)),"")</f>
        <v/>
      </c>
      <c r="AA278" s="527" t="str">
        <f>IFERROR(INDEX(잔가map!$C$14:$AR$18,MATCH(차량DB!$AA$5,잔가map!$B$14:$B$18,0),MATCH(차량DB!Y278,잔가map!$C$13:$AR$13,0)),"")</f>
        <v/>
      </c>
      <c r="AB278" s="527" t="str">
        <f>IFERROR(INDEX(잔가map!$C$14:$AR$18,MATCH(차량DB!$AB$5,잔가map!$B$14:$B$18,0),MATCH(차량DB!Y278,잔가map!$C$13:$AR$13,0)),"")</f>
        <v/>
      </c>
      <c r="AC278" s="527" t="str">
        <f>IFERROR(INDEX(잔가map!$C$14:$AR$18,MATCH(차량DB!$AC$5,잔가map!$B$14:$B$18,0),MATCH(차량DB!Y278,잔가map!$C$13:$AR$13,0)),"")</f>
        <v/>
      </c>
      <c r="AD278" s="527" t="str">
        <f>IFERROR(INDEX(잔가map!$C$14:$AR$18,MATCH(차량DB!$AD$5,잔가map!$B$14:$B$18,0),MATCH(차량DB!Y278,잔가map!$C$13:$AR$13,0)),"")</f>
        <v/>
      </c>
      <c r="AE278" s="643"/>
      <c r="AF278" s="644"/>
      <c r="AG278" s="644"/>
      <c r="AH278" s="644"/>
      <c r="AI278" s="644"/>
      <c r="AJ278" s="644"/>
      <c r="AK278" s="547"/>
      <c r="AL278" s="576"/>
    </row>
    <row r="279" spans="5:38" x14ac:dyDescent="0.3">
      <c r="E279" s="293" t="s">
        <v>548</v>
      </c>
      <c r="F279" s="604" t="s">
        <v>881</v>
      </c>
      <c r="G279" s="294">
        <v>4395</v>
      </c>
      <c r="H279" s="295" t="s">
        <v>58</v>
      </c>
      <c r="I279" s="294">
        <v>225370000</v>
      </c>
      <c r="P279" s="295" t="s">
        <v>576</v>
      </c>
      <c r="R279" s="500"/>
      <c r="S279" s="639" t="s">
        <v>1273</v>
      </c>
      <c r="T279" s="640"/>
      <c r="U279" s="640"/>
      <c r="V279" s="640"/>
      <c r="W279" s="640"/>
      <c r="X279" s="640"/>
      <c r="Y279" s="553"/>
      <c r="Z279" s="527" t="str">
        <f>IFERROR(INDEX(잔가map!$C$14:$AR$18,MATCH(차량DB!$Z$5,잔가map!$B$14:$B$18,0),MATCH(차량DB!Y279,잔가map!$C$13:$AR$13,0)),"")</f>
        <v/>
      </c>
      <c r="AA279" s="527" t="str">
        <f>IFERROR(INDEX(잔가map!$C$14:$AR$18,MATCH(차량DB!$AA$5,잔가map!$B$14:$B$18,0),MATCH(차량DB!Y279,잔가map!$C$13:$AR$13,0)),"")</f>
        <v/>
      </c>
      <c r="AB279" s="527" t="str">
        <f>IFERROR(INDEX(잔가map!$C$14:$AR$18,MATCH(차량DB!$AB$5,잔가map!$B$14:$B$18,0),MATCH(차량DB!Y279,잔가map!$C$13:$AR$13,0)),"")</f>
        <v/>
      </c>
      <c r="AC279" s="527" t="str">
        <f>IFERROR(INDEX(잔가map!$C$14:$AR$18,MATCH(차량DB!$AC$5,잔가map!$B$14:$B$18,0),MATCH(차량DB!Y279,잔가map!$C$13:$AR$13,0)),"")</f>
        <v/>
      </c>
      <c r="AD279" s="527" t="str">
        <f>IFERROR(INDEX(잔가map!$C$14:$AR$18,MATCH(차량DB!$AD$5,잔가map!$B$14:$B$18,0),MATCH(차량DB!Y279,잔가map!$C$13:$AR$13,0)),"")</f>
        <v/>
      </c>
      <c r="AE279" s="643"/>
      <c r="AF279" s="644"/>
      <c r="AG279" s="644"/>
      <c r="AH279" s="644"/>
      <c r="AI279" s="644"/>
      <c r="AJ279" s="644"/>
      <c r="AK279" s="547"/>
      <c r="AL279" s="576"/>
    </row>
    <row r="280" spans="5:38" x14ac:dyDescent="0.3">
      <c r="E280" s="293" t="s">
        <v>548</v>
      </c>
      <c r="F280" s="604" t="s">
        <v>882</v>
      </c>
      <c r="G280" s="294">
        <v>4395</v>
      </c>
      <c r="H280" s="295" t="s">
        <v>58</v>
      </c>
      <c r="I280" s="294">
        <v>224370000</v>
      </c>
      <c r="P280" s="295" t="s">
        <v>576</v>
      </c>
      <c r="R280" s="500"/>
      <c r="S280" s="639" t="s">
        <v>1274</v>
      </c>
      <c r="T280" s="640"/>
      <c r="U280" s="640"/>
      <c r="V280" s="640"/>
      <c r="W280" s="640"/>
      <c r="X280" s="640"/>
      <c r="Y280" s="553"/>
      <c r="Z280" s="527" t="str">
        <f>IFERROR(INDEX(잔가map!$C$14:$AR$18,MATCH(차량DB!$Z$5,잔가map!$B$14:$B$18,0),MATCH(차량DB!Y280,잔가map!$C$13:$AR$13,0)),"")</f>
        <v/>
      </c>
      <c r="AA280" s="527" t="str">
        <f>IFERROR(INDEX(잔가map!$C$14:$AR$18,MATCH(차량DB!$AA$5,잔가map!$B$14:$B$18,0),MATCH(차량DB!Y280,잔가map!$C$13:$AR$13,0)),"")</f>
        <v/>
      </c>
      <c r="AB280" s="527" t="str">
        <f>IFERROR(INDEX(잔가map!$C$14:$AR$18,MATCH(차량DB!$AB$5,잔가map!$B$14:$B$18,0),MATCH(차량DB!Y280,잔가map!$C$13:$AR$13,0)),"")</f>
        <v/>
      </c>
      <c r="AC280" s="527" t="str">
        <f>IFERROR(INDEX(잔가map!$C$14:$AR$18,MATCH(차량DB!$AC$5,잔가map!$B$14:$B$18,0),MATCH(차량DB!Y280,잔가map!$C$13:$AR$13,0)),"")</f>
        <v/>
      </c>
      <c r="AD280" s="527" t="str">
        <f>IFERROR(INDEX(잔가map!$C$14:$AR$18,MATCH(차량DB!$AD$5,잔가map!$B$14:$B$18,0),MATCH(차량DB!Y280,잔가map!$C$13:$AR$13,0)),"")</f>
        <v/>
      </c>
      <c r="AE280" s="643"/>
      <c r="AF280" s="644"/>
      <c r="AG280" s="644"/>
      <c r="AH280" s="644"/>
      <c r="AI280" s="644"/>
      <c r="AJ280" s="644"/>
      <c r="AK280" s="547"/>
      <c r="AL280" s="576"/>
    </row>
    <row r="281" spans="5:38" x14ac:dyDescent="0.3">
      <c r="E281" s="293" t="s">
        <v>548</v>
      </c>
      <c r="F281" s="604" t="s">
        <v>883</v>
      </c>
      <c r="G281" s="294">
        <v>4395</v>
      </c>
      <c r="H281" s="295" t="s">
        <v>58</v>
      </c>
      <c r="I281" s="294">
        <v>292470000</v>
      </c>
      <c r="P281" s="295" t="s">
        <v>576</v>
      </c>
      <c r="R281" s="500"/>
      <c r="S281" s="639" t="s">
        <v>1274</v>
      </c>
      <c r="T281" s="640"/>
      <c r="U281" s="640"/>
      <c r="V281" s="640"/>
      <c r="W281" s="640"/>
      <c r="X281" s="640"/>
      <c r="Y281" s="553"/>
      <c r="Z281" s="527" t="str">
        <f>IFERROR(INDEX(잔가map!$C$14:$AR$18,MATCH(차량DB!$Z$5,잔가map!$B$14:$B$18,0),MATCH(차량DB!Y281,잔가map!$C$13:$AR$13,0)),"")</f>
        <v/>
      </c>
      <c r="AA281" s="527" t="str">
        <f>IFERROR(INDEX(잔가map!$C$14:$AR$18,MATCH(차량DB!$AA$5,잔가map!$B$14:$B$18,0),MATCH(차량DB!Y281,잔가map!$C$13:$AR$13,0)),"")</f>
        <v/>
      </c>
      <c r="AB281" s="527" t="str">
        <f>IFERROR(INDEX(잔가map!$C$14:$AR$18,MATCH(차량DB!$AB$5,잔가map!$B$14:$B$18,0),MATCH(차량DB!Y281,잔가map!$C$13:$AR$13,0)),"")</f>
        <v/>
      </c>
      <c r="AC281" s="527" t="str">
        <f>IFERROR(INDEX(잔가map!$C$14:$AR$18,MATCH(차량DB!$AC$5,잔가map!$B$14:$B$18,0),MATCH(차량DB!Y281,잔가map!$C$13:$AR$13,0)),"")</f>
        <v/>
      </c>
      <c r="AD281" s="527" t="str">
        <f>IFERROR(INDEX(잔가map!$C$14:$AR$18,MATCH(차량DB!$AD$5,잔가map!$B$14:$B$18,0),MATCH(차량DB!Y281,잔가map!$C$13:$AR$13,0)),"")</f>
        <v/>
      </c>
      <c r="AE281" s="643"/>
      <c r="AF281" s="644"/>
      <c r="AG281" s="644"/>
      <c r="AH281" s="644"/>
      <c r="AI281" s="644"/>
      <c r="AJ281" s="644"/>
      <c r="AK281" s="547"/>
      <c r="AL281" s="576"/>
    </row>
    <row r="282" spans="5:38" x14ac:dyDescent="0.3">
      <c r="E282" s="293" t="s">
        <v>548</v>
      </c>
      <c r="F282" s="605" t="s">
        <v>1386</v>
      </c>
      <c r="G282" s="294">
        <v>2996</v>
      </c>
      <c r="H282" s="295" t="s">
        <v>58</v>
      </c>
      <c r="I282" s="294">
        <v>177170000</v>
      </c>
      <c r="P282" s="295" t="s">
        <v>1379</v>
      </c>
      <c r="R282" s="500"/>
      <c r="S282" s="639" t="s">
        <v>1274</v>
      </c>
      <c r="T282" s="640"/>
      <c r="U282" s="640"/>
      <c r="V282" s="640"/>
      <c r="W282" s="640"/>
      <c r="X282" s="640"/>
      <c r="Y282" s="553"/>
      <c r="Z282" s="527"/>
      <c r="AA282" s="527"/>
      <c r="AB282" s="527"/>
      <c r="AC282" s="527"/>
      <c r="AD282" s="527"/>
      <c r="AE282" s="643"/>
      <c r="AF282" s="644"/>
      <c r="AG282" s="644"/>
      <c r="AH282" s="644"/>
      <c r="AI282" s="644"/>
      <c r="AJ282" s="644"/>
      <c r="AK282" s="547"/>
      <c r="AL282" s="576"/>
    </row>
    <row r="283" spans="5:38" x14ac:dyDescent="0.3">
      <c r="E283" s="293" t="s">
        <v>548</v>
      </c>
      <c r="F283" s="605" t="s">
        <v>1388</v>
      </c>
      <c r="G283" s="294">
        <v>4395</v>
      </c>
      <c r="H283" s="295" t="s">
        <v>58</v>
      </c>
      <c r="I283" s="294">
        <v>277060000</v>
      </c>
      <c r="P283" s="295" t="s">
        <v>576</v>
      </c>
      <c r="R283" s="500">
        <v>0</v>
      </c>
      <c r="S283" s="639" t="s">
        <v>1273</v>
      </c>
      <c r="T283" s="640"/>
      <c r="U283" s="640"/>
      <c r="V283" s="640"/>
      <c r="W283" s="640"/>
      <c r="X283" s="640"/>
      <c r="Y283" s="553"/>
      <c r="Z283" s="527" t="str">
        <f>IFERROR(INDEX(잔가map!$C$14:$AR$18,MATCH(차량DB!$Z$5,잔가map!$B$14:$B$18,0),MATCH(차량DB!Y283,잔가map!$C$13:$AR$13,0)),"")</f>
        <v/>
      </c>
      <c r="AA283" s="527" t="str">
        <f>IFERROR(INDEX(잔가map!$C$14:$AR$18,MATCH(차량DB!$AA$5,잔가map!$B$14:$B$18,0),MATCH(차량DB!Y283,잔가map!$C$13:$AR$13,0)),"")</f>
        <v/>
      </c>
      <c r="AB283" s="527" t="str">
        <f>IFERROR(INDEX(잔가map!$C$14:$AR$18,MATCH(차량DB!$AB$5,잔가map!$B$14:$B$18,0),MATCH(차량DB!Y283,잔가map!$C$13:$AR$13,0)),"")</f>
        <v/>
      </c>
      <c r="AC283" s="527" t="str">
        <f>IFERROR(INDEX(잔가map!$C$14:$AR$18,MATCH(차량DB!$AC$5,잔가map!$B$14:$B$18,0),MATCH(차량DB!Y283,잔가map!$C$13:$AR$13,0)),"")</f>
        <v/>
      </c>
      <c r="AD283" s="527" t="str">
        <f>IFERROR(INDEX(잔가map!$C$14:$AR$18,MATCH(차량DB!$AD$5,잔가map!$B$14:$B$18,0),MATCH(차량DB!Y283,잔가map!$C$13:$AR$13,0)),"")</f>
        <v/>
      </c>
      <c r="AE283" s="643"/>
      <c r="AF283" s="644"/>
      <c r="AG283" s="644"/>
      <c r="AH283" s="644"/>
      <c r="AI283" s="644"/>
      <c r="AJ283" s="644"/>
      <c r="AK283" s="547"/>
      <c r="AL283" s="576"/>
    </row>
    <row r="284" spans="5:38" x14ac:dyDescent="0.3">
      <c r="E284" s="293" t="s">
        <v>548</v>
      </c>
      <c r="F284" s="605" t="s">
        <v>1387</v>
      </c>
      <c r="G284" s="294">
        <v>2996</v>
      </c>
      <c r="H284" s="295" t="s">
        <v>58</v>
      </c>
      <c r="I284" s="294">
        <v>158070000</v>
      </c>
      <c r="P284" s="295" t="s">
        <v>576</v>
      </c>
      <c r="R284" s="500">
        <v>0</v>
      </c>
      <c r="S284" s="639" t="s">
        <v>1273</v>
      </c>
      <c r="T284" s="640"/>
      <c r="U284" s="640"/>
      <c r="V284" s="640"/>
      <c r="W284" s="640"/>
      <c r="X284" s="640"/>
      <c r="Y284" s="553"/>
      <c r="Z284" s="527" t="str">
        <f>IFERROR(INDEX(잔가map!$C$14:$AR$18,MATCH(차량DB!$Z$5,잔가map!$B$14:$B$18,0),MATCH(차량DB!Y284,잔가map!$C$13:$AR$13,0)),"")</f>
        <v/>
      </c>
      <c r="AA284" s="527" t="str">
        <f>IFERROR(INDEX(잔가map!$C$14:$AR$18,MATCH(차량DB!$AA$5,잔가map!$B$14:$B$18,0),MATCH(차량DB!Y284,잔가map!$C$13:$AR$13,0)),"")</f>
        <v/>
      </c>
      <c r="AB284" s="527" t="str">
        <f>IFERROR(INDEX(잔가map!$C$14:$AR$18,MATCH(차량DB!$AB$5,잔가map!$B$14:$B$18,0),MATCH(차량DB!Y284,잔가map!$C$13:$AR$13,0)),"")</f>
        <v/>
      </c>
      <c r="AC284" s="527" t="str">
        <f>IFERROR(INDEX(잔가map!$C$14:$AR$18,MATCH(차량DB!$AC$5,잔가map!$B$14:$B$18,0),MATCH(차량DB!Y284,잔가map!$C$13:$AR$13,0)),"")</f>
        <v/>
      </c>
      <c r="AD284" s="527" t="str">
        <f>IFERROR(INDEX(잔가map!$C$14:$AR$18,MATCH(차량DB!$AD$5,잔가map!$B$14:$B$18,0),MATCH(차량DB!Y284,잔가map!$C$13:$AR$13,0)),"")</f>
        <v/>
      </c>
      <c r="AE284" s="643"/>
      <c r="AF284" s="644"/>
      <c r="AG284" s="644"/>
      <c r="AH284" s="644"/>
      <c r="AI284" s="644"/>
      <c r="AJ284" s="644"/>
      <c r="AK284" s="547"/>
      <c r="AL284" s="576"/>
    </row>
    <row r="285" spans="5:38" x14ac:dyDescent="0.3">
      <c r="E285" s="293" t="s">
        <v>548</v>
      </c>
      <c r="F285" s="605" t="s">
        <v>884</v>
      </c>
      <c r="G285" s="294">
        <v>2996</v>
      </c>
      <c r="H285" s="295" t="s">
        <v>58</v>
      </c>
      <c r="I285" s="294">
        <v>150670000</v>
      </c>
      <c r="P285" s="295" t="s">
        <v>576</v>
      </c>
      <c r="R285" s="500">
        <v>0</v>
      </c>
      <c r="S285" s="639" t="s">
        <v>1273</v>
      </c>
      <c r="T285" s="640"/>
      <c r="U285" s="640"/>
      <c r="V285" s="640"/>
      <c r="W285" s="640"/>
      <c r="X285" s="640"/>
      <c r="Y285" s="553"/>
      <c r="Z285" s="527" t="str">
        <f>IFERROR(INDEX(잔가map!$C$14:$AR$18,MATCH(차량DB!$Z$5,잔가map!$B$14:$B$18,0),MATCH(차량DB!Y285,잔가map!$C$13:$AR$13,0)),"")</f>
        <v/>
      </c>
      <c r="AA285" s="527" t="str">
        <f>IFERROR(INDEX(잔가map!$C$14:$AR$18,MATCH(차량DB!$AA$5,잔가map!$B$14:$B$18,0),MATCH(차량DB!Y285,잔가map!$C$13:$AR$13,0)),"")</f>
        <v/>
      </c>
      <c r="AB285" s="527" t="str">
        <f>IFERROR(INDEX(잔가map!$C$14:$AR$18,MATCH(차량DB!$AB$5,잔가map!$B$14:$B$18,0),MATCH(차량DB!Y285,잔가map!$C$13:$AR$13,0)),"")</f>
        <v/>
      </c>
      <c r="AC285" s="527" t="str">
        <f>IFERROR(INDEX(잔가map!$C$14:$AR$18,MATCH(차량DB!$AC$5,잔가map!$B$14:$B$18,0),MATCH(차량DB!Y285,잔가map!$C$13:$AR$13,0)),"")</f>
        <v/>
      </c>
      <c r="AD285" s="527" t="str">
        <f>IFERROR(INDEX(잔가map!$C$14:$AR$18,MATCH(차량DB!$AD$5,잔가map!$B$14:$B$18,0),MATCH(차량DB!Y285,잔가map!$C$13:$AR$13,0)),"")</f>
        <v/>
      </c>
      <c r="AE285" s="643"/>
      <c r="AF285" s="644"/>
      <c r="AG285" s="644"/>
      <c r="AH285" s="644"/>
      <c r="AI285" s="644"/>
      <c r="AJ285" s="644"/>
      <c r="AK285" s="547"/>
      <c r="AL285" s="576"/>
    </row>
    <row r="286" spans="5:38" x14ac:dyDescent="0.3">
      <c r="E286" s="293" t="s">
        <v>548</v>
      </c>
      <c r="F286" s="605" t="s">
        <v>885</v>
      </c>
      <c r="G286" s="294">
        <v>2996</v>
      </c>
      <c r="H286" s="295" t="s">
        <v>58</v>
      </c>
      <c r="I286" s="294">
        <v>133970000</v>
      </c>
      <c r="P286" s="295" t="s">
        <v>576</v>
      </c>
      <c r="R286" s="500"/>
      <c r="S286" s="639" t="s">
        <v>1275</v>
      </c>
      <c r="T286" s="640"/>
      <c r="U286" s="640"/>
      <c r="V286" s="640"/>
      <c r="W286" s="640"/>
      <c r="X286" s="640"/>
      <c r="Y286" s="553"/>
      <c r="Z286" s="527" t="str">
        <f>IFERROR(INDEX(잔가map!$C$14:$AR$18,MATCH(차량DB!$Z$5,잔가map!$B$14:$B$18,0),MATCH(차량DB!Y286,잔가map!$C$13:$AR$13,0)),"")</f>
        <v/>
      </c>
      <c r="AA286" s="527" t="str">
        <f>IFERROR(INDEX(잔가map!$C$14:$AR$18,MATCH(차량DB!$AA$5,잔가map!$B$14:$B$18,0),MATCH(차량DB!Y286,잔가map!$C$13:$AR$13,0)),"")</f>
        <v/>
      </c>
      <c r="AB286" s="527" t="str">
        <f>IFERROR(INDEX(잔가map!$C$14:$AR$18,MATCH(차량DB!$AB$5,잔가map!$B$14:$B$18,0),MATCH(차량DB!Y286,잔가map!$C$13:$AR$13,0)),"")</f>
        <v/>
      </c>
      <c r="AC286" s="527" t="str">
        <f>IFERROR(INDEX(잔가map!$C$14:$AR$18,MATCH(차량DB!$AC$5,잔가map!$B$14:$B$18,0),MATCH(차량DB!Y286,잔가map!$C$13:$AR$13,0)),"")</f>
        <v/>
      </c>
      <c r="AD286" s="527" t="str">
        <f>IFERROR(INDEX(잔가map!$C$14:$AR$18,MATCH(차량DB!$AD$5,잔가map!$B$14:$B$18,0),MATCH(차량DB!Y286,잔가map!$C$13:$AR$13,0)),"")</f>
        <v/>
      </c>
      <c r="AE286" s="643"/>
      <c r="AF286" s="644"/>
      <c r="AG286" s="644"/>
      <c r="AH286" s="644"/>
      <c r="AI286" s="644"/>
      <c r="AJ286" s="644"/>
      <c r="AK286" s="547"/>
      <c r="AL286" s="576"/>
    </row>
    <row r="287" spans="5:38" x14ac:dyDescent="0.3">
      <c r="E287" s="293" t="s">
        <v>548</v>
      </c>
      <c r="F287" s="605" t="s">
        <v>1389</v>
      </c>
      <c r="G287" s="294">
        <v>2996</v>
      </c>
      <c r="H287" s="295" t="s">
        <v>58</v>
      </c>
      <c r="I287" s="294">
        <v>242270000</v>
      </c>
      <c r="P287" s="295" t="s">
        <v>1381</v>
      </c>
      <c r="R287" s="500"/>
      <c r="S287" s="639" t="s">
        <v>1396</v>
      </c>
      <c r="T287" s="640"/>
      <c r="U287" s="640"/>
      <c r="V287" s="640"/>
      <c r="W287" s="640"/>
      <c r="X287" s="640"/>
      <c r="Y287" s="553"/>
      <c r="Z287" s="527"/>
      <c r="AA287" s="527"/>
      <c r="AB287" s="527"/>
      <c r="AC287" s="527"/>
      <c r="AD287" s="527"/>
      <c r="AE287" s="643"/>
      <c r="AF287" s="644"/>
      <c r="AG287" s="644"/>
      <c r="AH287" s="644"/>
      <c r="AI287" s="644"/>
      <c r="AJ287" s="644"/>
      <c r="AK287" s="547"/>
      <c r="AL287" s="576"/>
    </row>
    <row r="288" spans="5:38" x14ac:dyDescent="0.3">
      <c r="E288" s="293" t="s">
        <v>548</v>
      </c>
      <c r="F288" s="605" t="s">
        <v>1390</v>
      </c>
      <c r="G288" s="294">
        <v>4395</v>
      </c>
      <c r="H288" s="295" t="s">
        <v>58</v>
      </c>
      <c r="I288" s="294">
        <v>245570000</v>
      </c>
      <c r="P288" s="295" t="s">
        <v>576</v>
      </c>
      <c r="R288" s="500"/>
      <c r="S288" s="639" t="s">
        <v>1397</v>
      </c>
      <c r="T288" s="640"/>
      <c r="U288" s="640"/>
      <c r="V288" s="640"/>
      <c r="W288" s="640"/>
      <c r="X288" s="640"/>
      <c r="Y288" s="553"/>
      <c r="Z288" s="527"/>
      <c r="AA288" s="527"/>
      <c r="AB288" s="527"/>
      <c r="AC288" s="527"/>
      <c r="AD288" s="527"/>
      <c r="AE288" s="643"/>
      <c r="AF288" s="644"/>
      <c r="AG288" s="644"/>
      <c r="AH288" s="644"/>
      <c r="AI288" s="644"/>
      <c r="AJ288" s="644"/>
      <c r="AK288" s="547"/>
      <c r="AL288" s="576"/>
    </row>
    <row r="289" spans="5:38" x14ac:dyDescent="0.3">
      <c r="E289" s="293" t="s">
        <v>548</v>
      </c>
      <c r="F289" s="605" t="s">
        <v>1391</v>
      </c>
      <c r="G289" s="294">
        <v>4395</v>
      </c>
      <c r="H289" s="295" t="s">
        <v>58</v>
      </c>
      <c r="I289" s="294">
        <v>257570000</v>
      </c>
      <c r="P289" s="295" t="s">
        <v>1381</v>
      </c>
      <c r="R289" s="500"/>
      <c r="S289" s="639" t="s">
        <v>1274</v>
      </c>
      <c r="T289" s="640"/>
      <c r="U289" s="640"/>
      <c r="V289" s="640"/>
      <c r="W289" s="640"/>
      <c r="X289" s="640"/>
      <c r="Y289" s="553"/>
      <c r="Z289" s="527"/>
      <c r="AA289" s="527"/>
      <c r="AB289" s="527"/>
      <c r="AC289" s="527"/>
      <c r="AD289" s="527"/>
      <c r="AE289" s="643"/>
      <c r="AF289" s="644"/>
      <c r="AG289" s="644"/>
      <c r="AH289" s="644"/>
      <c r="AI289" s="644"/>
      <c r="AJ289" s="644"/>
      <c r="AK289" s="547"/>
      <c r="AL289" s="576"/>
    </row>
    <row r="290" spans="5:38" x14ac:dyDescent="0.3">
      <c r="E290" s="293" t="s">
        <v>548</v>
      </c>
      <c r="F290" s="605" t="s">
        <v>1394</v>
      </c>
      <c r="G290" s="294">
        <v>4395</v>
      </c>
      <c r="H290" s="295" t="s">
        <v>305</v>
      </c>
      <c r="I290" s="294">
        <v>252570000</v>
      </c>
      <c r="R290" s="500"/>
      <c r="S290" s="639" t="s">
        <v>1397</v>
      </c>
      <c r="T290" s="640"/>
      <c r="U290" s="640"/>
      <c r="V290" s="640"/>
      <c r="W290" s="640"/>
      <c r="X290" s="640"/>
      <c r="Y290" s="553"/>
      <c r="Z290" s="527"/>
      <c r="AA290" s="527"/>
      <c r="AB290" s="527"/>
      <c r="AC290" s="527"/>
      <c r="AD290" s="527"/>
      <c r="AE290" s="643"/>
      <c r="AF290" s="644"/>
      <c r="AG290" s="644"/>
      <c r="AH290" s="644"/>
      <c r="AI290" s="644"/>
      <c r="AJ290" s="644"/>
      <c r="AK290" s="547"/>
      <c r="AL290" s="576"/>
    </row>
    <row r="291" spans="5:38" x14ac:dyDescent="0.3">
      <c r="E291" s="293" t="s">
        <v>548</v>
      </c>
      <c r="F291" s="605" t="s">
        <v>1395</v>
      </c>
      <c r="G291" s="294">
        <v>4395</v>
      </c>
      <c r="H291" s="295" t="s">
        <v>58</v>
      </c>
      <c r="I291" s="294">
        <v>337670000</v>
      </c>
      <c r="R291" s="500"/>
      <c r="S291" s="639" t="s">
        <v>1397</v>
      </c>
      <c r="T291" s="640"/>
      <c r="U291" s="640"/>
      <c r="V291" s="640"/>
      <c r="W291" s="640"/>
      <c r="X291" s="640"/>
      <c r="Y291" s="553"/>
      <c r="Z291" s="527"/>
      <c r="AA291" s="527"/>
      <c r="AB291" s="527"/>
      <c r="AC291" s="527"/>
      <c r="AD291" s="527"/>
      <c r="AE291" s="643"/>
      <c r="AF291" s="644"/>
      <c r="AG291" s="644"/>
      <c r="AH291" s="644"/>
      <c r="AI291" s="644"/>
      <c r="AJ291" s="644"/>
      <c r="AK291" s="547"/>
      <c r="AL291" s="576"/>
    </row>
    <row r="292" spans="5:38" x14ac:dyDescent="0.3">
      <c r="E292" s="293" t="s">
        <v>548</v>
      </c>
      <c r="F292" s="605" t="s">
        <v>1392</v>
      </c>
      <c r="G292" s="294">
        <v>2997</v>
      </c>
      <c r="H292" s="295" t="s">
        <v>58</v>
      </c>
      <c r="I292" s="294">
        <v>236570000</v>
      </c>
      <c r="P292" s="295" t="s">
        <v>576</v>
      </c>
      <c r="R292" s="500">
        <v>0</v>
      </c>
      <c r="S292" s="639" t="s">
        <v>1275</v>
      </c>
      <c r="T292" s="640"/>
      <c r="U292" s="640"/>
      <c r="V292" s="640"/>
      <c r="W292" s="640"/>
      <c r="X292" s="640"/>
      <c r="Y292" s="553"/>
      <c r="Z292" s="527" t="str">
        <f>IFERROR(INDEX(잔가map!$C$14:$AR$18,MATCH(차량DB!$Z$5,잔가map!$B$14:$B$18,0),MATCH(차량DB!Y292,잔가map!$C$13:$AR$13,0)),"")</f>
        <v/>
      </c>
      <c r="AA292" s="527" t="str">
        <f>IFERROR(INDEX(잔가map!$C$14:$AR$18,MATCH(차량DB!$AA$5,잔가map!$B$14:$B$18,0),MATCH(차량DB!Y292,잔가map!$C$13:$AR$13,0)),"")</f>
        <v/>
      </c>
      <c r="AB292" s="527" t="str">
        <f>IFERROR(INDEX(잔가map!$C$14:$AR$18,MATCH(차량DB!$AB$5,잔가map!$B$14:$B$18,0),MATCH(차량DB!Y292,잔가map!$C$13:$AR$13,0)),"")</f>
        <v/>
      </c>
      <c r="AC292" s="527" t="str">
        <f>IFERROR(INDEX(잔가map!$C$14:$AR$18,MATCH(차량DB!$AC$5,잔가map!$B$14:$B$18,0),MATCH(차량DB!Y292,잔가map!$C$13:$AR$13,0)),"")</f>
        <v/>
      </c>
      <c r="AD292" s="527" t="str">
        <f>IFERROR(INDEX(잔가map!$C$14:$AR$18,MATCH(차량DB!$AD$5,잔가map!$B$14:$B$18,0),MATCH(차량DB!Y292,잔가map!$C$13:$AR$13,0)),"")</f>
        <v/>
      </c>
      <c r="AE292" s="643"/>
      <c r="AF292" s="644"/>
      <c r="AG292" s="644"/>
      <c r="AH292" s="644"/>
      <c r="AI292" s="644"/>
      <c r="AJ292" s="644"/>
      <c r="AK292" s="547"/>
      <c r="AL292" s="576"/>
    </row>
    <row r="293" spans="5:38" x14ac:dyDescent="0.3">
      <c r="E293" s="293" t="s">
        <v>548</v>
      </c>
      <c r="F293" s="605" t="s">
        <v>1393</v>
      </c>
      <c r="G293" s="294">
        <v>2997</v>
      </c>
      <c r="H293" s="295" t="s">
        <v>58</v>
      </c>
      <c r="I293" s="294">
        <v>236570000</v>
      </c>
      <c r="P293" s="295" t="s">
        <v>576</v>
      </c>
      <c r="R293" s="500">
        <v>0</v>
      </c>
      <c r="S293" s="639" t="s">
        <v>1273</v>
      </c>
      <c r="T293" s="640"/>
      <c r="U293" s="640"/>
      <c r="V293" s="640"/>
      <c r="W293" s="640"/>
      <c r="X293" s="640"/>
      <c r="Y293" s="553"/>
      <c r="Z293" s="527" t="str">
        <f>IFERROR(INDEX(잔가map!$C$14:$AR$18,MATCH(차량DB!$Z$5,잔가map!$B$14:$B$18,0),MATCH(차량DB!Y293,잔가map!$C$13:$AR$13,0)),"")</f>
        <v/>
      </c>
      <c r="AA293" s="527" t="str">
        <f>IFERROR(INDEX(잔가map!$C$14:$AR$18,MATCH(차량DB!$AA$5,잔가map!$B$14:$B$18,0),MATCH(차량DB!Y293,잔가map!$C$13:$AR$13,0)),"")</f>
        <v/>
      </c>
      <c r="AB293" s="527" t="str">
        <f>IFERROR(INDEX(잔가map!$C$14:$AR$18,MATCH(차량DB!$AB$5,잔가map!$B$14:$B$18,0),MATCH(차량DB!Y293,잔가map!$C$13:$AR$13,0)),"")</f>
        <v/>
      </c>
      <c r="AC293" s="527" t="str">
        <f>IFERROR(INDEX(잔가map!$C$14:$AR$18,MATCH(차량DB!$AC$5,잔가map!$B$14:$B$18,0),MATCH(차량DB!Y293,잔가map!$C$13:$AR$13,0)),"")</f>
        <v/>
      </c>
      <c r="AD293" s="527" t="str">
        <f>IFERROR(INDEX(잔가map!$C$14:$AR$18,MATCH(차량DB!$AD$5,잔가map!$B$14:$B$18,0),MATCH(차량DB!Y293,잔가map!$C$13:$AR$13,0)),"")</f>
        <v/>
      </c>
      <c r="AE293" s="643"/>
      <c r="AF293" s="644"/>
      <c r="AG293" s="644"/>
      <c r="AH293" s="644"/>
      <c r="AI293" s="644"/>
      <c r="AJ293" s="644"/>
      <c r="AK293" s="547"/>
      <c r="AL293" s="576"/>
    </row>
    <row r="294" spans="5:38" x14ac:dyDescent="0.3">
      <c r="E294" s="293" t="s">
        <v>548</v>
      </c>
      <c r="F294" s="605" t="s">
        <v>1382</v>
      </c>
      <c r="G294" s="294">
        <v>1997</v>
      </c>
      <c r="H294" s="295" t="s">
        <v>58</v>
      </c>
      <c r="I294" s="294">
        <v>117970000</v>
      </c>
      <c r="P294" s="295" t="s">
        <v>1383</v>
      </c>
      <c r="R294" s="500"/>
      <c r="S294" s="639" t="s">
        <v>1398</v>
      </c>
      <c r="T294" s="640"/>
      <c r="U294" s="640"/>
      <c r="V294" s="640"/>
      <c r="W294" s="640"/>
      <c r="X294" s="640"/>
      <c r="Y294" s="553"/>
      <c r="Z294" s="527"/>
      <c r="AA294" s="527"/>
      <c r="AB294" s="527"/>
      <c r="AC294" s="527"/>
      <c r="AD294" s="527"/>
      <c r="AE294" s="643"/>
      <c r="AF294" s="644"/>
      <c r="AG294" s="644"/>
      <c r="AH294" s="644"/>
      <c r="AI294" s="644"/>
      <c r="AJ294" s="644"/>
      <c r="AK294" s="547"/>
      <c r="AL294" s="576"/>
    </row>
    <row r="295" spans="5:38" x14ac:dyDescent="0.3">
      <c r="E295" s="293" t="s">
        <v>548</v>
      </c>
      <c r="F295" s="605" t="s">
        <v>1384</v>
      </c>
      <c r="G295" s="294">
        <v>1997</v>
      </c>
      <c r="H295" s="295" t="s">
        <v>58</v>
      </c>
      <c r="I295" s="294">
        <v>97100000</v>
      </c>
      <c r="P295" s="295" t="s">
        <v>576</v>
      </c>
      <c r="R295" s="500">
        <v>0</v>
      </c>
      <c r="S295" s="639" t="s">
        <v>1372</v>
      </c>
      <c r="T295" s="640"/>
      <c r="U295" s="640"/>
      <c r="V295" s="640"/>
      <c r="W295" s="640"/>
      <c r="X295" s="640"/>
      <c r="Y295" s="553"/>
      <c r="Z295" s="527" t="str">
        <f>IFERROR(INDEX(잔가map!$C$14:$AR$18,MATCH(차량DB!$Z$5,잔가map!$B$14:$B$18,0),MATCH(차량DB!Y295,잔가map!$C$13:$AR$13,0)),"")</f>
        <v/>
      </c>
      <c r="AA295" s="527" t="str">
        <f>IFERROR(INDEX(잔가map!$C$14:$AR$18,MATCH(차량DB!$AA$5,잔가map!$B$14:$B$18,0),MATCH(차량DB!Y295,잔가map!$C$13:$AR$13,0)),"")</f>
        <v/>
      </c>
      <c r="AB295" s="527" t="str">
        <f>IFERROR(INDEX(잔가map!$C$14:$AR$18,MATCH(차량DB!$AB$5,잔가map!$B$14:$B$18,0),MATCH(차량DB!Y295,잔가map!$C$13:$AR$13,0)),"")</f>
        <v/>
      </c>
      <c r="AC295" s="527" t="str">
        <f>IFERROR(INDEX(잔가map!$C$14:$AR$18,MATCH(차량DB!$AC$5,잔가map!$B$14:$B$18,0),MATCH(차량DB!Y295,잔가map!$C$13:$AR$13,0)),"")</f>
        <v/>
      </c>
      <c r="AD295" s="527" t="str">
        <f>IFERROR(INDEX(잔가map!$C$14:$AR$18,MATCH(차량DB!$AD$5,잔가map!$B$14:$B$18,0),MATCH(차량DB!Y295,잔가map!$C$13:$AR$13,0)),"")</f>
        <v/>
      </c>
      <c r="AE295" s="643"/>
      <c r="AF295" s="644"/>
      <c r="AG295" s="644"/>
      <c r="AH295" s="644"/>
      <c r="AI295" s="644"/>
      <c r="AJ295" s="644"/>
      <c r="AK295" s="547"/>
      <c r="AL295" s="576"/>
    </row>
    <row r="296" spans="5:38" x14ac:dyDescent="0.3">
      <c r="E296" s="293" t="s">
        <v>548</v>
      </c>
      <c r="F296" s="605" t="s">
        <v>1385</v>
      </c>
      <c r="G296" s="294">
        <v>2996</v>
      </c>
      <c r="H296" s="295" t="s">
        <v>58</v>
      </c>
      <c r="I296" s="294">
        <v>127370000</v>
      </c>
      <c r="P296" s="295" t="s">
        <v>576</v>
      </c>
      <c r="R296" s="500">
        <v>0</v>
      </c>
      <c r="S296" s="639" t="s">
        <v>1399</v>
      </c>
      <c r="T296" s="640"/>
      <c r="U296" s="640"/>
      <c r="V296" s="640"/>
      <c r="W296" s="640"/>
      <c r="X296" s="640"/>
      <c r="Y296" s="553"/>
      <c r="Z296" s="527" t="str">
        <f>IFERROR(INDEX(잔가map!$C$14:$AR$18,MATCH(차량DB!$Z$5,잔가map!$B$14:$B$18,0),MATCH(차량DB!Y296,잔가map!$C$13:$AR$13,0)),"")</f>
        <v/>
      </c>
      <c r="AA296" s="527" t="str">
        <f>IFERROR(INDEX(잔가map!$C$14:$AR$18,MATCH(차량DB!$AA$5,잔가map!$B$14:$B$18,0),MATCH(차량DB!Y296,잔가map!$C$13:$AR$13,0)),"")</f>
        <v/>
      </c>
      <c r="AB296" s="527" t="str">
        <f>IFERROR(INDEX(잔가map!$C$14:$AR$18,MATCH(차량DB!$AB$5,잔가map!$B$14:$B$18,0),MATCH(차량DB!Y296,잔가map!$C$13:$AR$13,0)),"")</f>
        <v/>
      </c>
      <c r="AC296" s="527" t="str">
        <f>IFERROR(INDEX(잔가map!$C$14:$AR$18,MATCH(차량DB!$AC$5,잔가map!$B$14:$B$18,0),MATCH(차량DB!Y296,잔가map!$C$13:$AR$13,0)),"")</f>
        <v/>
      </c>
      <c r="AD296" s="527" t="str">
        <f>IFERROR(INDEX(잔가map!$C$14:$AR$18,MATCH(차량DB!$AD$5,잔가map!$B$14:$B$18,0),MATCH(차량DB!Y296,잔가map!$C$13:$AR$13,0)),"")</f>
        <v/>
      </c>
      <c r="AE296" s="643"/>
      <c r="AF296" s="644"/>
      <c r="AG296" s="644"/>
      <c r="AH296" s="644"/>
      <c r="AI296" s="644"/>
      <c r="AJ296" s="644"/>
      <c r="AK296" s="547"/>
      <c r="AL296" s="576"/>
    </row>
    <row r="297" spans="5:38" x14ac:dyDescent="0.3">
      <c r="E297" s="293" t="s">
        <v>548</v>
      </c>
      <c r="F297" s="605" t="s">
        <v>886</v>
      </c>
      <c r="G297" s="294">
        <v>2995</v>
      </c>
      <c r="H297" s="295" t="s">
        <v>58</v>
      </c>
      <c r="I297" s="294">
        <v>118600000</v>
      </c>
      <c r="P297" s="295" t="s">
        <v>576</v>
      </c>
      <c r="R297" s="500">
        <v>0</v>
      </c>
      <c r="S297" s="639" t="s">
        <v>1372</v>
      </c>
      <c r="T297" s="640"/>
      <c r="U297" s="640"/>
      <c r="V297" s="640"/>
      <c r="W297" s="640"/>
      <c r="X297" s="640"/>
      <c r="Y297" s="553"/>
      <c r="Z297" s="527" t="str">
        <f>IFERROR(INDEX(잔가map!$C$14:$AR$18,MATCH(차량DB!$Z$5,잔가map!$B$14:$B$18,0),MATCH(차량DB!Y297,잔가map!$C$13:$AR$13,0)),"")</f>
        <v/>
      </c>
      <c r="AA297" s="527" t="str">
        <f>IFERROR(INDEX(잔가map!$C$14:$AR$18,MATCH(차량DB!$AA$5,잔가map!$B$14:$B$18,0),MATCH(차량DB!Y297,잔가map!$C$13:$AR$13,0)),"")</f>
        <v/>
      </c>
      <c r="AB297" s="527" t="str">
        <f>IFERROR(INDEX(잔가map!$C$14:$AR$18,MATCH(차량DB!$AB$5,잔가map!$B$14:$B$18,0),MATCH(차량DB!Y297,잔가map!$C$13:$AR$13,0)),"")</f>
        <v/>
      </c>
      <c r="AC297" s="527" t="str">
        <f>IFERROR(INDEX(잔가map!$C$14:$AR$18,MATCH(차량DB!$AC$5,잔가map!$B$14:$B$18,0),MATCH(차량DB!Y297,잔가map!$C$13:$AR$13,0)),"")</f>
        <v/>
      </c>
      <c r="AD297" s="527" t="str">
        <f>IFERROR(INDEX(잔가map!$C$14:$AR$18,MATCH(차량DB!$AD$5,잔가map!$B$14:$B$18,0),MATCH(차량DB!Y297,잔가map!$C$13:$AR$13,0)),"")</f>
        <v/>
      </c>
      <c r="AE297" s="643"/>
      <c r="AF297" s="644"/>
      <c r="AG297" s="644"/>
      <c r="AH297" s="644"/>
      <c r="AI297" s="644"/>
      <c r="AJ297" s="644"/>
      <c r="AK297" s="547"/>
      <c r="AL297" s="576"/>
    </row>
    <row r="298" spans="5:38" x14ac:dyDescent="0.3">
      <c r="E298" s="293" t="s">
        <v>548</v>
      </c>
      <c r="F298" s="605" t="s">
        <v>1364</v>
      </c>
      <c r="G298" s="294">
        <v>2997</v>
      </c>
      <c r="H298" s="295" t="s">
        <v>58</v>
      </c>
      <c r="I298" s="294">
        <v>116700000</v>
      </c>
      <c r="P298" s="295" t="s">
        <v>576</v>
      </c>
      <c r="R298" s="500"/>
      <c r="S298" s="639" t="s">
        <v>1256</v>
      </c>
      <c r="T298" s="640"/>
      <c r="U298" s="640"/>
      <c r="V298" s="640"/>
      <c r="W298" s="640"/>
      <c r="X298" s="640"/>
      <c r="Y298" s="553"/>
      <c r="Z298" s="527" t="str">
        <f>IFERROR(INDEX(잔가map!$C$14:$AR$18,MATCH(차량DB!$Z$5,잔가map!$B$14:$B$18,0),MATCH(차량DB!Y298,잔가map!$C$13:$AR$13,0)),"")</f>
        <v/>
      </c>
      <c r="AA298" s="527" t="str">
        <f>IFERROR(INDEX(잔가map!$C$14:$AR$18,MATCH(차량DB!$AA$5,잔가map!$B$14:$B$18,0),MATCH(차량DB!Y298,잔가map!$C$13:$AR$13,0)),"")</f>
        <v/>
      </c>
      <c r="AB298" s="527" t="str">
        <f>IFERROR(INDEX(잔가map!$C$14:$AR$18,MATCH(차량DB!$AB$5,잔가map!$B$14:$B$18,0),MATCH(차량DB!Y298,잔가map!$C$13:$AR$13,0)),"")</f>
        <v/>
      </c>
      <c r="AC298" s="527" t="str">
        <f>IFERROR(INDEX(잔가map!$C$14:$AR$18,MATCH(차량DB!$AC$5,잔가map!$B$14:$B$18,0),MATCH(차량DB!Y298,잔가map!$C$13:$AR$13,0)),"")</f>
        <v/>
      </c>
      <c r="AD298" s="527" t="str">
        <f>IFERROR(INDEX(잔가map!$C$14:$AR$18,MATCH(차량DB!$AD$5,잔가map!$B$14:$B$18,0),MATCH(차량DB!Y298,잔가map!$C$13:$AR$13,0)),"")</f>
        <v/>
      </c>
      <c r="AE298" s="643"/>
      <c r="AF298" s="644"/>
      <c r="AG298" s="644"/>
      <c r="AH298" s="644"/>
      <c r="AI298" s="644"/>
      <c r="AJ298" s="644"/>
      <c r="AK298" s="547"/>
      <c r="AL298" s="576"/>
    </row>
    <row r="299" spans="5:38" x14ac:dyDescent="0.3">
      <c r="E299" s="293" t="s">
        <v>548</v>
      </c>
      <c r="F299" s="605" t="s">
        <v>1365</v>
      </c>
      <c r="G299" s="294">
        <v>2997</v>
      </c>
      <c r="H299" s="295" t="s">
        <v>58</v>
      </c>
      <c r="I299" s="294">
        <v>127070000</v>
      </c>
      <c r="P299" s="295" t="s">
        <v>576</v>
      </c>
      <c r="R299" s="500"/>
      <c r="S299" s="639" t="s">
        <v>1254</v>
      </c>
      <c r="T299" s="640"/>
      <c r="U299" s="640"/>
      <c r="V299" s="640"/>
      <c r="W299" s="640"/>
      <c r="X299" s="640"/>
      <c r="Y299" s="553"/>
      <c r="Z299" s="527" t="str">
        <f>IFERROR(INDEX(잔가map!$C$14:$AR$18,MATCH(차량DB!$Z$5,잔가map!$B$14:$B$18,0),MATCH(차량DB!Y299,잔가map!$C$13:$AR$13,0)),"")</f>
        <v/>
      </c>
      <c r="AA299" s="527" t="str">
        <f>IFERROR(INDEX(잔가map!$C$14:$AR$18,MATCH(차량DB!$AA$5,잔가map!$B$14:$B$18,0),MATCH(차량DB!Y299,잔가map!$C$13:$AR$13,0)),"")</f>
        <v/>
      </c>
      <c r="AB299" s="527" t="str">
        <f>IFERROR(INDEX(잔가map!$C$14:$AR$18,MATCH(차량DB!$AB$5,잔가map!$B$14:$B$18,0),MATCH(차량DB!Y299,잔가map!$C$13:$AR$13,0)),"")</f>
        <v/>
      </c>
      <c r="AC299" s="527" t="str">
        <f>IFERROR(INDEX(잔가map!$C$14:$AR$18,MATCH(차량DB!$AC$5,잔가map!$B$14:$B$18,0),MATCH(차량DB!Y299,잔가map!$C$13:$AR$13,0)),"")</f>
        <v/>
      </c>
      <c r="AD299" s="527" t="str">
        <f>IFERROR(INDEX(잔가map!$C$14:$AR$18,MATCH(차량DB!$AD$5,잔가map!$B$14:$B$18,0),MATCH(차량DB!Y299,잔가map!$C$13:$AR$13,0)),"")</f>
        <v/>
      </c>
      <c r="AE299" s="643"/>
      <c r="AF299" s="644"/>
      <c r="AG299" s="644"/>
      <c r="AH299" s="644"/>
      <c r="AI299" s="644"/>
      <c r="AJ299" s="644"/>
      <c r="AK299" s="547"/>
      <c r="AL299" s="576"/>
    </row>
    <row r="300" spans="5:38" x14ac:dyDescent="0.3">
      <c r="E300" s="293" t="s">
        <v>548</v>
      </c>
      <c r="F300" s="605" t="s">
        <v>872</v>
      </c>
      <c r="G300" s="294">
        <v>1997</v>
      </c>
      <c r="H300" s="295" t="s">
        <v>58</v>
      </c>
      <c r="I300" s="294">
        <v>109100000</v>
      </c>
      <c r="P300" s="295" t="s">
        <v>576</v>
      </c>
      <c r="R300" s="500"/>
      <c r="S300" s="639" t="s">
        <v>1254</v>
      </c>
      <c r="T300" s="640"/>
      <c r="U300" s="640"/>
      <c r="V300" s="640"/>
      <c r="W300" s="640"/>
      <c r="X300" s="640"/>
      <c r="Y300" s="553"/>
      <c r="Z300" s="527" t="str">
        <f>IFERROR(INDEX(잔가map!$C$14:$AR$18,MATCH(차량DB!$Z$5,잔가map!$B$14:$B$18,0),MATCH(차량DB!Y300,잔가map!$C$13:$AR$13,0)),"")</f>
        <v/>
      </c>
      <c r="AA300" s="527" t="str">
        <f>IFERROR(INDEX(잔가map!$C$14:$AR$18,MATCH(차량DB!$AA$5,잔가map!$B$14:$B$18,0),MATCH(차량DB!Y300,잔가map!$C$13:$AR$13,0)),"")</f>
        <v/>
      </c>
      <c r="AB300" s="527" t="str">
        <f>IFERROR(INDEX(잔가map!$C$14:$AR$18,MATCH(차량DB!$AB$5,잔가map!$B$14:$B$18,0),MATCH(차량DB!Y300,잔가map!$C$13:$AR$13,0)),"")</f>
        <v/>
      </c>
      <c r="AC300" s="527" t="str">
        <f>IFERROR(INDEX(잔가map!$C$14:$AR$18,MATCH(차량DB!$AC$5,잔가map!$B$14:$B$18,0),MATCH(차량DB!Y300,잔가map!$C$13:$AR$13,0)),"")</f>
        <v/>
      </c>
      <c r="AD300" s="527" t="str">
        <f>IFERROR(INDEX(잔가map!$C$14:$AR$18,MATCH(차량DB!$AD$5,잔가map!$B$14:$B$18,0),MATCH(차량DB!Y300,잔가map!$C$13:$AR$13,0)),"")</f>
        <v/>
      </c>
      <c r="AE300" s="643"/>
      <c r="AF300" s="644"/>
      <c r="AG300" s="644"/>
      <c r="AH300" s="644"/>
      <c r="AI300" s="644"/>
      <c r="AJ300" s="644"/>
      <c r="AK300" s="547"/>
      <c r="AL300" s="576"/>
    </row>
    <row r="301" spans="5:38" x14ac:dyDescent="0.3">
      <c r="E301" s="293" t="s">
        <v>548</v>
      </c>
      <c r="F301" s="605" t="s">
        <v>1366</v>
      </c>
      <c r="G301" s="294">
        <v>4395</v>
      </c>
      <c r="H301" s="295" t="s">
        <v>58</v>
      </c>
      <c r="I301" s="294">
        <v>224970000</v>
      </c>
      <c r="P301" s="295" t="s">
        <v>576</v>
      </c>
      <c r="R301" s="500"/>
      <c r="S301" s="639" t="s">
        <v>1254</v>
      </c>
      <c r="T301" s="640"/>
      <c r="U301" s="640"/>
      <c r="V301" s="640"/>
      <c r="W301" s="640"/>
      <c r="X301" s="640"/>
      <c r="Y301" s="553"/>
      <c r="Z301" s="527"/>
      <c r="AA301" s="527"/>
      <c r="AB301" s="527"/>
      <c r="AC301" s="527"/>
      <c r="AD301" s="527"/>
      <c r="AE301" s="643"/>
      <c r="AF301" s="644"/>
      <c r="AG301" s="644"/>
      <c r="AH301" s="644"/>
      <c r="AI301" s="644"/>
      <c r="AJ301" s="644"/>
      <c r="AK301" s="547"/>
      <c r="AL301" s="576"/>
    </row>
    <row r="302" spans="5:38" x14ac:dyDescent="0.3">
      <c r="E302" s="293" t="s">
        <v>548</v>
      </c>
      <c r="F302" s="605" t="s">
        <v>1367</v>
      </c>
      <c r="G302" s="294">
        <v>4395</v>
      </c>
      <c r="H302" s="295" t="s">
        <v>58</v>
      </c>
      <c r="I302" s="294">
        <v>242570000</v>
      </c>
      <c r="P302" s="295" t="s">
        <v>576</v>
      </c>
      <c r="R302" s="500"/>
      <c r="S302" s="639" t="s">
        <v>1254</v>
      </c>
      <c r="T302" s="640"/>
      <c r="U302" s="640"/>
      <c r="V302" s="640"/>
      <c r="W302" s="640"/>
      <c r="X302" s="640"/>
      <c r="Y302" s="553"/>
      <c r="Z302" s="527"/>
      <c r="AA302" s="527"/>
      <c r="AB302" s="527"/>
      <c r="AC302" s="527"/>
      <c r="AD302" s="527"/>
      <c r="AE302" s="643"/>
      <c r="AF302" s="644"/>
      <c r="AG302" s="644"/>
      <c r="AH302" s="644"/>
      <c r="AI302" s="644"/>
      <c r="AJ302" s="644"/>
      <c r="AK302" s="547"/>
      <c r="AL302" s="576"/>
    </row>
    <row r="303" spans="5:38" x14ac:dyDescent="0.3">
      <c r="E303" s="293" t="s">
        <v>548</v>
      </c>
      <c r="F303" s="605" t="s">
        <v>873</v>
      </c>
      <c r="G303" s="294">
        <v>2996</v>
      </c>
      <c r="H303" s="295" t="s">
        <v>58</v>
      </c>
      <c r="I303" s="294">
        <v>145870000</v>
      </c>
      <c r="P303" s="295" t="s">
        <v>576</v>
      </c>
      <c r="R303" s="500"/>
      <c r="S303" s="639" t="s">
        <v>1256</v>
      </c>
      <c r="T303" s="640"/>
      <c r="U303" s="640"/>
      <c r="V303" s="640"/>
      <c r="W303" s="640"/>
      <c r="X303" s="640"/>
      <c r="Y303" s="553"/>
      <c r="Z303" s="527" t="str">
        <f>IFERROR(INDEX(잔가map!$C$14:$AR$18,MATCH(차량DB!$Z$5,잔가map!$B$14:$B$18,0),MATCH(차량DB!Y303,잔가map!$C$13:$AR$13,0)),"")</f>
        <v/>
      </c>
      <c r="AA303" s="527" t="str">
        <f>IFERROR(INDEX(잔가map!$C$14:$AR$18,MATCH(차량DB!$AA$5,잔가map!$B$14:$B$18,0),MATCH(차량DB!Y303,잔가map!$C$13:$AR$13,0)),"")</f>
        <v/>
      </c>
      <c r="AB303" s="527" t="str">
        <f>IFERROR(INDEX(잔가map!$C$14:$AR$18,MATCH(차량DB!$AB$5,잔가map!$B$14:$B$18,0),MATCH(차량DB!Y303,잔가map!$C$13:$AR$13,0)),"")</f>
        <v/>
      </c>
      <c r="AC303" s="527" t="str">
        <f>IFERROR(INDEX(잔가map!$C$14:$AR$18,MATCH(차량DB!$AC$5,잔가map!$B$14:$B$18,0),MATCH(차량DB!Y303,잔가map!$C$13:$AR$13,0)),"")</f>
        <v/>
      </c>
      <c r="AD303" s="527" t="str">
        <f>IFERROR(INDEX(잔가map!$C$14:$AR$18,MATCH(차량DB!$AD$5,잔가map!$B$14:$B$18,0),MATCH(차량DB!Y303,잔가map!$C$13:$AR$13,0)),"")</f>
        <v/>
      </c>
      <c r="AE303" s="643"/>
      <c r="AF303" s="644"/>
      <c r="AG303" s="644"/>
      <c r="AH303" s="644"/>
      <c r="AI303" s="644"/>
      <c r="AJ303" s="644"/>
      <c r="AK303" s="547"/>
      <c r="AL303" s="576"/>
    </row>
    <row r="304" spans="5:38" x14ac:dyDescent="0.3">
      <c r="E304" s="293" t="s">
        <v>548</v>
      </c>
      <c r="F304" s="605" t="s">
        <v>874</v>
      </c>
      <c r="G304" s="294">
        <v>2997</v>
      </c>
      <c r="H304" s="295" t="s">
        <v>58</v>
      </c>
      <c r="I304" s="294">
        <v>137070000</v>
      </c>
      <c r="P304" s="295" t="s">
        <v>576</v>
      </c>
      <c r="R304" s="500"/>
      <c r="S304" s="639" t="s">
        <v>1254</v>
      </c>
      <c r="T304" s="640"/>
      <c r="U304" s="640"/>
      <c r="V304" s="640"/>
      <c r="W304" s="640"/>
      <c r="X304" s="640"/>
      <c r="Y304" s="553"/>
      <c r="Z304" s="527" t="str">
        <f>IFERROR(INDEX(잔가map!$C$14:$AR$18,MATCH(차량DB!$Z$5,잔가map!$B$14:$B$18,0),MATCH(차량DB!Y304,잔가map!$C$13:$AR$13,0)),"")</f>
        <v/>
      </c>
      <c r="AA304" s="527" t="str">
        <f>IFERROR(INDEX(잔가map!$C$14:$AR$18,MATCH(차량DB!$AA$5,잔가map!$B$14:$B$18,0),MATCH(차량DB!Y304,잔가map!$C$13:$AR$13,0)),"")</f>
        <v/>
      </c>
      <c r="AB304" s="527" t="str">
        <f>IFERROR(INDEX(잔가map!$C$14:$AR$18,MATCH(차량DB!$AB$5,잔가map!$B$14:$B$18,0),MATCH(차량DB!Y304,잔가map!$C$13:$AR$13,0)),"")</f>
        <v/>
      </c>
      <c r="AC304" s="527" t="str">
        <f>IFERROR(INDEX(잔가map!$C$14:$AR$18,MATCH(차량DB!$AC$5,잔가map!$B$14:$B$18,0),MATCH(차량DB!Y304,잔가map!$C$13:$AR$13,0)),"")</f>
        <v/>
      </c>
      <c r="AD304" s="527" t="str">
        <f>IFERROR(INDEX(잔가map!$C$14:$AR$18,MATCH(차량DB!$AD$5,잔가map!$B$14:$B$18,0),MATCH(차량DB!Y304,잔가map!$C$13:$AR$13,0)),"")</f>
        <v/>
      </c>
      <c r="AE304" s="643"/>
      <c r="AF304" s="644"/>
      <c r="AG304" s="644"/>
      <c r="AH304" s="644"/>
      <c r="AI304" s="644"/>
      <c r="AJ304" s="644"/>
      <c r="AK304" s="547"/>
      <c r="AL304" s="576"/>
    </row>
    <row r="305" spans="5:38" x14ac:dyDescent="0.3">
      <c r="E305" s="293" t="s">
        <v>548</v>
      </c>
      <c r="F305" s="605" t="s">
        <v>875</v>
      </c>
      <c r="G305" s="294">
        <v>2996</v>
      </c>
      <c r="H305" s="295" t="s">
        <v>58</v>
      </c>
      <c r="I305" s="294">
        <v>152970000</v>
      </c>
      <c r="P305" s="295" t="s">
        <v>576</v>
      </c>
      <c r="R305" s="500"/>
      <c r="S305" s="639" t="s">
        <v>1260</v>
      </c>
      <c r="T305" s="640"/>
      <c r="U305" s="640"/>
      <c r="V305" s="640"/>
      <c r="W305" s="640"/>
      <c r="X305" s="640"/>
      <c r="Y305" s="553"/>
      <c r="Z305" s="527" t="str">
        <f>IFERROR(INDEX(잔가map!$C$14:$AR$18,MATCH(차량DB!$Z$5,잔가map!$B$14:$B$18,0),MATCH(차량DB!Y305,잔가map!$C$13:$AR$13,0)),"")</f>
        <v/>
      </c>
      <c r="AA305" s="527" t="str">
        <f>IFERROR(INDEX(잔가map!$C$14:$AR$18,MATCH(차량DB!$AA$5,잔가map!$B$14:$B$18,0),MATCH(차량DB!Y305,잔가map!$C$13:$AR$13,0)),"")</f>
        <v/>
      </c>
      <c r="AB305" s="527" t="str">
        <f>IFERROR(INDEX(잔가map!$C$14:$AR$18,MATCH(차량DB!$AB$5,잔가map!$B$14:$B$18,0),MATCH(차량DB!Y305,잔가map!$C$13:$AR$13,0)),"")</f>
        <v/>
      </c>
      <c r="AC305" s="527" t="str">
        <f>IFERROR(INDEX(잔가map!$C$14:$AR$18,MATCH(차량DB!$AC$5,잔가map!$B$14:$B$18,0),MATCH(차량DB!Y305,잔가map!$C$13:$AR$13,0)),"")</f>
        <v/>
      </c>
      <c r="AD305" s="527" t="str">
        <f>IFERROR(INDEX(잔가map!$C$14:$AR$18,MATCH(차량DB!$AD$5,잔가map!$B$14:$B$18,0),MATCH(차량DB!Y305,잔가map!$C$13:$AR$13,0)),"")</f>
        <v/>
      </c>
      <c r="AE305" s="643"/>
      <c r="AF305" s="644"/>
      <c r="AG305" s="644"/>
      <c r="AH305" s="644"/>
      <c r="AI305" s="644"/>
      <c r="AJ305" s="644"/>
      <c r="AK305" s="547"/>
      <c r="AL305" s="576"/>
    </row>
    <row r="306" spans="5:38" x14ac:dyDescent="0.3">
      <c r="E306" s="293" t="s">
        <v>548</v>
      </c>
      <c r="F306" s="605" t="s">
        <v>1368</v>
      </c>
      <c r="G306" s="294">
        <v>2997</v>
      </c>
      <c r="H306" s="295" t="s">
        <v>58</v>
      </c>
      <c r="I306" s="294">
        <v>106970000</v>
      </c>
      <c r="P306" s="295" t="s">
        <v>576</v>
      </c>
      <c r="R306" s="500"/>
      <c r="S306" s="639" t="s">
        <v>1259</v>
      </c>
      <c r="T306" s="640"/>
      <c r="U306" s="640"/>
      <c r="V306" s="640"/>
      <c r="W306" s="640"/>
      <c r="X306" s="640"/>
      <c r="Y306" s="553"/>
      <c r="Z306" s="527" t="str">
        <f>IFERROR(INDEX(잔가map!$C$14:$AR$18,MATCH(차량DB!$Z$5,잔가map!$B$14:$B$18,0),MATCH(차량DB!Y306,잔가map!$C$13:$AR$13,0)),"")</f>
        <v/>
      </c>
      <c r="AA306" s="527" t="str">
        <f>IFERROR(INDEX(잔가map!$C$14:$AR$18,MATCH(차량DB!$AA$5,잔가map!$B$14:$B$18,0),MATCH(차량DB!Y306,잔가map!$C$13:$AR$13,0)),"")</f>
        <v/>
      </c>
      <c r="AB306" s="527" t="str">
        <f>IFERROR(INDEX(잔가map!$C$14:$AR$18,MATCH(차량DB!$AB$5,잔가map!$B$14:$B$18,0),MATCH(차량DB!Y306,잔가map!$C$13:$AR$13,0)),"")</f>
        <v/>
      </c>
      <c r="AC306" s="527" t="str">
        <f>IFERROR(INDEX(잔가map!$C$14:$AR$18,MATCH(차량DB!$AC$5,잔가map!$B$14:$B$18,0),MATCH(차량DB!Y306,잔가map!$C$13:$AR$13,0)),"")</f>
        <v/>
      </c>
      <c r="AD306" s="527" t="str">
        <f>IFERROR(INDEX(잔가map!$C$14:$AR$18,MATCH(차량DB!$AD$5,잔가map!$B$14:$B$18,0),MATCH(차량DB!Y306,잔가map!$C$13:$AR$13,0)),"")</f>
        <v/>
      </c>
      <c r="AE306" s="643"/>
      <c r="AF306" s="644"/>
      <c r="AG306" s="644"/>
      <c r="AH306" s="644"/>
      <c r="AI306" s="644"/>
      <c r="AJ306" s="644"/>
      <c r="AK306" s="547"/>
      <c r="AL306" s="576"/>
    </row>
    <row r="307" spans="5:38" x14ac:dyDescent="0.3">
      <c r="E307" s="293" t="s">
        <v>548</v>
      </c>
      <c r="F307" s="605" t="s">
        <v>1369</v>
      </c>
      <c r="G307" s="294">
        <v>2996</v>
      </c>
      <c r="H307" s="295" t="s">
        <v>58</v>
      </c>
      <c r="I307" s="294">
        <v>141470000</v>
      </c>
      <c r="P307" s="295" t="s">
        <v>576</v>
      </c>
      <c r="R307" s="500"/>
      <c r="S307" s="639" t="s">
        <v>1261</v>
      </c>
      <c r="T307" s="640"/>
      <c r="U307" s="640"/>
      <c r="V307" s="640"/>
      <c r="W307" s="640"/>
      <c r="X307" s="640"/>
      <c r="Y307" s="553"/>
      <c r="Z307" s="527" t="str">
        <f>IFERROR(INDEX(잔가map!$C$14:$AR$18,MATCH(차량DB!$Z$5,잔가map!$B$14:$B$18,0),MATCH(차량DB!Y307,잔가map!$C$13:$AR$13,0)),"")</f>
        <v/>
      </c>
      <c r="AA307" s="527" t="str">
        <f>IFERROR(INDEX(잔가map!$C$14:$AR$18,MATCH(차량DB!$AA$5,잔가map!$B$14:$B$18,0),MATCH(차량DB!Y307,잔가map!$C$13:$AR$13,0)),"")</f>
        <v/>
      </c>
      <c r="AB307" s="527" t="str">
        <f>IFERROR(INDEX(잔가map!$C$14:$AR$18,MATCH(차량DB!$AB$5,잔가map!$B$14:$B$18,0),MATCH(차량DB!Y307,잔가map!$C$13:$AR$13,0)),"")</f>
        <v/>
      </c>
      <c r="AC307" s="527" t="str">
        <f>IFERROR(INDEX(잔가map!$C$14:$AR$18,MATCH(차량DB!$AC$5,잔가map!$B$14:$B$18,0),MATCH(차량DB!Y307,잔가map!$C$13:$AR$13,0)),"")</f>
        <v/>
      </c>
      <c r="AD307" s="527" t="str">
        <f>IFERROR(INDEX(잔가map!$C$14:$AR$18,MATCH(차량DB!$AD$5,잔가map!$B$14:$B$18,0),MATCH(차량DB!Y307,잔가map!$C$13:$AR$13,0)),"")</f>
        <v/>
      </c>
      <c r="AE307" s="643"/>
      <c r="AF307" s="644"/>
      <c r="AG307" s="644"/>
      <c r="AH307" s="644"/>
      <c r="AI307" s="644"/>
      <c r="AJ307" s="644"/>
      <c r="AK307" s="547"/>
      <c r="AL307" s="576"/>
    </row>
    <row r="308" spans="5:38" x14ac:dyDescent="0.3">
      <c r="E308" s="293" t="s">
        <v>312</v>
      </c>
      <c r="F308" s="605" t="s">
        <v>900</v>
      </c>
      <c r="G308" s="294">
        <v>1995</v>
      </c>
      <c r="H308" s="295" t="s">
        <v>58</v>
      </c>
      <c r="I308" s="294">
        <v>77100000</v>
      </c>
      <c r="P308" s="295" t="s">
        <v>576</v>
      </c>
      <c r="R308" s="500">
        <v>0</v>
      </c>
      <c r="S308" s="639"/>
      <c r="T308" s="640"/>
      <c r="U308" s="640"/>
      <c r="V308" s="640"/>
      <c r="W308" s="640"/>
      <c r="X308" s="640"/>
      <c r="Y308" s="553"/>
      <c r="Z308" s="527" t="str">
        <f>IFERROR(INDEX(잔가map!$C$14:$AR$18,MATCH(차량DB!$Z$5,잔가map!$B$14:$B$18,0),MATCH(차량DB!Y308,잔가map!$C$13:$AR$13,0)),"")</f>
        <v/>
      </c>
      <c r="AA308" s="527" t="str">
        <f>IFERROR(INDEX(잔가map!$C$14:$AR$18,MATCH(차량DB!$AA$5,잔가map!$B$14:$B$18,0),MATCH(차량DB!Y308,잔가map!$C$13:$AR$13,0)),"")</f>
        <v/>
      </c>
      <c r="AB308" s="527" t="str">
        <f>IFERROR(INDEX(잔가map!$C$14:$AR$18,MATCH(차량DB!$AB$5,잔가map!$B$14:$B$18,0),MATCH(차량DB!Y308,잔가map!$C$13:$AR$13,0)),"")</f>
        <v/>
      </c>
      <c r="AC308" s="527" t="str">
        <f>IFERROR(INDEX(잔가map!$C$14:$AR$18,MATCH(차량DB!$AC$5,잔가map!$B$14:$B$18,0),MATCH(차량DB!Y308,잔가map!$C$13:$AR$13,0)),"")</f>
        <v/>
      </c>
      <c r="AD308" s="527" t="str">
        <f>IFERROR(INDEX(잔가map!$C$14:$AR$18,MATCH(차량DB!$AD$5,잔가map!$B$14:$B$18,0),MATCH(차량DB!Y308,잔가map!$C$13:$AR$13,0)),"")</f>
        <v/>
      </c>
      <c r="AE308" s="643"/>
      <c r="AF308" s="644"/>
      <c r="AG308" s="644"/>
      <c r="AH308" s="644"/>
      <c r="AI308" s="644"/>
      <c r="AJ308" s="644"/>
      <c r="AK308" s="547"/>
      <c r="AL308" s="576"/>
    </row>
    <row r="309" spans="5:38" x14ac:dyDescent="0.3">
      <c r="E309" s="293" t="s">
        <v>312</v>
      </c>
      <c r="F309" s="605" t="s">
        <v>901</v>
      </c>
      <c r="G309" s="294">
        <v>1995</v>
      </c>
      <c r="H309" s="295" t="s">
        <v>58</v>
      </c>
      <c r="I309" s="294">
        <v>81100000</v>
      </c>
      <c r="P309" s="295" t="s">
        <v>576</v>
      </c>
      <c r="R309" s="500">
        <v>0</v>
      </c>
      <c r="S309" s="639"/>
      <c r="T309" s="640"/>
      <c r="U309" s="640"/>
      <c r="V309" s="640"/>
      <c r="W309" s="640"/>
      <c r="X309" s="640"/>
      <c r="Y309" s="553"/>
      <c r="Z309" s="527" t="str">
        <f>IFERROR(INDEX(잔가map!$C$14:$AR$18,MATCH(차량DB!$Z$5,잔가map!$B$14:$B$18,0),MATCH(차량DB!Y309,잔가map!$C$13:$AR$13,0)),"")</f>
        <v/>
      </c>
      <c r="AA309" s="527" t="str">
        <f>IFERROR(INDEX(잔가map!$C$14:$AR$18,MATCH(차량DB!$AA$5,잔가map!$B$14:$B$18,0),MATCH(차량DB!Y309,잔가map!$C$13:$AR$13,0)),"")</f>
        <v/>
      </c>
      <c r="AB309" s="527" t="str">
        <f>IFERROR(INDEX(잔가map!$C$14:$AR$18,MATCH(차량DB!$AB$5,잔가map!$B$14:$B$18,0),MATCH(차량DB!Y309,잔가map!$C$13:$AR$13,0)),"")</f>
        <v/>
      </c>
      <c r="AC309" s="527" t="str">
        <f>IFERROR(INDEX(잔가map!$C$14:$AR$18,MATCH(차량DB!$AC$5,잔가map!$B$14:$B$18,0),MATCH(차량DB!Y309,잔가map!$C$13:$AR$13,0)),"")</f>
        <v/>
      </c>
      <c r="AD309" s="527" t="str">
        <f>IFERROR(INDEX(잔가map!$C$14:$AR$18,MATCH(차량DB!$AD$5,잔가map!$B$14:$B$18,0),MATCH(차량DB!Y309,잔가map!$C$13:$AR$13,0)),"")</f>
        <v/>
      </c>
      <c r="AE309" s="643"/>
      <c r="AF309" s="644"/>
      <c r="AG309" s="644"/>
      <c r="AH309" s="644"/>
      <c r="AI309" s="644"/>
      <c r="AJ309" s="644"/>
      <c r="AK309" s="547"/>
      <c r="AL309" s="576"/>
    </row>
    <row r="310" spans="5:38" x14ac:dyDescent="0.3">
      <c r="E310" s="293" t="s">
        <v>312</v>
      </c>
      <c r="F310" s="605" t="s">
        <v>902</v>
      </c>
      <c r="G310" s="294">
        <v>1995</v>
      </c>
      <c r="H310" s="295" t="s">
        <v>58</v>
      </c>
      <c r="I310" s="294">
        <v>59900000</v>
      </c>
      <c r="P310" s="295" t="s">
        <v>576</v>
      </c>
      <c r="R310" s="500">
        <v>0</v>
      </c>
      <c r="S310" s="639"/>
      <c r="T310" s="640"/>
      <c r="U310" s="640"/>
      <c r="V310" s="640"/>
      <c r="W310" s="640"/>
      <c r="X310" s="640"/>
      <c r="Y310" s="553"/>
      <c r="Z310" s="527" t="str">
        <f>IFERROR(INDEX(잔가map!$C$14:$AR$18,MATCH(차량DB!$Z$5,잔가map!$B$14:$B$18,0),MATCH(차량DB!Y310,잔가map!$C$13:$AR$13,0)),"")</f>
        <v/>
      </c>
      <c r="AA310" s="527" t="str">
        <f>IFERROR(INDEX(잔가map!$C$14:$AR$18,MATCH(차량DB!$AA$5,잔가map!$B$14:$B$18,0),MATCH(차량DB!Y310,잔가map!$C$13:$AR$13,0)),"")</f>
        <v/>
      </c>
      <c r="AB310" s="527" t="str">
        <f>IFERROR(INDEX(잔가map!$C$14:$AR$18,MATCH(차량DB!$AB$5,잔가map!$B$14:$B$18,0),MATCH(차량DB!Y310,잔가map!$C$13:$AR$13,0)),"")</f>
        <v/>
      </c>
      <c r="AC310" s="527" t="str">
        <f>IFERROR(INDEX(잔가map!$C$14:$AR$18,MATCH(차량DB!$AC$5,잔가map!$B$14:$B$18,0),MATCH(차량DB!Y310,잔가map!$C$13:$AR$13,0)),"")</f>
        <v/>
      </c>
      <c r="AD310" s="527" t="str">
        <f>IFERROR(INDEX(잔가map!$C$14:$AR$18,MATCH(차량DB!$AD$5,잔가map!$B$14:$B$18,0),MATCH(차량DB!Y310,잔가map!$C$13:$AR$13,0)),"")</f>
        <v/>
      </c>
      <c r="AE310" s="643"/>
      <c r="AF310" s="644"/>
      <c r="AG310" s="644"/>
      <c r="AH310" s="644"/>
      <c r="AI310" s="644"/>
      <c r="AJ310" s="644"/>
      <c r="AK310" s="547"/>
      <c r="AL310" s="576"/>
    </row>
    <row r="311" spans="5:38" x14ac:dyDescent="0.3">
      <c r="E311" s="293" t="s">
        <v>312</v>
      </c>
      <c r="F311" s="605" t="s">
        <v>906</v>
      </c>
      <c r="G311" s="294">
        <v>1995</v>
      </c>
      <c r="H311" s="295" t="s">
        <v>58</v>
      </c>
      <c r="I311" s="294">
        <v>84600000</v>
      </c>
      <c r="P311" s="295" t="s">
        <v>576</v>
      </c>
      <c r="R311" s="500">
        <v>0</v>
      </c>
      <c r="S311" s="639"/>
      <c r="T311" s="640"/>
      <c r="U311" s="640"/>
      <c r="V311" s="640"/>
      <c r="W311" s="640"/>
      <c r="X311" s="640"/>
      <c r="Y311" s="553"/>
      <c r="Z311" s="527" t="str">
        <f>IFERROR(INDEX(잔가map!$C$14:$AR$18,MATCH(차량DB!$Z$5,잔가map!$B$14:$B$18,0),MATCH(차량DB!Y311,잔가map!$C$13:$AR$13,0)),"")</f>
        <v/>
      </c>
      <c r="AA311" s="527" t="str">
        <f>IFERROR(INDEX(잔가map!$C$14:$AR$18,MATCH(차량DB!$AA$5,잔가map!$B$14:$B$18,0),MATCH(차량DB!Y311,잔가map!$C$13:$AR$13,0)),"")</f>
        <v/>
      </c>
      <c r="AB311" s="527" t="str">
        <f>IFERROR(INDEX(잔가map!$C$14:$AR$18,MATCH(차량DB!$AB$5,잔가map!$B$14:$B$18,0),MATCH(차량DB!Y311,잔가map!$C$13:$AR$13,0)),"")</f>
        <v/>
      </c>
      <c r="AC311" s="527" t="str">
        <f>IFERROR(INDEX(잔가map!$C$14:$AR$18,MATCH(차량DB!$AC$5,잔가map!$B$14:$B$18,0),MATCH(차량DB!Y311,잔가map!$C$13:$AR$13,0)),"")</f>
        <v/>
      </c>
      <c r="AD311" s="527" t="str">
        <f>IFERROR(INDEX(잔가map!$C$14:$AR$18,MATCH(차량DB!$AD$5,잔가map!$B$14:$B$18,0),MATCH(차량DB!Y311,잔가map!$C$13:$AR$13,0)),"")</f>
        <v/>
      </c>
      <c r="AE311" s="643"/>
      <c r="AF311" s="644"/>
      <c r="AG311" s="644"/>
      <c r="AH311" s="644"/>
      <c r="AI311" s="644"/>
      <c r="AJ311" s="644"/>
      <c r="AK311" s="547"/>
      <c r="AL311" s="576"/>
    </row>
    <row r="312" spans="5:38" x14ac:dyDescent="0.3">
      <c r="E312" s="293" t="s">
        <v>312</v>
      </c>
      <c r="F312" s="605" t="s">
        <v>904</v>
      </c>
      <c r="G312" s="294">
        <v>1995</v>
      </c>
      <c r="H312" s="295" t="s">
        <v>58</v>
      </c>
      <c r="I312" s="294">
        <v>80100000</v>
      </c>
      <c r="P312" s="295" t="s">
        <v>576</v>
      </c>
      <c r="R312" s="500">
        <v>0</v>
      </c>
      <c r="S312" s="639"/>
      <c r="T312" s="640"/>
      <c r="U312" s="640"/>
      <c r="V312" s="640"/>
      <c r="W312" s="640"/>
      <c r="X312" s="640"/>
      <c r="Y312" s="553"/>
      <c r="Z312" s="527" t="str">
        <f>IFERROR(INDEX(잔가map!$C$14:$AR$18,MATCH(차량DB!$Z$5,잔가map!$B$14:$B$18,0),MATCH(차량DB!Y312,잔가map!$C$13:$AR$13,0)),"")</f>
        <v/>
      </c>
      <c r="AA312" s="527" t="str">
        <f>IFERROR(INDEX(잔가map!$C$14:$AR$18,MATCH(차량DB!$AA$5,잔가map!$B$14:$B$18,0),MATCH(차량DB!Y312,잔가map!$C$13:$AR$13,0)),"")</f>
        <v/>
      </c>
      <c r="AB312" s="527" t="str">
        <f>IFERROR(INDEX(잔가map!$C$14:$AR$18,MATCH(차량DB!$AB$5,잔가map!$B$14:$B$18,0),MATCH(차량DB!Y312,잔가map!$C$13:$AR$13,0)),"")</f>
        <v/>
      </c>
      <c r="AC312" s="527" t="str">
        <f>IFERROR(INDEX(잔가map!$C$14:$AR$18,MATCH(차량DB!$AC$5,잔가map!$B$14:$B$18,0),MATCH(차량DB!Y312,잔가map!$C$13:$AR$13,0)),"")</f>
        <v/>
      </c>
      <c r="AD312" s="527" t="str">
        <f>IFERROR(INDEX(잔가map!$C$14:$AR$18,MATCH(차량DB!$AD$5,잔가map!$B$14:$B$18,0),MATCH(차량DB!Y312,잔가map!$C$13:$AR$13,0)),"")</f>
        <v/>
      </c>
      <c r="AE312" s="643"/>
      <c r="AF312" s="644"/>
      <c r="AG312" s="644"/>
      <c r="AH312" s="644"/>
      <c r="AI312" s="644"/>
      <c r="AJ312" s="644"/>
      <c r="AK312" s="547"/>
      <c r="AL312" s="576"/>
    </row>
    <row r="313" spans="5:38" x14ac:dyDescent="0.3">
      <c r="E313" s="293" t="s">
        <v>312</v>
      </c>
      <c r="F313" s="605" t="s">
        <v>903</v>
      </c>
      <c r="G313" s="294">
        <v>1995</v>
      </c>
      <c r="H313" s="295" t="s">
        <v>58</v>
      </c>
      <c r="I313" s="294">
        <v>83600000</v>
      </c>
      <c r="P313" s="295" t="s">
        <v>576</v>
      </c>
      <c r="R313" s="500">
        <v>0</v>
      </c>
      <c r="S313" s="639"/>
      <c r="T313" s="640"/>
      <c r="U313" s="640"/>
      <c r="V313" s="640"/>
      <c r="W313" s="640"/>
      <c r="X313" s="640"/>
      <c r="Y313" s="553"/>
      <c r="Z313" s="527" t="str">
        <f>IFERROR(INDEX(잔가map!$C$14:$AR$18,MATCH(차량DB!$Z$5,잔가map!$B$14:$B$18,0),MATCH(차량DB!Y313,잔가map!$C$13:$AR$13,0)),"")</f>
        <v/>
      </c>
      <c r="AA313" s="527" t="str">
        <f>IFERROR(INDEX(잔가map!$C$14:$AR$18,MATCH(차량DB!$AA$5,잔가map!$B$14:$B$18,0),MATCH(차량DB!Y313,잔가map!$C$13:$AR$13,0)),"")</f>
        <v/>
      </c>
      <c r="AB313" s="527" t="str">
        <f>IFERROR(INDEX(잔가map!$C$14:$AR$18,MATCH(차량DB!$AB$5,잔가map!$B$14:$B$18,0),MATCH(차량DB!Y313,잔가map!$C$13:$AR$13,0)),"")</f>
        <v/>
      </c>
      <c r="AC313" s="527" t="str">
        <f>IFERROR(INDEX(잔가map!$C$14:$AR$18,MATCH(차량DB!$AC$5,잔가map!$B$14:$B$18,0),MATCH(차량DB!Y313,잔가map!$C$13:$AR$13,0)),"")</f>
        <v/>
      </c>
      <c r="AD313" s="527" t="str">
        <f>IFERROR(INDEX(잔가map!$C$14:$AR$18,MATCH(차량DB!$AD$5,잔가map!$B$14:$B$18,0),MATCH(차량DB!Y313,잔가map!$C$13:$AR$13,0)),"")</f>
        <v/>
      </c>
      <c r="AE313" s="643"/>
      <c r="AF313" s="644"/>
      <c r="AG313" s="644"/>
      <c r="AH313" s="644"/>
      <c r="AI313" s="644"/>
      <c r="AJ313" s="644"/>
      <c r="AK313" s="547"/>
      <c r="AL313" s="576"/>
    </row>
    <row r="314" spans="5:38" x14ac:dyDescent="0.3">
      <c r="E314" s="293" t="s">
        <v>312</v>
      </c>
      <c r="F314" s="605" t="s">
        <v>905</v>
      </c>
      <c r="G314" s="294">
        <v>1995</v>
      </c>
      <c r="H314" s="295" t="s">
        <v>58</v>
      </c>
      <c r="I314" s="294">
        <v>97800000</v>
      </c>
      <c r="P314" s="295" t="s">
        <v>576</v>
      </c>
      <c r="R314" s="500">
        <v>0</v>
      </c>
      <c r="S314" s="639"/>
      <c r="T314" s="640"/>
      <c r="U314" s="640"/>
      <c r="V314" s="640"/>
      <c r="W314" s="640"/>
      <c r="X314" s="640"/>
      <c r="Y314" s="553"/>
      <c r="Z314" s="527" t="str">
        <f>IFERROR(INDEX(잔가map!$C$14:$AR$18,MATCH(차량DB!$Z$5,잔가map!$B$14:$B$18,0),MATCH(차량DB!Y314,잔가map!$C$13:$AR$13,0)),"")</f>
        <v/>
      </c>
      <c r="AA314" s="527" t="str">
        <f>IFERROR(INDEX(잔가map!$C$14:$AR$18,MATCH(차량DB!$AA$5,잔가map!$B$14:$B$18,0),MATCH(차량DB!Y314,잔가map!$C$13:$AR$13,0)),"")</f>
        <v/>
      </c>
      <c r="AB314" s="527" t="str">
        <f>IFERROR(INDEX(잔가map!$C$14:$AR$18,MATCH(차량DB!$AB$5,잔가map!$B$14:$B$18,0),MATCH(차량DB!Y314,잔가map!$C$13:$AR$13,0)),"")</f>
        <v/>
      </c>
      <c r="AC314" s="527" t="str">
        <f>IFERROR(INDEX(잔가map!$C$14:$AR$18,MATCH(차량DB!$AC$5,잔가map!$B$14:$B$18,0),MATCH(차량DB!Y314,잔가map!$C$13:$AR$13,0)),"")</f>
        <v/>
      </c>
      <c r="AD314" s="527" t="str">
        <f>IFERROR(INDEX(잔가map!$C$14:$AR$18,MATCH(차량DB!$AD$5,잔가map!$B$14:$B$18,0),MATCH(차량DB!Y314,잔가map!$C$13:$AR$13,0)),"")</f>
        <v/>
      </c>
      <c r="AE314" s="643"/>
      <c r="AF314" s="644"/>
      <c r="AG314" s="644"/>
      <c r="AH314" s="644"/>
      <c r="AI314" s="644"/>
      <c r="AJ314" s="644"/>
      <c r="AK314" s="547"/>
      <c r="AL314" s="576"/>
    </row>
    <row r="315" spans="5:38" x14ac:dyDescent="0.3">
      <c r="E315" s="293" t="s">
        <v>312</v>
      </c>
      <c r="F315" s="605" t="s">
        <v>907</v>
      </c>
      <c r="G315" s="294">
        <v>1995</v>
      </c>
      <c r="H315" s="295" t="s">
        <v>58</v>
      </c>
      <c r="I315" s="294">
        <v>101300000</v>
      </c>
      <c r="P315" s="295" t="s">
        <v>576</v>
      </c>
      <c r="R315" s="500">
        <v>0</v>
      </c>
      <c r="S315" s="639"/>
      <c r="T315" s="640"/>
      <c r="U315" s="640"/>
      <c r="V315" s="640"/>
      <c r="W315" s="640"/>
      <c r="X315" s="640"/>
      <c r="Y315" s="553"/>
      <c r="Z315" s="527" t="str">
        <f>IFERROR(INDEX(잔가map!$C$14:$AR$18,MATCH(차량DB!$Z$5,잔가map!$B$14:$B$18,0),MATCH(차량DB!Y315,잔가map!$C$13:$AR$13,0)),"")</f>
        <v/>
      </c>
      <c r="AA315" s="527" t="str">
        <f>IFERROR(INDEX(잔가map!$C$14:$AR$18,MATCH(차량DB!$AA$5,잔가map!$B$14:$B$18,0),MATCH(차량DB!Y315,잔가map!$C$13:$AR$13,0)),"")</f>
        <v/>
      </c>
      <c r="AB315" s="527" t="str">
        <f>IFERROR(INDEX(잔가map!$C$14:$AR$18,MATCH(차량DB!$AB$5,잔가map!$B$14:$B$18,0),MATCH(차량DB!Y315,잔가map!$C$13:$AR$13,0)),"")</f>
        <v/>
      </c>
      <c r="AC315" s="527" t="str">
        <f>IFERROR(INDEX(잔가map!$C$14:$AR$18,MATCH(차량DB!$AC$5,잔가map!$B$14:$B$18,0),MATCH(차량DB!Y315,잔가map!$C$13:$AR$13,0)),"")</f>
        <v/>
      </c>
      <c r="AD315" s="527" t="str">
        <f>IFERROR(INDEX(잔가map!$C$14:$AR$18,MATCH(차량DB!$AD$5,잔가map!$B$14:$B$18,0),MATCH(차량DB!Y315,잔가map!$C$13:$AR$13,0)),"")</f>
        <v/>
      </c>
      <c r="AE315" s="643"/>
      <c r="AF315" s="644"/>
      <c r="AG315" s="644"/>
      <c r="AH315" s="644"/>
      <c r="AI315" s="644"/>
      <c r="AJ315" s="644"/>
      <c r="AK315" s="547"/>
      <c r="AL315" s="576"/>
    </row>
    <row r="316" spans="5:38" x14ac:dyDescent="0.3">
      <c r="E316" s="293" t="s">
        <v>312</v>
      </c>
      <c r="F316" s="605" t="s">
        <v>899</v>
      </c>
      <c r="G316" s="294">
        <v>1332</v>
      </c>
      <c r="H316" s="295" t="s">
        <v>58</v>
      </c>
      <c r="I316" s="294">
        <v>41900000</v>
      </c>
      <c r="P316" s="295" t="s">
        <v>576</v>
      </c>
      <c r="R316" s="500">
        <v>0</v>
      </c>
      <c r="S316" s="639"/>
      <c r="T316" s="640"/>
      <c r="U316" s="640"/>
      <c r="V316" s="640"/>
      <c r="W316" s="640"/>
      <c r="X316" s="640"/>
      <c r="Y316" s="553"/>
      <c r="Z316" s="527" t="str">
        <f>IFERROR(INDEX(잔가map!$C$14:$AR$18,MATCH(차량DB!$Z$5,잔가map!$B$14:$B$18,0),MATCH(차량DB!Y316,잔가map!$C$13:$AR$13,0)),"")</f>
        <v/>
      </c>
      <c r="AA316" s="527" t="str">
        <f>IFERROR(INDEX(잔가map!$C$14:$AR$18,MATCH(차량DB!$AA$5,잔가map!$B$14:$B$18,0),MATCH(차량DB!Y316,잔가map!$C$13:$AR$13,0)),"")</f>
        <v/>
      </c>
      <c r="AB316" s="527" t="str">
        <f>IFERROR(INDEX(잔가map!$C$14:$AR$18,MATCH(차량DB!$AB$5,잔가map!$B$14:$B$18,0),MATCH(차량DB!Y316,잔가map!$C$13:$AR$13,0)),"")</f>
        <v/>
      </c>
      <c r="AC316" s="527" t="str">
        <f>IFERROR(INDEX(잔가map!$C$14:$AR$18,MATCH(차량DB!$AC$5,잔가map!$B$14:$B$18,0),MATCH(차량DB!Y316,잔가map!$C$13:$AR$13,0)),"")</f>
        <v/>
      </c>
      <c r="AD316" s="527" t="str">
        <f>IFERROR(INDEX(잔가map!$C$14:$AR$18,MATCH(차량DB!$AD$5,잔가map!$B$14:$B$18,0),MATCH(차량DB!Y316,잔가map!$C$13:$AR$13,0)),"")</f>
        <v/>
      </c>
      <c r="AE316" s="643"/>
      <c r="AF316" s="644"/>
      <c r="AG316" s="644"/>
      <c r="AH316" s="644"/>
      <c r="AI316" s="644"/>
      <c r="AJ316" s="644"/>
      <c r="AK316" s="547"/>
      <c r="AL316" s="576"/>
    </row>
    <row r="317" spans="5:38" x14ac:dyDescent="0.3">
      <c r="E317" s="293" t="s">
        <v>312</v>
      </c>
      <c r="F317" s="605" t="s">
        <v>897</v>
      </c>
      <c r="G317" s="294">
        <v>1332</v>
      </c>
      <c r="H317" s="295" t="s">
        <v>58</v>
      </c>
      <c r="I317" s="294">
        <v>45400000</v>
      </c>
      <c r="P317" s="295" t="s">
        <v>576</v>
      </c>
      <c r="R317" s="500">
        <v>0</v>
      </c>
      <c r="S317" s="639"/>
      <c r="T317" s="640"/>
      <c r="U317" s="640"/>
      <c r="V317" s="640"/>
      <c r="W317" s="640"/>
      <c r="X317" s="640"/>
      <c r="Y317" s="553"/>
      <c r="Z317" s="527" t="str">
        <f>IFERROR(INDEX(잔가map!$C$14:$AR$18,MATCH(차량DB!$Z$5,잔가map!$B$14:$B$18,0),MATCH(차량DB!Y317,잔가map!$C$13:$AR$13,0)),"")</f>
        <v/>
      </c>
      <c r="AA317" s="527" t="str">
        <f>IFERROR(INDEX(잔가map!$C$14:$AR$18,MATCH(차량DB!$AA$5,잔가map!$B$14:$B$18,0),MATCH(차량DB!Y317,잔가map!$C$13:$AR$13,0)),"")</f>
        <v/>
      </c>
      <c r="AB317" s="527" t="str">
        <f>IFERROR(INDEX(잔가map!$C$14:$AR$18,MATCH(차량DB!$AB$5,잔가map!$B$14:$B$18,0),MATCH(차량DB!Y317,잔가map!$C$13:$AR$13,0)),"")</f>
        <v/>
      </c>
      <c r="AC317" s="527" t="str">
        <f>IFERROR(INDEX(잔가map!$C$14:$AR$18,MATCH(차량DB!$AC$5,잔가map!$B$14:$B$18,0),MATCH(차량DB!Y317,잔가map!$C$13:$AR$13,0)),"")</f>
        <v/>
      </c>
      <c r="AD317" s="527" t="str">
        <f>IFERROR(INDEX(잔가map!$C$14:$AR$18,MATCH(차량DB!$AD$5,잔가map!$B$14:$B$18,0),MATCH(차량DB!Y317,잔가map!$C$13:$AR$13,0)),"")</f>
        <v/>
      </c>
      <c r="AE317" s="643"/>
      <c r="AF317" s="644"/>
      <c r="AG317" s="644"/>
      <c r="AH317" s="644"/>
      <c r="AI317" s="644"/>
      <c r="AJ317" s="644"/>
      <c r="AK317" s="547"/>
      <c r="AL317" s="576"/>
    </row>
    <row r="318" spans="5:38" x14ac:dyDescent="0.3">
      <c r="E318" s="293" t="s">
        <v>312</v>
      </c>
      <c r="F318" s="605" t="s">
        <v>898</v>
      </c>
      <c r="G318" s="294">
        <v>1332</v>
      </c>
      <c r="H318" s="295" t="s">
        <v>58</v>
      </c>
      <c r="I318" s="294">
        <v>48400000</v>
      </c>
      <c r="P318" s="295" t="s">
        <v>576</v>
      </c>
      <c r="R318" s="500">
        <v>0</v>
      </c>
      <c r="S318" s="639"/>
      <c r="T318" s="640"/>
      <c r="U318" s="640"/>
      <c r="V318" s="640"/>
      <c r="W318" s="640"/>
      <c r="X318" s="640"/>
      <c r="Y318" s="553"/>
      <c r="Z318" s="527" t="str">
        <f>IFERROR(INDEX(잔가map!$C$14:$AR$18,MATCH(차량DB!$Z$5,잔가map!$B$14:$B$18,0),MATCH(차량DB!Y318,잔가map!$C$13:$AR$13,0)),"")</f>
        <v/>
      </c>
      <c r="AA318" s="527" t="str">
        <f>IFERROR(INDEX(잔가map!$C$14:$AR$18,MATCH(차량DB!$AA$5,잔가map!$B$14:$B$18,0),MATCH(차량DB!Y318,잔가map!$C$13:$AR$13,0)),"")</f>
        <v/>
      </c>
      <c r="AB318" s="527" t="str">
        <f>IFERROR(INDEX(잔가map!$C$14:$AR$18,MATCH(차량DB!$AB$5,잔가map!$B$14:$B$18,0),MATCH(차량DB!Y318,잔가map!$C$13:$AR$13,0)),"")</f>
        <v/>
      </c>
      <c r="AC318" s="527" t="str">
        <f>IFERROR(INDEX(잔가map!$C$14:$AR$18,MATCH(차량DB!$AC$5,잔가map!$B$14:$B$18,0),MATCH(차량DB!Y318,잔가map!$C$13:$AR$13,0)),"")</f>
        <v/>
      </c>
      <c r="AD318" s="527" t="str">
        <f>IFERROR(INDEX(잔가map!$C$14:$AR$18,MATCH(차량DB!$AD$5,잔가map!$B$14:$B$18,0),MATCH(차량DB!Y318,잔가map!$C$13:$AR$13,0)),"")</f>
        <v/>
      </c>
      <c r="AE318" s="643"/>
      <c r="AF318" s="644"/>
      <c r="AG318" s="644"/>
      <c r="AH318" s="644"/>
      <c r="AI318" s="644"/>
      <c r="AJ318" s="644"/>
      <c r="AK318" s="547"/>
      <c r="AL318" s="576"/>
    </row>
    <row r="319" spans="5:38" x14ac:dyDescent="0.3">
      <c r="E319" s="293" t="s">
        <v>312</v>
      </c>
      <c r="F319" s="605" t="s">
        <v>888</v>
      </c>
      <c r="G319" s="294">
        <v>2360</v>
      </c>
      <c r="H319" s="295" t="s">
        <v>58</v>
      </c>
      <c r="I319" s="294">
        <v>59900000</v>
      </c>
      <c r="P319" s="295" t="s">
        <v>576</v>
      </c>
      <c r="R319" s="500">
        <v>0</v>
      </c>
      <c r="S319" s="639"/>
      <c r="T319" s="640"/>
      <c r="U319" s="640"/>
      <c r="V319" s="640"/>
      <c r="W319" s="640"/>
      <c r="X319" s="640"/>
      <c r="Y319" s="553"/>
      <c r="Z319" s="527" t="str">
        <f>IFERROR(INDEX(잔가map!$C$14:$AR$18,MATCH(차량DB!$Z$5,잔가map!$B$14:$B$18,0),MATCH(차량DB!Y319,잔가map!$C$13:$AR$13,0)),"")</f>
        <v/>
      </c>
      <c r="AA319" s="527" t="str">
        <f>IFERROR(INDEX(잔가map!$C$14:$AR$18,MATCH(차량DB!$AA$5,잔가map!$B$14:$B$18,0),MATCH(차량DB!Y319,잔가map!$C$13:$AR$13,0)),"")</f>
        <v/>
      </c>
      <c r="AB319" s="527" t="str">
        <f>IFERROR(INDEX(잔가map!$C$14:$AR$18,MATCH(차량DB!$AB$5,잔가map!$B$14:$B$18,0),MATCH(차량DB!Y319,잔가map!$C$13:$AR$13,0)),"")</f>
        <v/>
      </c>
      <c r="AC319" s="527" t="str">
        <f>IFERROR(INDEX(잔가map!$C$14:$AR$18,MATCH(차량DB!$AC$5,잔가map!$B$14:$B$18,0),MATCH(차량DB!Y319,잔가map!$C$13:$AR$13,0)),"")</f>
        <v/>
      </c>
      <c r="AD319" s="527" t="str">
        <f>IFERROR(INDEX(잔가map!$C$14:$AR$18,MATCH(차량DB!$AD$5,잔가map!$B$14:$B$18,0),MATCH(차량DB!Y319,잔가map!$C$13:$AR$13,0)),"")</f>
        <v/>
      </c>
      <c r="AE319" s="643"/>
      <c r="AF319" s="644"/>
      <c r="AG319" s="644"/>
      <c r="AH319" s="644"/>
      <c r="AI319" s="644"/>
      <c r="AJ319" s="644"/>
      <c r="AK319" s="547"/>
      <c r="AL319" s="576"/>
    </row>
    <row r="320" spans="5:38" x14ac:dyDescent="0.3">
      <c r="E320" s="293" t="s">
        <v>312</v>
      </c>
      <c r="F320" s="605" t="s">
        <v>887</v>
      </c>
      <c r="G320" s="294">
        <v>2360</v>
      </c>
      <c r="H320" s="295" t="s">
        <v>58</v>
      </c>
      <c r="I320" s="294">
        <v>63900000</v>
      </c>
      <c r="P320" s="295" t="s">
        <v>576</v>
      </c>
      <c r="R320" s="500">
        <v>0</v>
      </c>
      <c r="S320" s="639"/>
      <c r="T320" s="640"/>
      <c r="U320" s="640"/>
      <c r="V320" s="640"/>
      <c r="W320" s="640"/>
      <c r="X320" s="640"/>
      <c r="Y320" s="553"/>
      <c r="Z320" s="527" t="str">
        <f>IFERROR(INDEX(잔가map!$C$14:$AR$18,MATCH(차량DB!$Z$5,잔가map!$B$14:$B$18,0),MATCH(차량DB!Y320,잔가map!$C$13:$AR$13,0)),"")</f>
        <v/>
      </c>
      <c r="AA320" s="527" t="str">
        <f>IFERROR(INDEX(잔가map!$C$14:$AR$18,MATCH(차량DB!$AA$5,잔가map!$B$14:$B$18,0),MATCH(차량DB!Y320,잔가map!$C$13:$AR$13,0)),"")</f>
        <v/>
      </c>
      <c r="AB320" s="527" t="str">
        <f>IFERROR(INDEX(잔가map!$C$14:$AR$18,MATCH(차량DB!$AB$5,잔가map!$B$14:$B$18,0),MATCH(차량DB!Y320,잔가map!$C$13:$AR$13,0)),"")</f>
        <v/>
      </c>
      <c r="AC320" s="527" t="str">
        <f>IFERROR(INDEX(잔가map!$C$14:$AR$18,MATCH(차량DB!$AC$5,잔가map!$B$14:$B$18,0),MATCH(차량DB!Y320,잔가map!$C$13:$AR$13,0)),"")</f>
        <v/>
      </c>
      <c r="AD320" s="527" t="str">
        <f>IFERROR(INDEX(잔가map!$C$14:$AR$18,MATCH(차량DB!$AD$5,잔가map!$B$14:$B$18,0),MATCH(차량DB!Y320,잔가map!$C$13:$AR$13,0)),"")</f>
        <v/>
      </c>
      <c r="AE320" s="643"/>
      <c r="AF320" s="644"/>
      <c r="AG320" s="644"/>
      <c r="AH320" s="644"/>
      <c r="AI320" s="644"/>
      <c r="AJ320" s="644"/>
      <c r="AK320" s="547"/>
      <c r="AL320" s="576"/>
    </row>
    <row r="321" spans="5:38" x14ac:dyDescent="0.3">
      <c r="E321" s="293" t="s">
        <v>312</v>
      </c>
      <c r="F321" s="605" t="s">
        <v>491</v>
      </c>
      <c r="G321" s="294">
        <v>3604</v>
      </c>
      <c r="H321" s="295" t="s">
        <v>58</v>
      </c>
      <c r="I321" s="294">
        <v>85500000</v>
      </c>
      <c r="P321" s="295" t="s">
        <v>576</v>
      </c>
      <c r="R321" s="500">
        <v>0</v>
      </c>
      <c r="S321" s="639"/>
      <c r="T321" s="640"/>
      <c r="U321" s="640"/>
      <c r="V321" s="640"/>
      <c r="W321" s="640"/>
      <c r="X321" s="640"/>
      <c r="Y321" s="553"/>
      <c r="Z321" s="527" t="str">
        <f>IFERROR(INDEX(잔가map!$C$14:$AR$18,MATCH(차량DB!$Z$5,잔가map!$B$14:$B$18,0),MATCH(차량DB!Y321,잔가map!$C$13:$AR$13,0)),"")</f>
        <v/>
      </c>
      <c r="AA321" s="527" t="str">
        <f>IFERROR(INDEX(잔가map!$C$14:$AR$18,MATCH(차량DB!$AA$5,잔가map!$B$14:$B$18,0),MATCH(차량DB!Y321,잔가map!$C$13:$AR$13,0)),"")</f>
        <v/>
      </c>
      <c r="AB321" s="527" t="str">
        <f>IFERROR(INDEX(잔가map!$C$14:$AR$18,MATCH(차량DB!$AB$5,잔가map!$B$14:$B$18,0),MATCH(차량DB!Y321,잔가map!$C$13:$AR$13,0)),"")</f>
        <v/>
      </c>
      <c r="AC321" s="527" t="str">
        <f>IFERROR(INDEX(잔가map!$C$14:$AR$18,MATCH(차량DB!$AC$5,잔가map!$B$14:$B$18,0),MATCH(차량DB!Y321,잔가map!$C$13:$AR$13,0)),"")</f>
        <v/>
      </c>
      <c r="AD321" s="527" t="str">
        <f>IFERROR(INDEX(잔가map!$C$14:$AR$18,MATCH(차량DB!$AD$5,잔가map!$B$14:$B$18,0),MATCH(차량DB!Y321,잔가map!$C$13:$AR$13,0)),"")</f>
        <v/>
      </c>
      <c r="AE321" s="643"/>
      <c r="AF321" s="644"/>
      <c r="AG321" s="644"/>
      <c r="AH321" s="644"/>
      <c r="AI321" s="644"/>
      <c r="AJ321" s="644"/>
      <c r="AK321" s="574"/>
      <c r="AL321" s="576"/>
    </row>
    <row r="322" spans="5:38" x14ac:dyDescent="0.3">
      <c r="E322" s="293" t="s">
        <v>312</v>
      </c>
      <c r="F322" s="605" t="s">
        <v>893</v>
      </c>
      <c r="G322" s="294">
        <v>3604</v>
      </c>
      <c r="H322" s="295" t="s">
        <v>58</v>
      </c>
      <c r="I322" s="294">
        <v>98200000</v>
      </c>
      <c r="P322" s="295" t="s">
        <v>576</v>
      </c>
      <c r="R322" s="500">
        <v>0</v>
      </c>
      <c r="S322" s="639"/>
      <c r="T322" s="640"/>
      <c r="U322" s="640"/>
      <c r="V322" s="640"/>
      <c r="W322" s="640"/>
      <c r="X322" s="640"/>
      <c r="Y322" s="553"/>
      <c r="Z322" s="527" t="str">
        <f>IFERROR(INDEX(잔가map!$C$14:$AR$18,MATCH(차량DB!$Z$5,잔가map!$B$14:$B$18,0),MATCH(차량DB!Y322,잔가map!$C$13:$AR$13,0)),"")</f>
        <v/>
      </c>
      <c r="AA322" s="527" t="str">
        <f>IFERROR(INDEX(잔가map!$C$14:$AR$18,MATCH(차량DB!$AA$5,잔가map!$B$14:$B$18,0),MATCH(차량DB!Y322,잔가map!$C$13:$AR$13,0)),"")</f>
        <v/>
      </c>
      <c r="AB322" s="527" t="str">
        <f>IFERROR(INDEX(잔가map!$C$14:$AR$18,MATCH(차량DB!$AB$5,잔가map!$B$14:$B$18,0),MATCH(차량DB!Y322,잔가map!$C$13:$AR$13,0)),"")</f>
        <v/>
      </c>
      <c r="AC322" s="527" t="str">
        <f>IFERROR(INDEX(잔가map!$C$14:$AR$18,MATCH(차량DB!$AC$5,잔가map!$B$14:$B$18,0),MATCH(차량DB!Y322,잔가map!$C$13:$AR$13,0)),"")</f>
        <v/>
      </c>
      <c r="AD322" s="527" t="str">
        <f>IFERROR(INDEX(잔가map!$C$14:$AR$18,MATCH(차량DB!$AD$5,잔가map!$B$14:$B$18,0),MATCH(차량DB!Y322,잔가map!$C$13:$AR$13,0)),"")</f>
        <v/>
      </c>
      <c r="AE322" s="643"/>
      <c r="AF322" s="644"/>
      <c r="AG322" s="644"/>
      <c r="AH322" s="644"/>
      <c r="AI322" s="644"/>
      <c r="AJ322" s="644"/>
      <c r="AK322" s="574"/>
      <c r="AL322" s="576"/>
    </row>
    <row r="323" spans="5:38" x14ac:dyDescent="0.3">
      <c r="E323" s="293" t="s">
        <v>312</v>
      </c>
      <c r="F323" s="605" t="s">
        <v>894</v>
      </c>
      <c r="G323" s="294">
        <v>3604</v>
      </c>
      <c r="H323" s="295" t="s">
        <v>58</v>
      </c>
      <c r="I323" s="294">
        <v>108200000</v>
      </c>
      <c r="P323" s="295" t="s">
        <v>576</v>
      </c>
      <c r="R323" s="500">
        <v>0</v>
      </c>
      <c r="S323" s="639"/>
      <c r="T323" s="640"/>
      <c r="U323" s="640"/>
      <c r="V323" s="640"/>
      <c r="W323" s="640"/>
      <c r="X323" s="640"/>
      <c r="Y323" s="553"/>
      <c r="Z323" s="527" t="str">
        <f>IFERROR(INDEX(잔가map!$C$14:$AR$18,MATCH(차량DB!$Z$5,잔가map!$B$14:$B$18,0),MATCH(차량DB!Y323,잔가map!$C$13:$AR$13,0)),"")</f>
        <v/>
      </c>
      <c r="AA323" s="527" t="str">
        <f>IFERROR(INDEX(잔가map!$C$14:$AR$18,MATCH(차량DB!$AA$5,잔가map!$B$14:$B$18,0),MATCH(차량DB!Y323,잔가map!$C$13:$AR$13,0)),"")</f>
        <v/>
      </c>
      <c r="AB323" s="527" t="str">
        <f>IFERROR(INDEX(잔가map!$C$14:$AR$18,MATCH(차량DB!$AB$5,잔가map!$B$14:$B$18,0),MATCH(차량DB!Y323,잔가map!$C$13:$AR$13,0)),"")</f>
        <v/>
      </c>
      <c r="AC323" s="527" t="str">
        <f>IFERROR(INDEX(잔가map!$C$14:$AR$18,MATCH(차량DB!$AC$5,잔가map!$B$14:$B$18,0),MATCH(차량DB!Y323,잔가map!$C$13:$AR$13,0)),"")</f>
        <v/>
      </c>
      <c r="AD323" s="527" t="str">
        <f>IFERROR(INDEX(잔가map!$C$14:$AR$18,MATCH(차량DB!$AD$5,잔가map!$B$14:$B$18,0),MATCH(차량DB!Y323,잔가map!$C$13:$AR$13,0)),"")</f>
        <v/>
      </c>
      <c r="AE323" s="643"/>
      <c r="AF323" s="644"/>
      <c r="AG323" s="644"/>
      <c r="AH323" s="644"/>
      <c r="AI323" s="644"/>
      <c r="AJ323" s="644"/>
      <c r="AK323" s="574"/>
      <c r="AL323" s="576"/>
    </row>
    <row r="324" spans="5:38" x14ac:dyDescent="0.3">
      <c r="E324" s="293" t="s">
        <v>312</v>
      </c>
      <c r="F324" s="605" t="s">
        <v>892</v>
      </c>
      <c r="G324" s="294">
        <v>3604</v>
      </c>
      <c r="H324" s="295" t="s">
        <v>58</v>
      </c>
      <c r="I324" s="294">
        <v>93500000</v>
      </c>
      <c r="P324" s="295" t="s">
        <v>576</v>
      </c>
      <c r="R324" s="500">
        <v>0</v>
      </c>
      <c r="S324" s="639"/>
      <c r="T324" s="640"/>
      <c r="U324" s="640"/>
      <c r="V324" s="640"/>
      <c r="W324" s="640"/>
      <c r="X324" s="640"/>
      <c r="Y324" s="553"/>
      <c r="Z324" s="527" t="str">
        <f>IFERROR(INDEX(잔가map!$C$14:$AR$18,MATCH(차량DB!$Z$5,잔가map!$B$14:$B$18,0),MATCH(차량DB!Y324,잔가map!$C$13:$AR$13,0)),"")</f>
        <v/>
      </c>
      <c r="AA324" s="527" t="str">
        <f>IFERROR(INDEX(잔가map!$C$14:$AR$18,MATCH(차량DB!$AA$5,잔가map!$B$14:$B$18,0),MATCH(차량DB!Y324,잔가map!$C$13:$AR$13,0)),"")</f>
        <v/>
      </c>
      <c r="AB324" s="527" t="str">
        <f>IFERROR(INDEX(잔가map!$C$14:$AR$18,MATCH(차량DB!$AB$5,잔가map!$B$14:$B$18,0),MATCH(차량DB!Y324,잔가map!$C$13:$AR$13,0)),"")</f>
        <v/>
      </c>
      <c r="AC324" s="527" t="str">
        <f>IFERROR(INDEX(잔가map!$C$14:$AR$18,MATCH(차량DB!$AC$5,잔가map!$B$14:$B$18,0),MATCH(차량DB!Y324,잔가map!$C$13:$AR$13,0)),"")</f>
        <v/>
      </c>
      <c r="AD324" s="527" t="str">
        <f>IFERROR(INDEX(잔가map!$C$14:$AR$18,MATCH(차량DB!$AD$5,잔가map!$B$14:$B$18,0),MATCH(차량DB!Y324,잔가map!$C$13:$AR$13,0)),"")</f>
        <v/>
      </c>
      <c r="AE324" s="643"/>
      <c r="AF324" s="644"/>
      <c r="AG324" s="644"/>
      <c r="AH324" s="644"/>
      <c r="AI324" s="644"/>
      <c r="AJ324" s="644"/>
      <c r="AK324" s="574"/>
      <c r="AL324" s="576"/>
    </row>
    <row r="325" spans="5:38" x14ac:dyDescent="0.3">
      <c r="E325" s="293" t="s">
        <v>312</v>
      </c>
      <c r="F325" s="605" t="s">
        <v>895</v>
      </c>
      <c r="G325" s="294">
        <v>1995</v>
      </c>
      <c r="H325" s="295" t="s">
        <v>58</v>
      </c>
      <c r="I325" s="294">
        <v>103200000</v>
      </c>
      <c r="P325" s="295" t="s">
        <v>576</v>
      </c>
      <c r="R325" s="500"/>
      <c r="S325" s="639"/>
      <c r="T325" s="640"/>
      <c r="U325" s="640"/>
      <c r="V325" s="640"/>
      <c r="W325" s="640"/>
      <c r="X325" s="640"/>
      <c r="Y325" s="553"/>
      <c r="Z325" s="527" t="str">
        <f>IFERROR(INDEX(잔가map!$C$14:$AR$18,MATCH(차량DB!$Z$5,잔가map!$B$14:$B$18,0),MATCH(차량DB!Y325,잔가map!$C$13:$AR$13,0)),"")</f>
        <v/>
      </c>
      <c r="AA325" s="527" t="str">
        <f>IFERROR(INDEX(잔가map!$C$14:$AR$18,MATCH(차량DB!$AA$5,잔가map!$B$14:$B$18,0),MATCH(차량DB!Y325,잔가map!$C$13:$AR$13,0)),"")</f>
        <v/>
      </c>
      <c r="AB325" s="527" t="str">
        <f>IFERROR(INDEX(잔가map!$C$14:$AR$18,MATCH(차량DB!$AB$5,잔가map!$B$14:$B$18,0),MATCH(차량DB!Y325,잔가map!$C$13:$AR$13,0)),"")</f>
        <v/>
      </c>
      <c r="AC325" s="527" t="str">
        <f>IFERROR(INDEX(잔가map!$C$14:$AR$18,MATCH(차량DB!$AC$5,잔가map!$B$14:$B$18,0),MATCH(차량DB!Y325,잔가map!$C$13:$AR$13,0)),"")</f>
        <v/>
      </c>
      <c r="AD325" s="527" t="str">
        <f>IFERROR(INDEX(잔가map!$C$14:$AR$18,MATCH(차량DB!$AD$5,잔가map!$B$14:$B$18,0),MATCH(차량DB!Y325,잔가map!$C$13:$AR$13,0)),"")</f>
        <v/>
      </c>
      <c r="AE325" s="643"/>
      <c r="AF325" s="644"/>
      <c r="AG325" s="644"/>
      <c r="AH325" s="644"/>
      <c r="AI325" s="644"/>
      <c r="AJ325" s="644"/>
      <c r="AK325" s="574"/>
      <c r="AL325" s="576"/>
    </row>
    <row r="326" spans="5:38" x14ac:dyDescent="0.3">
      <c r="E326" s="293" t="s">
        <v>312</v>
      </c>
      <c r="F326" s="605" t="s">
        <v>896</v>
      </c>
      <c r="G326" s="294">
        <v>1995</v>
      </c>
      <c r="H326" s="295" t="s">
        <v>58</v>
      </c>
      <c r="I326" s="294">
        <v>121200000</v>
      </c>
      <c r="P326" s="295" t="s">
        <v>576</v>
      </c>
      <c r="R326" s="500"/>
      <c r="S326" s="639"/>
      <c r="T326" s="640"/>
      <c r="U326" s="640"/>
      <c r="V326" s="640"/>
      <c r="W326" s="640"/>
      <c r="X326" s="640"/>
      <c r="Y326" s="553"/>
      <c r="Z326" s="527" t="str">
        <f>IFERROR(INDEX(잔가map!$C$14:$AR$18,MATCH(차량DB!$Z$5,잔가map!$B$14:$B$18,0),MATCH(차량DB!Y326,잔가map!$C$13:$AR$13,0)),"")</f>
        <v/>
      </c>
      <c r="AA326" s="527" t="str">
        <f>IFERROR(INDEX(잔가map!$C$14:$AR$18,MATCH(차량DB!$AA$5,잔가map!$B$14:$B$18,0),MATCH(차량DB!Y326,잔가map!$C$13:$AR$13,0)),"")</f>
        <v/>
      </c>
      <c r="AB326" s="527" t="str">
        <f>IFERROR(INDEX(잔가map!$C$14:$AR$18,MATCH(차량DB!$AB$5,잔가map!$B$14:$B$18,0),MATCH(차량DB!Y326,잔가map!$C$13:$AR$13,0)),"")</f>
        <v/>
      </c>
      <c r="AC326" s="527" t="str">
        <f>IFERROR(INDEX(잔가map!$C$14:$AR$18,MATCH(차량DB!$AC$5,잔가map!$B$14:$B$18,0),MATCH(차량DB!Y326,잔가map!$C$13:$AR$13,0)),"")</f>
        <v/>
      </c>
      <c r="AD326" s="527" t="str">
        <f>IFERROR(INDEX(잔가map!$C$14:$AR$18,MATCH(차량DB!$AD$5,잔가map!$B$14:$B$18,0),MATCH(차량DB!Y326,잔가map!$C$13:$AR$13,0)),"")</f>
        <v/>
      </c>
      <c r="AE326" s="643"/>
      <c r="AF326" s="644"/>
      <c r="AG326" s="644"/>
      <c r="AH326" s="644"/>
      <c r="AI326" s="644"/>
      <c r="AJ326" s="644"/>
      <c r="AK326" s="574"/>
      <c r="AL326" s="576"/>
    </row>
    <row r="327" spans="5:38" x14ac:dyDescent="0.3">
      <c r="E327" s="293" t="s">
        <v>312</v>
      </c>
      <c r="F327" s="605" t="s">
        <v>889</v>
      </c>
      <c r="G327" s="294">
        <v>2360</v>
      </c>
      <c r="H327" s="295" t="s">
        <v>58</v>
      </c>
      <c r="I327" s="294">
        <v>54400000</v>
      </c>
      <c r="P327" s="295" t="s">
        <v>576</v>
      </c>
      <c r="R327" s="500">
        <v>0</v>
      </c>
      <c r="S327" s="639"/>
      <c r="T327" s="640"/>
      <c r="U327" s="640"/>
      <c r="V327" s="640"/>
      <c r="W327" s="640"/>
      <c r="X327" s="640"/>
      <c r="Y327" s="553"/>
      <c r="Z327" s="527" t="str">
        <f>IFERROR(INDEX(잔가map!$C$14:$AR$18,MATCH(차량DB!$Z$5,잔가map!$B$14:$B$18,0),MATCH(차량DB!Y327,잔가map!$C$13:$AR$13,0)),"")</f>
        <v/>
      </c>
      <c r="AA327" s="527" t="str">
        <f>IFERROR(INDEX(잔가map!$C$14:$AR$18,MATCH(차량DB!$AA$5,잔가map!$B$14:$B$18,0),MATCH(차량DB!Y327,잔가map!$C$13:$AR$13,0)),"")</f>
        <v/>
      </c>
      <c r="AB327" s="527" t="str">
        <f>IFERROR(INDEX(잔가map!$C$14:$AR$18,MATCH(차량DB!$AB$5,잔가map!$B$14:$B$18,0),MATCH(차량DB!Y327,잔가map!$C$13:$AR$13,0)),"")</f>
        <v/>
      </c>
      <c r="AC327" s="527" t="str">
        <f>IFERROR(INDEX(잔가map!$C$14:$AR$18,MATCH(차량DB!$AC$5,잔가map!$B$14:$B$18,0),MATCH(차량DB!Y327,잔가map!$C$13:$AR$13,0)),"")</f>
        <v/>
      </c>
      <c r="AD327" s="527" t="str">
        <f>IFERROR(INDEX(잔가map!$C$14:$AR$18,MATCH(차량DB!$AD$5,잔가map!$B$14:$B$18,0),MATCH(차량DB!Y327,잔가map!$C$13:$AR$13,0)),"")</f>
        <v/>
      </c>
      <c r="AE327" s="643"/>
      <c r="AF327" s="644"/>
      <c r="AG327" s="644"/>
      <c r="AH327" s="644"/>
      <c r="AI327" s="644"/>
      <c r="AJ327" s="644"/>
      <c r="AK327" s="547"/>
      <c r="AL327" s="576"/>
    </row>
    <row r="328" spans="5:38" x14ac:dyDescent="0.3">
      <c r="E328" s="293" t="s">
        <v>312</v>
      </c>
      <c r="F328" s="605" t="s">
        <v>890</v>
      </c>
      <c r="G328" s="294">
        <v>2360</v>
      </c>
      <c r="H328" s="295" t="s">
        <v>58</v>
      </c>
      <c r="I328" s="294">
        <v>51400000</v>
      </c>
      <c r="P328" s="295" t="s">
        <v>576</v>
      </c>
      <c r="R328" s="500">
        <v>0</v>
      </c>
      <c r="S328" s="639"/>
      <c r="T328" s="640"/>
      <c r="U328" s="640"/>
      <c r="V328" s="640"/>
      <c r="W328" s="640"/>
      <c r="X328" s="640"/>
      <c r="Y328" s="553"/>
      <c r="Z328" s="527" t="str">
        <f>IFERROR(INDEX(잔가map!$C$14:$AR$18,MATCH(차량DB!$Z$5,잔가map!$B$14:$B$18,0),MATCH(차량DB!Y328,잔가map!$C$13:$AR$13,0)),"")</f>
        <v/>
      </c>
      <c r="AA328" s="527" t="str">
        <f>IFERROR(INDEX(잔가map!$C$14:$AR$18,MATCH(차량DB!$AA$5,잔가map!$B$14:$B$18,0),MATCH(차량DB!Y328,잔가map!$C$13:$AR$13,0)),"")</f>
        <v/>
      </c>
      <c r="AB328" s="527" t="str">
        <f>IFERROR(INDEX(잔가map!$C$14:$AR$18,MATCH(차량DB!$AB$5,잔가map!$B$14:$B$18,0),MATCH(차량DB!Y328,잔가map!$C$13:$AR$13,0)),"")</f>
        <v/>
      </c>
      <c r="AC328" s="527" t="str">
        <f>IFERROR(INDEX(잔가map!$C$14:$AR$18,MATCH(차량DB!$AC$5,잔가map!$B$14:$B$18,0),MATCH(차량DB!Y328,잔가map!$C$13:$AR$13,0)),"")</f>
        <v/>
      </c>
      <c r="AD328" s="527" t="str">
        <f>IFERROR(INDEX(잔가map!$C$14:$AR$18,MATCH(차량DB!$AD$5,잔가map!$B$14:$B$18,0),MATCH(차량DB!Y328,잔가map!$C$13:$AR$13,0)),"")</f>
        <v/>
      </c>
      <c r="AE328" s="643"/>
      <c r="AF328" s="644"/>
      <c r="AG328" s="644"/>
      <c r="AH328" s="644"/>
      <c r="AI328" s="644"/>
      <c r="AJ328" s="644"/>
      <c r="AK328" s="547"/>
      <c r="AL328" s="576"/>
    </row>
    <row r="329" spans="5:38" x14ac:dyDescent="0.3">
      <c r="E329" s="293" t="s">
        <v>312</v>
      </c>
      <c r="F329" s="605" t="s">
        <v>891</v>
      </c>
      <c r="G329" s="294">
        <v>2360</v>
      </c>
      <c r="H329" s="295" t="s">
        <v>58</v>
      </c>
      <c r="I329" s="294">
        <v>56400000</v>
      </c>
      <c r="P329" s="295" t="s">
        <v>576</v>
      </c>
      <c r="R329" s="500"/>
      <c r="S329" s="639"/>
      <c r="T329" s="640"/>
      <c r="U329" s="640"/>
      <c r="V329" s="640"/>
      <c r="W329" s="640"/>
      <c r="X329" s="640"/>
      <c r="Y329" s="553"/>
      <c r="Z329" s="527" t="str">
        <f>IFERROR(INDEX(잔가map!$C$14:$AR$18,MATCH(차량DB!$Z$5,잔가map!$B$14:$B$18,0),MATCH(차량DB!Y329,잔가map!$C$13:$AR$13,0)),"")</f>
        <v/>
      </c>
      <c r="AA329" s="527" t="str">
        <f>IFERROR(INDEX(잔가map!$C$14:$AR$18,MATCH(차량DB!$AA$5,잔가map!$B$14:$B$18,0),MATCH(차량DB!Y329,잔가map!$C$13:$AR$13,0)),"")</f>
        <v/>
      </c>
      <c r="AB329" s="527" t="str">
        <f>IFERROR(INDEX(잔가map!$C$14:$AR$18,MATCH(차량DB!$AB$5,잔가map!$B$14:$B$18,0),MATCH(차량DB!Y329,잔가map!$C$13:$AR$13,0)),"")</f>
        <v/>
      </c>
      <c r="AC329" s="527" t="str">
        <f>IFERROR(INDEX(잔가map!$C$14:$AR$18,MATCH(차량DB!$AC$5,잔가map!$B$14:$B$18,0),MATCH(차량DB!Y329,잔가map!$C$13:$AR$13,0)),"")</f>
        <v/>
      </c>
      <c r="AD329" s="527" t="str">
        <f>IFERROR(INDEX(잔가map!$C$14:$AR$18,MATCH(차량DB!$AD$5,잔가map!$B$14:$B$18,0),MATCH(차량DB!Y329,잔가map!$C$13:$AR$13,0)),"")</f>
        <v/>
      </c>
      <c r="AE329" s="643"/>
      <c r="AF329" s="644"/>
      <c r="AG329" s="644"/>
      <c r="AH329" s="644"/>
      <c r="AI329" s="644"/>
      <c r="AJ329" s="644"/>
      <c r="AK329" s="547"/>
      <c r="AL329" s="576"/>
    </row>
    <row r="330" spans="5:38" x14ac:dyDescent="0.3">
      <c r="E330" s="293" t="s">
        <v>549</v>
      </c>
      <c r="F330" s="605" t="s">
        <v>492</v>
      </c>
      <c r="G330" s="294">
        <v>3996</v>
      </c>
      <c r="H330" s="295" t="s">
        <v>58</v>
      </c>
      <c r="I330" s="294">
        <v>255130000</v>
      </c>
      <c r="P330" s="295" t="s">
        <v>576</v>
      </c>
      <c r="R330" s="500">
        <v>0</v>
      </c>
      <c r="S330" s="639"/>
      <c r="T330" s="640"/>
      <c r="U330" s="640"/>
      <c r="V330" s="640"/>
      <c r="W330" s="640"/>
      <c r="X330" s="640"/>
      <c r="Y330" s="553"/>
      <c r="Z330" s="527" t="str">
        <f>IFERROR(INDEX(잔가map!$C$14:$AR$18,MATCH(차량DB!$Z$5,잔가map!$B$14:$B$18,0),MATCH(차량DB!Y330,잔가map!$C$13:$AR$13,0)),"")</f>
        <v/>
      </c>
      <c r="AA330" s="527" t="str">
        <f>IFERROR(INDEX(잔가map!$C$14:$AR$18,MATCH(차량DB!$AA$5,잔가map!$B$14:$B$18,0),MATCH(차량DB!Y330,잔가map!$C$13:$AR$13,0)),"")</f>
        <v/>
      </c>
      <c r="AB330" s="527" t="str">
        <f>IFERROR(INDEX(잔가map!$C$14:$AR$18,MATCH(차량DB!$AB$5,잔가map!$B$14:$B$18,0),MATCH(차량DB!Y330,잔가map!$C$13:$AR$13,0)),"")</f>
        <v/>
      </c>
      <c r="AC330" s="527" t="str">
        <f>IFERROR(INDEX(잔가map!$C$14:$AR$18,MATCH(차량DB!$AC$5,잔가map!$B$14:$B$18,0),MATCH(차량DB!Y330,잔가map!$C$13:$AR$13,0)),"")</f>
        <v/>
      </c>
      <c r="AD330" s="527" t="str">
        <f>IFERROR(INDEX(잔가map!$C$14:$AR$18,MATCH(차량DB!$AD$5,잔가map!$B$14:$B$18,0),MATCH(차량DB!Y330,잔가map!$C$13:$AR$13,0)),"")</f>
        <v/>
      </c>
      <c r="AE330" s="643"/>
      <c r="AF330" s="644"/>
      <c r="AG330" s="644"/>
      <c r="AH330" s="644"/>
      <c r="AI330" s="644"/>
      <c r="AJ330" s="644"/>
      <c r="AK330" s="547"/>
      <c r="AL330" s="576"/>
    </row>
    <row r="331" spans="5:38" x14ac:dyDescent="0.3">
      <c r="E331" s="293" t="s">
        <v>549</v>
      </c>
      <c r="F331" s="605" t="s">
        <v>493</v>
      </c>
      <c r="G331" s="294">
        <v>6498</v>
      </c>
      <c r="H331" s="295" t="s">
        <v>45</v>
      </c>
      <c r="I331" s="294">
        <v>577330000</v>
      </c>
      <c r="P331" s="295" t="s">
        <v>576</v>
      </c>
      <c r="R331" s="500">
        <v>0</v>
      </c>
      <c r="S331" s="639"/>
      <c r="T331" s="640"/>
      <c r="U331" s="640"/>
      <c r="V331" s="640"/>
      <c r="W331" s="640"/>
      <c r="X331" s="640"/>
      <c r="Y331" s="553"/>
      <c r="Z331" s="527" t="str">
        <f>IFERROR(INDEX(잔가map!$C$14:$AR$18,MATCH(차량DB!$Z$5,잔가map!$B$14:$B$18,0),MATCH(차량DB!Y331,잔가map!$C$13:$AR$13,0)),"")</f>
        <v/>
      </c>
      <c r="AA331" s="527" t="str">
        <f>IFERROR(INDEX(잔가map!$C$14:$AR$18,MATCH(차량DB!$AA$5,잔가map!$B$14:$B$18,0),MATCH(차량DB!Y331,잔가map!$C$13:$AR$13,0)),"")</f>
        <v/>
      </c>
      <c r="AB331" s="527" t="str">
        <f>IFERROR(INDEX(잔가map!$C$14:$AR$18,MATCH(차량DB!$AB$5,잔가map!$B$14:$B$18,0),MATCH(차량DB!Y331,잔가map!$C$13:$AR$13,0)),"")</f>
        <v/>
      </c>
      <c r="AC331" s="527" t="str">
        <f>IFERROR(INDEX(잔가map!$C$14:$AR$18,MATCH(차량DB!$AC$5,잔가map!$B$14:$B$18,0),MATCH(차량DB!Y331,잔가map!$C$13:$AR$13,0)),"")</f>
        <v/>
      </c>
      <c r="AD331" s="527" t="str">
        <f>IFERROR(INDEX(잔가map!$C$14:$AR$18,MATCH(차량DB!$AD$5,잔가map!$B$14:$B$18,0),MATCH(차량DB!Y331,잔가map!$C$13:$AR$13,0)),"")</f>
        <v/>
      </c>
      <c r="AE331" s="643"/>
      <c r="AF331" s="644"/>
      <c r="AG331" s="644"/>
      <c r="AH331" s="644"/>
      <c r="AI331" s="644"/>
      <c r="AJ331" s="644"/>
      <c r="AK331" s="547"/>
      <c r="AL331" s="576"/>
    </row>
    <row r="332" spans="5:38" x14ac:dyDescent="0.3">
      <c r="E332" s="293" t="s">
        <v>549</v>
      </c>
      <c r="F332" s="605" t="s">
        <v>494</v>
      </c>
      <c r="G332" s="294">
        <v>6498</v>
      </c>
      <c r="H332" s="295" t="s">
        <v>45</v>
      </c>
      <c r="I332" s="294">
        <v>691400000</v>
      </c>
      <c r="P332" s="295" t="s">
        <v>576</v>
      </c>
      <c r="R332" s="500">
        <v>0</v>
      </c>
      <c r="S332" s="639"/>
      <c r="T332" s="640"/>
      <c r="U332" s="640"/>
      <c r="V332" s="640"/>
      <c r="W332" s="640"/>
      <c r="X332" s="640"/>
      <c r="Y332" s="553"/>
      <c r="Z332" s="527" t="str">
        <f>IFERROR(INDEX(잔가map!$C$14:$AR$18,MATCH(차량DB!$Z$5,잔가map!$B$14:$B$18,0),MATCH(차량DB!Y332,잔가map!$C$13:$AR$13,0)),"")</f>
        <v/>
      </c>
      <c r="AA332" s="527" t="str">
        <f>IFERROR(INDEX(잔가map!$C$14:$AR$18,MATCH(차량DB!$AA$5,잔가map!$B$14:$B$18,0),MATCH(차량DB!Y332,잔가map!$C$13:$AR$13,0)),"")</f>
        <v/>
      </c>
      <c r="AB332" s="527" t="str">
        <f>IFERROR(INDEX(잔가map!$C$14:$AR$18,MATCH(차량DB!$AB$5,잔가map!$B$14:$B$18,0),MATCH(차량DB!Y332,잔가map!$C$13:$AR$13,0)),"")</f>
        <v/>
      </c>
      <c r="AC332" s="527" t="str">
        <f>IFERROR(INDEX(잔가map!$C$14:$AR$18,MATCH(차량DB!$AC$5,잔가map!$B$14:$B$18,0),MATCH(차량DB!Y332,잔가map!$C$13:$AR$13,0)),"")</f>
        <v/>
      </c>
      <c r="AD332" s="527" t="str">
        <f>IFERROR(INDEX(잔가map!$C$14:$AR$18,MATCH(차량DB!$AD$5,잔가map!$B$14:$B$18,0),MATCH(차량DB!Y332,잔가map!$C$13:$AR$13,0)),"")</f>
        <v/>
      </c>
      <c r="AE332" s="643"/>
      <c r="AF332" s="644"/>
      <c r="AG332" s="644"/>
      <c r="AH332" s="644"/>
      <c r="AI332" s="644"/>
      <c r="AJ332" s="644"/>
      <c r="AK332" s="547"/>
      <c r="AL332" s="576"/>
    </row>
    <row r="333" spans="5:38" x14ac:dyDescent="0.3">
      <c r="E333" s="293" t="s">
        <v>549</v>
      </c>
      <c r="F333" s="605" t="s">
        <v>495</v>
      </c>
      <c r="G333" s="294">
        <v>6498</v>
      </c>
      <c r="H333" s="295" t="s">
        <v>45</v>
      </c>
      <c r="I333" s="294">
        <v>641590000</v>
      </c>
      <c r="P333" s="295" t="s">
        <v>576</v>
      </c>
      <c r="R333" s="500">
        <v>0</v>
      </c>
      <c r="S333" s="639"/>
      <c r="T333" s="640"/>
      <c r="U333" s="640"/>
      <c r="V333" s="640"/>
      <c r="W333" s="640"/>
      <c r="X333" s="640"/>
      <c r="Y333" s="553"/>
      <c r="Z333" s="527" t="str">
        <f>IFERROR(INDEX(잔가map!$C$14:$AR$18,MATCH(차량DB!$Z$5,잔가map!$B$14:$B$18,0),MATCH(차량DB!Y333,잔가map!$C$13:$AR$13,0)),"")</f>
        <v/>
      </c>
      <c r="AA333" s="527" t="str">
        <f>IFERROR(INDEX(잔가map!$C$14:$AR$18,MATCH(차량DB!$AA$5,잔가map!$B$14:$B$18,0),MATCH(차량DB!Y333,잔가map!$C$13:$AR$13,0)),"")</f>
        <v/>
      </c>
      <c r="AB333" s="527" t="str">
        <f>IFERROR(INDEX(잔가map!$C$14:$AR$18,MATCH(차량DB!$AB$5,잔가map!$B$14:$B$18,0),MATCH(차량DB!Y333,잔가map!$C$13:$AR$13,0)),"")</f>
        <v/>
      </c>
      <c r="AC333" s="527" t="str">
        <f>IFERROR(INDEX(잔가map!$C$14:$AR$18,MATCH(차량DB!$AC$5,잔가map!$B$14:$B$18,0),MATCH(차량DB!Y333,잔가map!$C$13:$AR$13,0)),"")</f>
        <v/>
      </c>
      <c r="AD333" s="527" t="str">
        <f>IFERROR(INDEX(잔가map!$C$14:$AR$18,MATCH(차량DB!$AD$5,잔가map!$B$14:$B$18,0),MATCH(차량DB!Y333,잔가map!$C$13:$AR$13,0)),"")</f>
        <v/>
      </c>
      <c r="AE333" s="643"/>
      <c r="AF333" s="644"/>
      <c r="AG333" s="644"/>
      <c r="AH333" s="644"/>
      <c r="AI333" s="644"/>
      <c r="AJ333" s="644"/>
      <c r="AK333" s="547"/>
      <c r="AL333" s="576"/>
    </row>
    <row r="334" spans="5:38" x14ac:dyDescent="0.3">
      <c r="E334" s="293" t="s">
        <v>549</v>
      </c>
      <c r="F334" s="605" t="s">
        <v>496</v>
      </c>
      <c r="G334" s="294">
        <v>6498</v>
      </c>
      <c r="H334" s="295" t="s">
        <v>45</v>
      </c>
      <c r="I334" s="294">
        <v>758460000</v>
      </c>
      <c r="P334" s="295" t="s">
        <v>576</v>
      </c>
      <c r="R334" s="500">
        <v>0</v>
      </c>
      <c r="S334" s="639"/>
      <c r="T334" s="640"/>
      <c r="U334" s="640"/>
      <c r="V334" s="640"/>
      <c r="W334" s="640"/>
      <c r="X334" s="640"/>
      <c r="Y334" s="553"/>
      <c r="Z334" s="527" t="str">
        <f>IFERROR(INDEX(잔가map!$C$14:$AR$18,MATCH(차량DB!$Z$5,잔가map!$B$14:$B$18,0),MATCH(차량DB!Y334,잔가map!$C$13:$AR$13,0)),"")</f>
        <v/>
      </c>
      <c r="AA334" s="527" t="str">
        <f>IFERROR(INDEX(잔가map!$C$14:$AR$18,MATCH(차량DB!$AA$5,잔가map!$B$14:$B$18,0),MATCH(차량DB!Y334,잔가map!$C$13:$AR$13,0)),"")</f>
        <v/>
      </c>
      <c r="AB334" s="527" t="str">
        <f>IFERROR(INDEX(잔가map!$C$14:$AR$18,MATCH(차량DB!$AB$5,잔가map!$B$14:$B$18,0),MATCH(차량DB!Y334,잔가map!$C$13:$AR$13,0)),"")</f>
        <v/>
      </c>
      <c r="AC334" s="527" t="str">
        <f>IFERROR(INDEX(잔가map!$C$14:$AR$18,MATCH(차량DB!$AC$5,잔가map!$B$14:$B$18,0),MATCH(차량DB!Y334,잔가map!$C$13:$AR$13,0)),"")</f>
        <v/>
      </c>
      <c r="AD334" s="527" t="str">
        <f>IFERROR(INDEX(잔가map!$C$14:$AR$18,MATCH(차량DB!$AD$5,잔가map!$B$14:$B$18,0),MATCH(차량DB!Y334,잔가map!$C$13:$AR$13,0)),"")</f>
        <v/>
      </c>
      <c r="AE334" s="643"/>
      <c r="AF334" s="644"/>
      <c r="AG334" s="644"/>
      <c r="AH334" s="644"/>
      <c r="AI334" s="644"/>
      <c r="AJ334" s="644"/>
      <c r="AK334" s="547"/>
      <c r="AL334" s="576"/>
    </row>
    <row r="335" spans="5:38" x14ac:dyDescent="0.3">
      <c r="E335" s="293" t="s">
        <v>549</v>
      </c>
      <c r="F335" s="605" t="s">
        <v>497</v>
      </c>
      <c r="G335" s="294">
        <v>5204</v>
      </c>
      <c r="H335" s="295" t="s">
        <v>45</v>
      </c>
      <c r="I335" s="294">
        <v>299000000</v>
      </c>
      <c r="P335" s="295" t="s">
        <v>576</v>
      </c>
      <c r="R335" s="500">
        <v>0</v>
      </c>
      <c r="S335" s="639"/>
      <c r="T335" s="640"/>
      <c r="U335" s="640"/>
      <c r="V335" s="640"/>
      <c r="W335" s="640"/>
      <c r="X335" s="640"/>
      <c r="Y335" s="553"/>
      <c r="Z335" s="527" t="str">
        <f>IFERROR(INDEX(잔가map!$C$14:$AR$18,MATCH(차량DB!$Z$5,잔가map!$B$14:$B$18,0),MATCH(차량DB!Y335,잔가map!$C$13:$AR$13,0)),"")</f>
        <v/>
      </c>
      <c r="AA335" s="527" t="str">
        <f>IFERROR(INDEX(잔가map!$C$14:$AR$18,MATCH(차량DB!$AA$5,잔가map!$B$14:$B$18,0),MATCH(차량DB!Y335,잔가map!$C$13:$AR$13,0)),"")</f>
        <v/>
      </c>
      <c r="AB335" s="527" t="str">
        <f>IFERROR(INDEX(잔가map!$C$14:$AR$18,MATCH(차량DB!$AB$5,잔가map!$B$14:$B$18,0),MATCH(차량DB!Y335,잔가map!$C$13:$AR$13,0)),"")</f>
        <v/>
      </c>
      <c r="AC335" s="527" t="str">
        <f>IFERROR(INDEX(잔가map!$C$14:$AR$18,MATCH(차량DB!$AC$5,잔가map!$B$14:$B$18,0),MATCH(차량DB!Y335,잔가map!$C$13:$AR$13,0)),"")</f>
        <v/>
      </c>
      <c r="AD335" s="527" t="str">
        <f>IFERROR(INDEX(잔가map!$C$14:$AR$18,MATCH(차량DB!$AD$5,잔가map!$B$14:$B$18,0),MATCH(차량DB!Y335,잔가map!$C$13:$AR$13,0)),"")</f>
        <v/>
      </c>
      <c r="AE335" s="643"/>
      <c r="AF335" s="644"/>
      <c r="AG335" s="644"/>
      <c r="AH335" s="644"/>
      <c r="AI335" s="644"/>
      <c r="AJ335" s="644"/>
      <c r="AK335" s="547"/>
      <c r="AL335" s="576"/>
    </row>
    <row r="336" spans="5:38" x14ac:dyDescent="0.3">
      <c r="E336" s="293" t="s">
        <v>549</v>
      </c>
      <c r="F336" s="605" t="s">
        <v>498</v>
      </c>
      <c r="G336" s="294">
        <v>5204</v>
      </c>
      <c r="H336" s="295" t="s">
        <v>45</v>
      </c>
      <c r="I336" s="294">
        <v>345320000</v>
      </c>
      <c r="P336" s="295" t="s">
        <v>576</v>
      </c>
      <c r="R336" s="500">
        <v>0</v>
      </c>
      <c r="S336" s="639"/>
      <c r="T336" s="640"/>
      <c r="U336" s="640"/>
      <c r="V336" s="640"/>
      <c r="W336" s="640"/>
      <c r="X336" s="640"/>
      <c r="Y336" s="553"/>
      <c r="Z336" s="527" t="str">
        <f>IFERROR(INDEX(잔가map!$C$14:$AR$18,MATCH(차량DB!$Z$5,잔가map!$B$14:$B$18,0),MATCH(차량DB!Y336,잔가map!$C$13:$AR$13,0)),"")</f>
        <v/>
      </c>
      <c r="AA336" s="527" t="str">
        <f>IFERROR(INDEX(잔가map!$C$14:$AR$18,MATCH(차량DB!$AA$5,잔가map!$B$14:$B$18,0),MATCH(차량DB!Y336,잔가map!$C$13:$AR$13,0)),"")</f>
        <v/>
      </c>
      <c r="AB336" s="527" t="str">
        <f>IFERROR(INDEX(잔가map!$C$14:$AR$18,MATCH(차량DB!$AB$5,잔가map!$B$14:$B$18,0),MATCH(차량DB!Y336,잔가map!$C$13:$AR$13,0)),"")</f>
        <v/>
      </c>
      <c r="AC336" s="527" t="str">
        <f>IFERROR(INDEX(잔가map!$C$14:$AR$18,MATCH(차량DB!$AC$5,잔가map!$B$14:$B$18,0),MATCH(차량DB!Y336,잔가map!$C$13:$AR$13,0)),"")</f>
        <v/>
      </c>
      <c r="AD336" s="527" t="str">
        <f>IFERROR(INDEX(잔가map!$C$14:$AR$18,MATCH(차량DB!$AD$5,잔가map!$B$14:$B$18,0),MATCH(차량DB!Y336,잔가map!$C$13:$AR$13,0)),"")</f>
        <v/>
      </c>
      <c r="AE336" s="643"/>
      <c r="AF336" s="644"/>
      <c r="AG336" s="644"/>
      <c r="AH336" s="644"/>
      <c r="AI336" s="644"/>
      <c r="AJ336" s="644"/>
      <c r="AK336" s="547"/>
      <c r="AL336" s="576"/>
    </row>
    <row r="337" spans="5:38" x14ac:dyDescent="0.3">
      <c r="E337" s="293" t="s">
        <v>549</v>
      </c>
      <c r="F337" s="605" t="s">
        <v>499</v>
      </c>
      <c r="G337" s="294">
        <v>5204</v>
      </c>
      <c r="H337" s="295" t="s">
        <v>45</v>
      </c>
      <c r="I337" s="294">
        <v>389380000</v>
      </c>
      <c r="P337" s="295" t="s">
        <v>576</v>
      </c>
      <c r="R337" s="500">
        <v>0</v>
      </c>
      <c r="S337" s="639"/>
      <c r="T337" s="640"/>
      <c r="U337" s="640"/>
      <c r="V337" s="640"/>
      <c r="W337" s="640"/>
      <c r="X337" s="640"/>
      <c r="Y337" s="553"/>
      <c r="Z337" s="527" t="str">
        <f>IFERROR(INDEX(잔가map!$C$14:$AR$18,MATCH(차량DB!$Z$5,잔가map!$B$14:$B$18,0),MATCH(차량DB!Y337,잔가map!$C$13:$AR$13,0)),"")</f>
        <v/>
      </c>
      <c r="AA337" s="527" t="str">
        <f>IFERROR(INDEX(잔가map!$C$14:$AR$18,MATCH(차량DB!$AA$5,잔가map!$B$14:$B$18,0),MATCH(차량DB!Y337,잔가map!$C$13:$AR$13,0)),"")</f>
        <v/>
      </c>
      <c r="AB337" s="527" t="str">
        <f>IFERROR(INDEX(잔가map!$C$14:$AR$18,MATCH(차량DB!$AB$5,잔가map!$B$14:$B$18,0),MATCH(차량DB!Y337,잔가map!$C$13:$AR$13,0)),"")</f>
        <v/>
      </c>
      <c r="AC337" s="527" t="str">
        <f>IFERROR(INDEX(잔가map!$C$14:$AR$18,MATCH(차량DB!$AC$5,잔가map!$B$14:$B$18,0),MATCH(차량DB!Y337,잔가map!$C$13:$AR$13,0)),"")</f>
        <v/>
      </c>
      <c r="AD337" s="527" t="str">
        <f>IFERROR(INDEX(잔가map!$C$14:$AR$18,MATCH(차량DB!$AD$5,잔가map!$B$14:$B$18,0),MATCH(차량DB!Y337,잔가map!$C$13:$AR$13,0)),"")</f>
        <v/>
      </c>
      <c r="AE337" s="643"/>
      <c r="AF337" s="644"/>
      <c r="AG337" s="644"/>
      <c r="AH337" s="644"/>
      <c r="AI337" s="644"/>
      <c r="AJ337" s="644"/>
      <c r="AK337" s="547"/>
      <c r="AL337" s="576"/>
    </row>
    <row r="338" spans="5:38" s="494" customFormat="1" x14ac:dyDescent="0.3">
      <c r="E338" s="573" t="s">
        <v>417</v>
      </c>
      <c r="F338" s="605" t="s">
        <v>908</v>
      </c>
      <c r="G338" s="294">
        <v>2487</v>
      </c>
      <c r="H338" s="295" t="s">
        <v>45</v>
      </c>
      <c r="I338" s="294">
        <v>64800000</v>
      </c>
      <c r="J338" s="487"/>
      <c r="K338" s="487"/>
      <c r="L338" s="487"/>
      <c r="M338" s="487"/>
      <c r="N338" s="487"/>
      <c r="O338" s="294"/>
      <c r="P338" s="295" t="s">
        <v>576</v>
      </c>
      <c r="Q338" s="295"/>
      <c r="R338" s="500">
        <v>0</v>
      </c>
      <c r="S338" s="639" t="s">
        <v>1230</v>
      </c>
      <c r="T338" s="640"/>
      <c r="U338" s="640"/>
      <c r="V338" s="640"/>
      <c r="W338" s="640"/>
      <c r="X338" s="640"/>
      <c r="Y338" s="553" t="s">
        <v>352</v>
      </c>
      <c r="Z338" s="527">
        <f>IFERROR(INDEX(잔가map!$C$14:$AR$18,MATCH(차량DB!$Z$5,잔가map!$B$14:$B$18,0),MATCH(차량DB!Y338,잔가map!$C$13:$AR$13,0)),"")</f>
        <v>0.77</v>
      </c>
      <c r="AA338" s="527">
        <f>IFERROR(INDEX(잔가map!$C$14:$AR$18,MATCH(차량DB!$AA$5,잔가map!$B$14:$B$18,0),MATCH(차량DB!Y338,잔가map!$C$13:$AR$13,0)),"")</f>
        <v>0.69000000000000006</v>
      </c>
      <c r="AB338" s="527">
        <f>IFERROR(INDEX(잔가map!$C$14:$AR$18,MATCH(차량DB!$AB$5,잔가map!$B$14:$B$18,0),MATCH(차량DB!Y338,잔가map!$C$13:$AR$13,0)),"")</f>
        <v>0.6</v>
      </c>
      <c r="AC338" s="527">
        <f>IFERROR(INDEX(잔가map!$C$14:$AR$18,MATCH(차량DB!$AC$5,잔가map!$B$14:$B$18,0),MATCH(차량DB!Y338,잔가map!$C$13:$AR$13,0)),"")</f>
        <v>0.52</v>
      </c>
      <c r="AD338" s="527">
        <f>IFERROR(INDEX(잔가map!$C$14:$AR$18,MATCH(차량DB!$AD$5,잔가map!$B$14:$B$18,0),MATCH(차량DB!Y338,잔가map!$C$13:$AR$13,0)),"")</f>
        <v>0.46000000000000008</v>
      </c>
      <c r="AE338" s="643"/>
      <c r="AF338" s="644"/>
      <c r="AG338" s="644"/>
      <c r="AH338" s="644"/>
      <c r="AI338" s="644"/>
      <c r="AJ338" s="644"/>
      <c r="AK338" s="574"/>
      <c r="AL338" s="576"/>
    </row>
    <row r="339" spans="5:38" s="494" customFormat="1" x14ac:dyDescent="0.3">
      <c r="E339" s="573" t="s">
        <v>417</v>
      </c>
      <c r="F339" s="605" t="s">
        <v>909</v>
      </c>
      <c r="G339" s="294">
        <v>2487</v>
      </c>
      <c r="H339" s="295" t="s">
        <v>45</v>
      </c>
      <c r="I339" s="294">
        <v>66900000</v>
      </c>
      <c r="J339" s="487"/>
      <c r="K339" s="487"/>
      <c r="L339" s="487"/>
      <c r="M339" s="487"/>
      <c r="N339" s="487"/>
      <c r="O339" s="294"/>
      <c r="P339" s="295" t="s">
        <v>576</v>
      </c>
      <c r="Q339" s="295"/>
      <c r="R339" s="500">
        <v>0</v>
      </c>
      <c r="S339" s="639" t="s">
        <v>1235</v>
      </c>
      <c r="T339" s="640"/>
      <c r="U339" s="640"/>
      <c r="V339" s="640"/>
      <c r="W339" s="640"/>
      <c r="X339" s="640"/>
      <c r="Y339" s="553" t="s">
        <v>352</v>
      </c>
      <c r="Z339" s="527">
        <f>IFERROR(INDEX(잔가map!$C$14:$AR$18,MATCH(차량DB!$Z$5,잔가map!$B$14:$B$18,0),MATCH(차량DB!Y339,잔가map!$C$13:$AR$13,0)),"")</f>
        <v>0.77</v>
      </c>
      <c r="AA339" s="527">
        <f>IFERROR(INDEX(잔가map!$C$14:$AR$18,MATCH(차량DB!$AA$5,잔가map!$B$14:$B$18,0),MATCH(차량DB!Y339,잔가map!$C$13:$AR$13,0)),"")</f>
        <v>0.69000000000000006</v>
      </c>
      <c r="AB339" s="527">
        <f>IFERROR(INDEX(잔가map!$C$14:$AR$18,MATCH(차량DB!$AB$5,잔가map!$B$14:$B$18,0),MATCH(차량DB!Y339,잔가map!$C$13:$AR$13,0)),"")</f>
        <v>0.6</v>
      </c>
      <c r="AC339" s="527">
        <f>IFERROR(INDEX(잔가map!$C$14:$AR$18,MATCH(차량DB!$AC$5,잔가map!$B$14:$B$18,0),MATCH(차량DB!Y339,잔가map!$C$13:$AR$13,0)),"")</f>
        <v>0.52</v>
      </c>
      <c r="AD339" s="527">
        <f>IFERROR(INDEX(잔가map!$C$14:$AR$18,MATCH(차량DB!$AD$5,잔가map!$B$14:$B$18,0),MATCH(차량DB!Y339,잔가map!$C$13:$AR$13,0)),"")</f>
        <v>0.46000000000000008</v>
      </c>
      <c r="AE339" s="643"/>
      <c r="AF339" s="644"/>
      <c r="AG339" s="644"/>
      <c r="AH339" s="644"/>
      <c r="AI339" s="644"/>
      <c r="AJ339" s="644"/>
      <c r="AK339" s="574"/>
      <c r="AL339" s="576"/>
    </row>
    <row r="340" spans="5:38" s="494" customFormat="1" x14ac:dyDescent="0.3">
      <c r="E340" s="573" t="s">
        <v>417</v>
      </c>
      <c r="F340" s="605" t="s">
        <v>910</v>
      </c>
      <c r="G340" s="294">
        <v>2487</v>
      </c>
      <c r="H340" s="295" t="s">
        <v>45</v>
      </c>
      <c r="I340" s="294">
        <v>71600000</v>
      </c>
      <c r="J340" s="487"/>
      <c r="K340" s="487"/>
      <c r="L340" s="487"/>
      <c r="M340" s="487"/>
      <c r="N340" s="487"/>
      <c r="O340" s="294"/>
      <c r="P340" s="295" t="s">
        <v>576</v>
      </c>
      <c r="Q340" s="295"/>
      <c r="R340" s="500">
        <v>0</v>
      </c>
      <c r="S340" s="639" t="s">
        <v>1229</v>
      </c>
      <c r="T340" s="640"/>
      <c r="U340" s="640"/>
      <c r="V340" s="640"/>
      <c r="W340" s="640"/>
      <c r="X340" s="640"/>
      <c r="Y340" s="553" t="s">
        <v>352</v>
      </c>
      <c r="Z340" s="527">
        <f>IFERROR(INDEX(잔가map!$C$14:$AR$18,MATCH(차량DB!$Z$5,잔가map!$B$14:$B$18,0),MATCH(차량DB!Y340,잔가map!$C$13:$AR$13,0)),"")</f>
        <v>0.77</v>
      </c>
      <c r="AA340" s="527">
        <f>IFERROR(INDEX(잔가map!$C$14:$AR$18,MATCH(차량DB!$AA$5,잔가map!$B$14:$B$18,0),MATCH(차량DB!Y340,잔가map!$C$13:$AR$13,0)),"")</f>
        <v>0.69000000000000006</v>
      </c>
      <c r="AB340" s="527">
        <f>IFERROR(INDEX(잔가map!$C$14:$AR$18,MATCH(차량DB!$AB$5,잔가map!$B$14:$B$18,0),MATCH(차량DB!Y340,잔가map!$C$13:$AR$13,0)),"")</f>
        <v>0.6</v>
      </c>
      <c r="AC340" s="527">
        <f>IFERROR(INDEX(잔가map!$C$14:$AR$18,MATCH(차량DB!$AC$5,잔가map!$B$14:$B$18,0),MATCH(차량DB!Y340,잔가map!$C$13:$AR$13,0)),"")</f>
        <v>0.52</v>
      </c>
      <c r="AD340" s="527">
        <f>IFERROR(INDEX(잔가map!$C$14:$AR$18,MATCH(차량DB!$AD$5,잔가map!$B$14:$B$18,0),MATCH(차량DB!Y340,잔가map!$C$13:$AR$13,0)),"")</f>
        <v>0.46000000000000008</v>
      </c>
      <c r="AE340" s="643"/>
      <c r="AF340" s="644"/>
      <c r="AG340" s="644"/>
      <c r="AH340" s="644"/>
      <c r="AI340" s="644"/>
      <c r="AJ340" s="644"/>
      <c r="AK340" s="574"/>
      <c r="AL340" s="576"/>
    </row>
    <row r="341" spans="5:38" s="494" customFormat="1" x14ac:dyDescent="0.3">
      <c r="E341" s="573" t="s">
        <v>417</v>
      </c>
      <c r="F341" s="605" t="s">
        <v>911</v>
      </c>
      <c r="G341" s="294">
        <v>2487</v>
      </c>
      <c r="H341" s="295" t="s">
        <v>45</v>
      </c>
      <c r="I341" s="294">
        <v>74100000</v>
      </c>
      <c r="J341" s="487"/>
      <c r="K341" s="487"/>
      <c r="L341" s="487"/>
      <c r="M341" s="487"/>
      <c r="N341" s="487"/>
      <c r="O341" s="294"/>
      <c r="P341" s="295" t="s">
        <v>576</v>
      </c>
      <c r="Q341" s="295"/>
      <c r="R341" s="500">
        <v>0</v>
      </c>
      <c r="S341" s="639" t="s">
        <v>1229</v>
      </c>
      <c r="T341" s="640"/>
      <c r="U341" s="640"/>
      <c r="V341" s="640"/>
      <c r="W341" s="640"/>
      <c r="X341" s="640"/>
      <c r="Y341" s="553" t="s">
        <v>352</v>
      </c>
      <c r="Z341" s="527">
        <f>IFERROR(INDEX(잔가map!$C$14:$AR$18,MATCH(차량DB!$Z$5,잔가map!$B$14:$B$18,0),MATCH(차량DB!Y341,잔가map!$C$13:$AR$13,0)),"")</f>
        <v>0.77</v>
      </c>
      <c r="AA341" s="527">
        <f>IFERROR(INDEX(잔가map!$C$14:$AR$18,MATCH(차량DB!$AA$5,잔가map!$B$14:$B$18,0),MATCH(차량DB!Y341,잔가map!$C$13:$AR$13,0)),"")</f>
        <v>0.69000000000000006</v>
      </c>
      <c r="AB341" s="527">
        <f>IFERROR(INDEX(잔가map!$C$14:$AR$18,MATCH(차량DB!$AB$5,잔가map!$B$14:$B$18,0),MATCH(차량DB!Y341,잔가map!$C$13:$AR$13,0)),"")</f>
        <v>0.6</v>
      </c>
      <c r="AC341" s="527">
        <f>IFERROR(INDEX(잔가map!$C$14:$AR$18,MATCH(차량DB!$AC$5,잔가map!$B$14:$B$18,0),MATCH(차량DB!Y341,잔가map!$C$13:$AR$13,0)),"")</f>
        <v>0.52</v>
      </c>
      <c r="AD341" s="527">
        <f>IFERROR(INDEX(잔가map!$C$14:$AR$18,MATCH(차량DB!$AD$5,잔가map!$B$14:$B$18,0),MATCH(차량DB!Y341,잔가map!$C$13:$AR$13,0)),"")</f>
        <v>0.46000000000000008</v>
      </c>
      <c r="AE341" s="643"/>
      <c r="AF341" s="644"/>
      <c r="AG341" s="644"/>
      <c r="AH341" s="644"/>
      <c r="AI341" s="644"/>
      <c r="AJ341" s="644"/>
      <c r="AK341" s="574"/>
      <c r="AL341" s="576"/>
    </row>
    <row r="342" spans="5:38" x14ac:dyDescent="0.3">
      <c r="E342" s="293" t="s">
        <v>417</v>
      </c>
      <c r="F342" s="605" t="s">
        <v>915</v>
      </c>
      <c r="G342" s="294">
        <v>3445</v>
      </c>
      <c r="H342" s="295" t="s">
        <v>45</v>
      </c>
      <c r="I342" s="294">
        <v>142930000</v>
      </c>
      <c r="P342" s="295" t="s">
        <v>576</v>
      </c>
      <c r="R342" s="500">
        <v>0</v>
      </c>
      <c r="S342" s="639"/>
      <c r="T342" s="640"/>
      <c r="U342" s="640"/>
      <c r="V342" s="640"/>
      <c r="W342" s="640"/>
      <c r="X342" s="640"/>
      <c r="Y342" s="553"/>
      <c r="Z342" s="527" t="str">
        <f>IFERROR(INDEX(잔가map!$C$14:$AR$18,MATCH(차량DB!$Z$5,잔가map!$B$14:$B$18,0),MATCH(차량DB!Y342,잔가map!$C$13:$AR$13,0)),"")</f>
        <v/>
      </c>
      <c r="AA342" s="527" t="str">
        <f>IFERROR(INDEX(잔가map!$C$14:$AR$18,MATCH(차량DB!$AA$5,잔가map!$B$14:$B$18,0),MATCH(차량DB!Y342,잔가map!$C$13:$AR$13,0)),"")</f>
        <v/>
      </c>
      <c r="AB342" s="527" t="str">
        <f>IFERROR(INDEX(잔가map!$C$14:$AR$18,MATCH(차량DB!$AB$5,잔가map!$B$14:$B$18,0),MATCH(차량DB!Y342,잔가map!$C$13:$AR$13,0)),"")</f>
        <v/>
      </c>
      <c r="AC342" s="527" t="str">
        <f>IFERROR(INDEX(잔가map!$C$14:$AR$18,MATCH(차량DB!$AC$5,잔가map!$B$14:$B$18,0),MATCH(차량DB!Y342,잔가map!$C$13:$AR$13,0)),"")</f>
        <v/>
      </c>
      <c r="AD342" s="527" t="str">
        <f>IFERROR(INDEX(잔가map!$C$14:$AR$18,MATCH(차량DB!$AD$5,잔가map!$B$14:$B$18,0),MATCH(차량DB!Y342,잔가map!$C$13:$AR$13,0)),"")</f>
        <v/>
      </c>
      <c r="AE342" s="643"/>
      <c r="AF342" s="644"/>
      <c r="AG342" s="644"/>
      <c r="AH342" s="644"/>
      <c r="AI342" s="644"/>
      <c r="AJ342" s="644"/>
      <c r="AK342" s="547"/>
      <c r="AL342" s="576"/>
    </row>
    <row r="343" spans="5:38" x14ac:dyDescent="0.3">
      <c r="E343" s="293" t="s">
        <v>417</v>
      </c>
      <c r="F343" s="605" t="s">
        <v>916</v>
      </c>
      <c r="G343" s="294">
        <v>3445</v>
      </c>
      <c r="H343" s="295" t="s">
        <v>45</v>
      </c>
      <c r="I343" s="294">
        <v>158130000</v>
      </c>
      <c r="P343" s="295" t="s">
        <v>576</v>
      </c>
      <c r="R343" s="500">
        <v>0</v>
      </c>
      <c r="S343" s="639"/>
      <c r="T343" s="640"/>
      <c r="U343" s="640"/>
      <c r="V343" s="640"/>
      <c r="W343" s="640"/>
      <c r="X343" s="640"/>
      <c r="Y343" s="553"/>
      <c r="Z343" s="527" t="str">
        <f>IFERROR(INDEX(잔가map!$C$14:$AR$18,MATCH(차량DB!$Z$5,잔가map!$B$14:$B$18,0),MATCH(차량DB!Y343,잔가map!$C$13:$AR$13,0)),"")</f>
        <v/>
      </c>
      <c r="AA343" s="527" t="str">
        <f>IFERROR(INDEX(잔가map!$C$14:$AR$18,MATCH(차량DB!$AA$5,잔가map!$B$14:$B$18,0),MATCH(차량DB!Y343,잔가map!$C$13:$AR$13,0)),"")</f>
        <v/>
      </c>
      <c r="AB343" s="527" t="str">
        <f>IFERROR(INDEX(잔가map!$C$14:$AR$18,MATCH(차량DB!$AB$5,잔가map!$B$14:$B$18,0),MATCH(차량DB!Y343,잔가map!$C$13:$AR$13,0)),"")</f>
        <v/>
      </c>
      <c r="AC343" s="527" t="str">
        <f>IFERROR(INDEX(잔가map!$C$14:$AR$18,MATCH(차량DB!$AC$5,잔가map!$B$14:$B$18,0),MATCH(차량DB!Y343,잔가map!$C$13:$AR$13,0)),"")</f>
        <v/>
      </c>
      <c r="AD343" s="527" t="str">
        <f>IFERROR(INDEX(잔가map!$C$14:$AR$18,MATCH(차량DB!$AD$5,잔가map!$B$14:$B$18,0),MATCH(차량DB!Y343,잔가map!$C$13:$AR$13,0)),"")</f>
        <v/>
      </c>
      <c r="AE343" s="643"/>
      <c r="AF343" s="644"/>
      <c r="AG343" s="644"/>
      <c r="AH343" s="644"/>
      <c r="AI343" s="644"/>
      <c r="AJ343" s="644"/>
      <c r="AK343" s="547"/>
      <c r="AL343" s="576"/>
    </row>
    <row r="344" spans="5:38" x14ac:dyDescent="0.3">
      <c r="E344" s="293" t="s">
        <v>417</v>
      </c>
      <c r="F344" s="605" t="s">
        <v>917</v>
      </c>
      <c r="G344" s="294">
        <v>3445</v>
      </c>
      <c r="H344" s="295" t="s">
        <v>45</v>
      </c>
      <c r="I344" s="294">
        <v>133830000</v>
      </c>
      <c r="P344" s="295" t="s">
        <v>576</v>
      </c>
      <c r="R344" s="500">
        <v>0</v>
      </c>
      <c r="S344" s="639"/>
      <c r="T344" s="640"/>
      <c r="U344" s="640"/>
      <c r="V344" s="640"/>
      <c r="W344" s="640"/>
      <c r="X344" s="640"/>
      <c r="Y344" s="553"/>
      <c r="Z344" s="527" t="str">
        <f>IFERROR(INDEX(잔가map!$C$14:$AR$18,MATCH(차량DB!$Z$5,잔가map!$B$14:$B$18,0),MATCH(차량DB!Y344,잔가map!$C$13:$AR$13,0)),"")</f>
        <v/>
      </c>
      <c r="AA344" s="527" t="str">
        <f>IFERROR(INDEX(잔가map!$C$14:$AR$18,MATCH(차량DB!$AA$5,잔가map!$B$14:$B$18,0),MATCH(차량DB!Y344,잔가map!$C$13:$AR$13,0)),"")</f>
        <v/>
      </c>
      <c r="AB344" s="527" t="str">
        <f>IFERROR(INDEX(잔가map!$C$14:$AR$18,MATCH(차량DB!$AB$5,잔가map!$B$14:$B$18,0),MATCH(차량DB!Y344,잔가map!$C$13:$AR$13,0)),"")</f>
        <v/>
      </c>
      <c r="AC344" s="527" t="str">
        <f>IFERROR(INDEX(잔가map!$C$14:$AR$18,MATCH(차량DB!$AC$5,잔가map!$B$14:$B$18,0),MATCH(차량DB!Y344,잔가map!$C$13:$AR$13,0)),"")</f>
        <v/>
      </c>
      <c r="AD344" s="527" t="str">
        <f>IFERROR(INDEX(잔가map!$C$14:$AR$18,MATCH(차량DB!$AD$5,잔가map!$B$14:$B$18,0),MATCH(차량DB!Y344,잔가map!$C$13:$AR$13,0)),"")</f>
        <v/>
      </c>
      <c r="AE344" s="643"/>
      <c r="AF344" s="644"/>
      <c r="AG344" s="644"/>
      <c r="AH344" s="644"/>
      <c r="AI344" s="644"/>
      <c r="AJ344" s="644"/>
      <c r="AK344" s="547"/>
      <c r="AL344" s="576"/>
    </row>
    <row r="345" spans="5:38" x14ac:dyDescent="0.3">
      <c r="E345" s="293" t="s">
        <v>417</v>
      </c>
      <c r="F345" s="605" t="s">
        <v>913</v>
      </c>
      <c r="G345" s="294">
        <v>3456</v>
      </c>
      <c r="H345" s="295" t="s">
        <v>45</v>
      </c>
      <c r="I345" s="294">
        <v>153430000</v>
      </c>
      <c r="P345" s="295" t="s">
        <v>576</v>
      </c>
      <c r="R345" s="500">
        <v>0</v>
      </c>
      <c r="S345" s="639"/>
      <c r="T345" s="640"/>
      <c r="U345" s="640"/>
      <c r="V345" s="640"/>
      <c r="W345" s="640"/>
      <c r="X345" s="640"/>
      <c r="Y345" s="553"/>
      <c r="Z345" s="527" t="str">
        <f>IFERROR(INDEX(잔가map!$C$14:$AR$18,MATCH(차량DB!$Z$5,잔가map!$B$14:$B$18,0),MATCH(차량DB!Y345,잔가map!$C$13:$AR$13,0)),"")</f>
        <v/>
      </c>
      <c r="AA345" s="527" t="str">
        <f>IFERROR(INDEX(잔가map!$C$14:$AR$18,MATCH(차량DB!$AA$5,잔가map!$B$14:$B$18,0),MATCH(차량DB!Y345,잔가map!$C$13:$AR$13,0)),"")</f>
        <v/>
      </c>
      <c r="AB345" s="527" t="str">
        <f>IFERROR(INDEX(잔가map!$C$14:$AR$18,MATCH(차량DB!$AB$5,잔가map!$B$14:$B$18,0),MATCH(차량DB!Y345,잔가map!$C$13:$AR$13,0)),"")</f>
        <v/>
      </c>
      <c r="AC345" s="527" t="str">
        <f>IFERROR(INDEX(잔가map!$C$14:$AR$18,MATCH(차량DB!$AC$5,잔가map!$B$14:$B$18,0),MATCH(차량DB!Y345,잔가map!$C$13:$AR$13,0)),"")</f>
        <v/>
      </c>
      <c r="AD345" s="527" t="str">
        <f>IFERROR(INDEX(잔가map!$C$14:$AR$18,MATCH(차량DB!$AD$5,잔가map!$B$14:$B$18,0),MATCH(차량DB!Y345,잔가map!$C$13:$AR$13,0)),"")</f>
        <v/>
      </c>
      <c r="AE345" s="643"/>
      <c r="AF345" s="644"/>
      <c r="AG345" s="644"/>
      <c r="AH345" s="644"/>
      <c r="AI345" s="644"/>
      <c r="AJ345" s="644"/>
      <c r="AK345" s="547"/>
      <c r="AL345" s="576"/>
    </row>
    <row r="346" spans="5:38" x14ac:dyDescent="0.3">
      <c r="E346" s="293" t="s">
        <v>417</v>
      </c>
      <c r="F346" s="605" t="s">
        <v>914</v>
      </c>
      <c r="G346" s="294">
        <v>3456</v>
      </c>
      <c r="H346" s="295" t="s">
        <v>45</v>
      </c>
      <c r="I346" s="294">
        <v>174030000</v>
      </c>
      <c r="P346" s="295" t="s">
        <v>576</v>
      </c>
      <c r="R346" s="500">
        <v>0</v>
      </c>
      <c r="S346" s="639"/>
      <c r="T346" s="640"/>
      <c r="U346" s="640"/>
      <c r="V346" s="640"/>
      <c r="W346" s="640"/>
      <c r="X346" s="640"/>
      <c r="Y346" s="553"/>
      <c r="Z346" s="527" t="str">
        <f>IFERROR(INDEX(잔가map!$C$14:$AR$18,MATCH(차량DB!$Z$5,잔가map!$B$14:$B$18,0),MATCH(차량DB!Y346,잔가map!$C$13:$AR$13,0)),"")</f>
        <v/>
      </c>
      <c r="AA346" s="527" t="str">
        <f>IFERROR(INDEX(잔가map!$C$14:$AR$18,MATCH(차량DB!$AA$5,잔가map!$B$14:$B$18,0),MATCH(차량DB!Y346,잔가map!$C$13:$AR$13,0)),"")</f>
        <v/>
      </c>
      <c r="AB346" s="527" t="str">
        <f>IFERROR(INDEX(잔가map!$C$14:$AR$18,MATCH(차량DB!$AB$5,잔가map!$B$14:$B$18,0),MATCH(차량DB!Y346,잔가map!$C$13:$AR$13,0)),"")</f>
        <v/>
      </c>
      <c r="AC346" s="527" t="str">
        <f>IFERROR(INDEX(잔가map!$C$14:$AR$18,MATCH(차량DB!$AC$5,잔가map!$B$14:$B$18,0),MATCH(차량DB!Y346,잔가map!$C$13:$AR$13,0)),"")</f>
        <v/>
      </c>
      <c r="AD346" s="527" t="str">
        <f>IFERROR(INDEX(잔가map!$C$14:$AR$18,MATCH(차량DB!$AD$5,잔가map!$B$14:$B$18,0),MATCH(차량DB!Y346,잔가map!$C$13:$AR$13,0)),"")</f>
        <v/>
      </c>
      <c r="AE346" s="643"/>
      <c r="AF346" s="644"/>
      <c r="AG346" s="644"/>
      <c r="AH346" s="644"/>
      <c r="AI346" s="644"/>
      <c r="AJ346" s="644"/>
      <c r="AK346" s="547"/>
      <c r="AL346" s="576"/>
    </row>
    <row r="347" spans="5:38" x14ac:dyDescent="0.3">
      <c r="E347" s="293" t="s">
        <v>417</v>
      </c>
      <c r="F347" s="605" t="s">
        <v>310</v>
      </c>
      <c r="G347" s="294">
        <v>1987</v>
      </c>
      <c r="H347" s="295" t="s">
        <v>58</v>
      </c>
      <c r="I347" s="294">
        <v>50900000</v>
      </c>
      <c r="P347" s="295" t="s">
        <v>576</v>
      </c>
      <c r="R347" s="500">
        <v>0</v>
      </c>
      <c r="S347" s="639" t="s">
        <v>1264</v>
      </c>
      <c r="T347" s="640"/>
      <c r="U347" s="640"/>
      <c r="V347" s="640"/>
      <c r="W347" s="640"/>
      <c r="X347" s="640"/>
      <c r="Y347" s="553" t="s">
        <v>359</v>
      </c>
      <c r="Z347" s="527">
        <f>IFERROR(INDEX(잔가map!$C$14:$AR$18,MATCH(차량DB!$Z$5,잔가map!$B$14:$B$18,0),MATCH(차량DB!Y347,잔가map!$C$13:$AR$13,0)),"")</f>
        <v>0.72</v>
      </c>
      <c r="AA347" s="527">
        <f>IFERROR(INDEX(잔가map!$C$14:$AR$18,MATCH(차량DB!$AA$5,잔가map!$B$14:$B$18,0),MATCH(차량DB!Y347,잔가map!$C$13:$AR$13,0)),"")</f>
        <v>0.64</v>
      </c>
      <c r="AB347" s="527">
        <f>IFERROR(INDEX(잔가map!$C$14:$AR$18,MATCH(차량DB!$AB$5,잔가map!$B$14:$B$18,0),MATCH(차량DB!Y347,잔가map!$C$13:$AR$13,0)),"")</f>
        <v>0.54999999999999993</v>
      </c>
      <c r="AC347" s="527">
        <f>IFERROR(INDEX(잔가map!$C$14:$AR$18,MATCH(차량DB!$AC$5,잔가map!$B$14:$B$18,0),MATCH(차량DB!Y347,잔가map!$C$13:$AR$13,0)),"")</f>
        <v>0.47000000000000003</v>
      </c>
      <c r="AD347" s="527">
        <f>IFERROR(INDEX(잔가map!$C$14:$AR$18,MATCH(차량DB!$AD$5,잔가map!$B$14:$B$18,0),MATCH(차량DB!Y347,잔가map!$C$13:$AR$13,0)),"")</f>
        <v>0.41000000000000003</v>
      </c>
      <c r="AE347" s="643"/>
      <c r="AF347" s="644"/>
      <c r="AG347" s="644"/>
      <c r="AH347" s="644"/>
      <c r="AI347" s="644"/>
      <c r="AJ347" s="644"/>
      <c r="AK347" s="547"/>
      <c r="AL347" s="576"/>
    </row>
    <row r="348" spans="5:38" x14ac:dyDescent="0.3">
      <c r="E348" s="293" t="s">
        <v>417</v>
      </c>
      <c r="F348" s="605" t="s">
        <v>311</v>
      </c>
      <c r="G348" s="294">
        <v>1987</v>
      </c>
      <c r="H348" s="295" t="s">
        <v>58</v>
      </c>
      <c r="I348" s="294">
        <v>58600000</v>
      </c>
      <c r="P348" s="295" t="s">
        <v>576</v>
      </c>
      <c r="R348" s="500">
        <v>0</v>
      </c>
      <c r="S348" s="639" t="s">
        <v>1262</v>
      </c>
      <c r="T348" s="640"/>
      <c r="U348" s="640"/>
      <c r="V348" s="640"/>
      <c r="W348" s="640"/>
      <c r="X348" s="640"/>
      <c r="Y348" s="553" t="s">
        <v>359</v>
      </c>
      <c r="Z348" s="527">
        <f>IFERROR(INDEX(잔가map!$C$14:$AR$18,MATCH(차량DB!$Z$5,잔가map!$B$14:$B$18,0),MATCH(차량DB!Y348,잔가map!$C$13:$AR$13,0)),"")</f>
        <v>0.72</v>
      </c>
      <c r="AA348" s="527">
        <f>IFERROR(INDEX(잔가map!$C$14:$AR$18,MATCH(차량DB!$AA$5,잔가map!$B$14:$B$18,0),MATCH(차량DB!Y348,잔가map!$C$13:$AR$13,0)),"")</f>
        <v>0.64</v>
      </c>
      <c r="AB348" s="527">
        <f>IFERROR(INDEX(잔가map!$C$14:$AR$18,MATCH(차량DB!$AB$5,잔가map!$B$14:$B$18,0),MATCH(차량DB!Y348,잔가map!$C$13:$AR$13,0)),"")</f>
        <v>0.54999999999999993</v>
      </c>
      <c r="AC348" s="527">
        <f>IFERROR(INDEX(잔가map!$C$14:$AR$18,MATCH(차량DB!$AC$5,잔가map!$B$14:$B$18,0),MATCH(차량DB!Y348,잔가map!$C$13:$AR$13,0)),"")</f>
        <v>0.47000000000000003</v>
      </c>
      <c r="AD348" s="527">
        <f>IFERROR(INDEX(잔가map!$C$14:$AR$18,MATCH(차량DB!$AD$5,잔가map!$B$14:$B$18,0),MATCH(차량DB!Y348,잔가map!$C$13:$AR$13,0)),"")</f>
        <v>0.41000000000000003</v>
      </c>
      <c r="AE348" s="643"/>
      <c r="AF348" s="644"/>
      <c r="AG348" s="644"/>
      <c r="AH348" s="644"/>
      <c r="AI348" s="644"/>
      <c r="AJ348" s="644"/>
      <c r="AK348" s="547"/>
      <c r="AL348" s="576"/>
    </row>
    <row r="349" spans="5:38" x14ac:dyDescent="0.3">
      <c r="E349" s="293" t="s">
        <v>417</v>
      </c>
      <c r="F349" s="605" t="s">
        <v>918</v>
      </c>
      <c r="G349" s="294">
        <v>1987</v>
      </c>
      <c r="H349" s="295" t="s">
        <v>58</v>
      </c>
      <c r="I349" s="294">
        <v>56400000</v>
      </c>
      <c r="P349" s="295" t="s">
        <v>576</v>
      </c>
      <c r="R349" s="500">
        <v>0</v>
      </c>
      <c r="S349" s="639" t="s">
        <v>1264</v>
      </c>
      <c r="T349" s="640"/>
      <c r="U349" s="640"/>
      <c r="V349" s="640"/>
      <c r="W349" s="640"/>
      <c r="X349" s="640"/>
      <c r="Y349" s="553" t="s">
        <v>359</v>
      </c>
      <c r="Z349" s="527">
        <f>IFERROR(INDEX(잔가map!$C$14:$AR$18,MATCH(차량DB!$Z$5,잔가map!$B$14:$B$18,0),MATCH(차량DB!Y349,잔가map!$C$13:$AR$13,0)),"")</f>
        <v>0.72</v>
      </c>
      <c r="AA349" s="527">
        <f>IFERROR(INDEX(잔가map!$C$14:$AR$18,MATCH(차량DB!$AA$5,잔가map!$B$14:$B$18,0),MATCH(차량DB!Y349,잔가map!$C$13:$AR$13,0)),"")</f>
        <v>0.64</v>
      </c>
      <c r="AB349" s="527">
        <f>IFERROR(INDEX(잔가map!$C$14:$AR$18,MATCH(차량DB!$AB$5,잔가map!$B$14:$B$18,0),MATCH(차량DB!Y349,잔가map!$C$13:$AR$13,0)),"")</f>
        <v>0.54999999999999993</v>
      </c>
      <c r="AC349" s="527">
        <f>IFERROR(INDEX(잔가map!$C$14:$AR$18,MATCH(차량DB!$AC$5,잔가map!$B$14:$B$18,0),MATCH(차량DB!Y349,잔가map!$C$13:$AR$13,0)),"")</f>
        <v>0.47000000000000003</v>
      </c>
      <c r="AD349" s="527">
        <f>IFERROR(INDEX(잔가map!$C$14:$AR$18,MATCH(차량DB!$AD$5,잔가map!$B$14:$B$18,0),MATCH(차량DB!Y349,잔가map!$C$13:$AR$13,0)),"")</f>
        <v>0.41000000000000003</v>
      </c>
      <c r="AE349" s="643"/>
      <c r="AF349" s="644"/>
      <c r="AG349" s="644"/>
      <c r="AH349" s="644"/>
      <c r="AI349" s="644"/>
      <c r="AJ349" s="644"/>
      <c r="AK349" s="547"/>
      <c r="AL349" s="576"/>
    </row>
    <row r="350" spans="5:38" s="494" customFormat="1" x14ac:dyDescent="0.3">
      <c r="E350" s="573" t="s">
        <v>417</v>
      </c>
      <c r="F350" s="605" t="s">
        <v>691</v>
      </c>
      <c r="G350" s="294">
        <v>2487</v>
      </c>
      <c r="H350" s="295" t="s">
        <v>58</v>
      </c>
      <c r="I350" s="294">
        <v>66700000</v>
      </c>
      <c r="J350" s="487"/>
      <c r="K350" s="487"/>
      <c r="L350" s="487"/>
      <c r="M350" s="487"/>
      <c r="N350" s="487"/>
      <c r="O350" s="294"/>
      <c r="P350" s="295" t="s">
        <v>576</v>
      </c>
      <c r="Q350" s="295"/>
      <c r="R350" s="500">
        <v>0</v>
      </c>
      <c r="S350" s="639" t="s">
        <v>1248</v>
      </c>
      <c r="T350" s="640"/>
      <c r="U350" s="640"/>
      <c r="V350" s="640"/>
      <c r="W350" s="640"/>
      <c r="X350" s="640"/>
      <c r="Y350" s="553" t="s">
        <v>357</v>
      </c>
      <c r="Z350" s="527">
        <f>IFERROR(INDEX(잔가map!$C$14:$AR$18,MATCH(차량DB!$Z$5,잔가map!$B$14:$B$18,0),MATCH(차량DB!Y350,잔가map!$C$13:$AR$13,0)),"")</f>
        <v>0.75</v>
      </c>
      <c r="AA350" s="527">
        <f>IFERROR(INDEX(잔가map!$C$14:$AR$18,MATCH(차량DB!$AA$5,잔가map!$B$14:$B$18,0),MATCH(차량DB!Y350,잔가map!$C$13:$AR$13,0)),"")</f>
        <v>0.67</v>
      </c>
      <c r="AB350" s="527">
        <f>IFERROR(INDEX(잔가map!$C$14:$AR$18,MATCH(차량DB!$AB$5,잔가map!$B$14:$B$18,0),MATCH(차량DB!Y350,잔가map!$C$13:$AR$13,0)),"")</f>
        <v>0.57999999999999996</v>
      </c>
      <c r="AC350" s="527">
        <f>IFERROR(INDEX(잔가map!$C$14:$AR$18,MATCH(차량DB!$AC$5,잔가map!$B$14:$B$18,0),MATCH(차량DB!Y350,잔가map!$C$13:$AR$13,0)),"")</f>
        <v>0.5</v>
      </c>
      <c r="AD350" s="527">
        <f>IFERROR(INDEX(잔가map!$C$14:$AR$18,MATCH(차량DB!$AD$5,잔가map!$B$14:$B$18,0),MATCH(차량DB!Y350,잔가map!$C$13:$AR$13,0)),"")</f>
        <v>0.44000000000000006</v>
      </c>
      <c r="AE350" s="643"/>
      <c r="AF350" s="644"/>
      <c r="AG350" s="644"/>
      <c r="AH350" s="644"/>
      <c r="AI350" s="644"/>
      <c r="AJ350" s="644"/>
      <c r="AK350" s="574"/>
      <c r="AL350" s="576"/>
    </row>
    <row r="351" spans="5:38" s="494" customFormat="1" x14ac:dyDescent="0.3">
      <c r="E351" s="573" t="s">
        <v>417</v>
      </c>
      <c r="F351" s="605" t="s">
        <v>692</v>
      </c>
      <c r="G351" s="294">
        <v>2487</v>
      </c>
      <c r="H351" s="295" t="s">
        <v>58</v>
      </c>
      <c r="I351" s="294">
        <v>76300000</v>
      </c>
      <c r="J351" s="487"/>
      <c r="K351" s="487"/>
      <c r="L351" s="487"/>
      <c r="M351" s="487"/>
      <c r="N351" s="487"/>
      <c r="O351" s="294"/>
      <c r="P351" s="295" t="s">
        <v>576</v>
      </c>
      <c r="Q351" s="295"/>
      <c r="R351" s="500">
        <v>0</v>
      </c>
      <c r="S351" s="639" t="s">
        <v>1248</v>
      </c>
      <c r="T351" s="640"/>
      <c r="U351" s="640"/>
      <c r="V351" s="640"/>
      <c r="W351" s="640"/>
      <c r="X351" s="640"/>
      <c r="Y351" s="553" t="s">
        <v>357</v>
      </c>
      <c r="Z351" s="527">
        <f>IFERROR(INDEX(잔가map!$C$14:$AR$18,MATCH(차량DB!$Z$5,잔가map!$B$14:$B$18,0),MATCH(차량DB!Y351,잔가map!$C$13:$AR$13,0)),"")</f>
        <v>0.75</v>
      </c>
      <c r="AA351" s="527">
        <f>IFERROR(INDEX(잔가map!$C$14:$AR$18,MATCH(차량DB!$AA$5,잔가map!$B$14:$B$18,0),MATCH(차량DB!Y351,잔가map!$C$13:$AR$13,0)),"")</f>
        <v>0.67</v>
      </c>
      <c r="AB351" s="527">
        <f>IFERROR(INDEX(잔가map!$C$14:$AR$18,MATCH(차량DB!$AB$5,잔가map!$B$14:$B$18,0),MATCH(차량DB!Y351,잔가map!$C$13:$AR$13,0)),"")</f>
        <v>0.57999999999999996</v>
      </c>
      <c r="AC351" s="527">
        <f>IFERROR(INDEX(잔가map!$C$14:$AR$18,MATCH(차량DB!$AC$5,잔가map!$B$14:$B$18,0),MATCH(차량DB!Y351,잔가map!$C$13:$AR$13,0)),"")</f>
        <v>0.5</v>
      </c>
      <c r="AD351" s="527">
        <f>IFERROR(INDEX(잔가map!$C$14:$AR$18,MATCH(차량DB!$AD$5,잔가map!$B$14:$B$18,0),MATCH(차량DB!Y351,잔가map!$C$13:$AR$13,0)),"")</f>
        <v>0.44000000000000006</v>
      </c>
      <c r="AE351" s="643"/>
      <c r="AF351" s="644"/>
      <c r="AG351" s="644"/>
      <c r="AH351" s="644"/>
      <c r="AI351" s="644"/>
      <c r="AJ351" s="644"/>
      <c r="AK351" s="574"/>
      <c r="AL351" s="576"/>
    </row>
    <row r="352" spans="5:38" s="494" customFormat="1" x14ac:dyDescent="0.3">
      <c r="E352" s="573" t="s">
        <v>417</v>
      </c>
      <c r="F352" s="605" t="s">
        <v>693</v>
      </c>
      <c r="G352" s="294">
        <v>2487</v>
      </c>
      <c r="H352" s="295" t="s">
        <v>58</v>
      </c>
      <c r="I352" s="294">
        <v>74900000</v>
      </c>
      <c r="J352" s="487"/>
      <c r="K352" s="487"/>
      <c r="L352" s="487"/>
      <c r="M352" s="487"/>
      <c r="N352" s="487"/>
      <c r="O352" s="294"/>
      <c r="P352" s="295" t="s">
        <v>576</v>
      </c>
      <c r="Q352" s="295"/>
      <c r="R352" s="500">
        <v>0</v>
      </c>
      <c r="S352" s="639" t="s">
        <v>1253</v>
      </c>
      <c r="T352" s="640"/>
      <c r="U352" s="640"/>
      <c r="V352" s="640"/>
      <c r="W352" s="640"/>
      <c r="X352" s="640"/>
      <c r="Y352" s="553" t="s">
        <v>357</v>
      </c>
      <c r="Z352" s="527">
        <f>IFERROR(INDEX(잔가map!$C$14:$AR$18,MATCH(차량DB!$Z$5,잔가map!$B$14:$B$18,0),MATCH(차량DB!Y352,잔가map!$C$13:$AR$13,0)),"")</f>
        <v>0.75</v>
      </c>
      <c r="AA352" s="527">
        <f>IFERROR(INDEX(잔가map!$C$14:$AR$18,MATCH(차량DB!$AA$5,잔가map!$B$14:$B$18,0),MATCH(차량DB!Y352,잔가map!$C$13:$AR$13,0)),"")</f>
        <v>0.67</v>
      </c>
      <c r="AB352" s="527">
        <f>IFERROR(INDEX(잔가map!$C$14:$AR$18,MATCH(차량DB!$AB$5,잔가map!$B$14:$B$18,0),MATCH(차량DB!Y352,잔가map!$C$13:$AR$13,0)),"")</f>
        <v>0.57999999999999996</v>
      </c>
      <c r="AC352" s="527">
        <f>IFERROR(INDEX(잔가map!$C$14:$AR$18,MATCH(차량DB!$AC$5,잔가map!$B$14:$B$18,0),MATCH(차량DB!Y352,잔가map!$C$13:$AR$13,0)),"")</f>
        <v>0.5</v>
      </c>
      <c r="AD352" s="527">
        <f>IFERROR(INDEX(잔가map!$C$14:$AR$18,MATCH(차량DB!$AD$5,잔가map!$B$14:$B$18,0),MATCH(차량DB!Y352,잔가map!$C$13:$AR$13,0)),"")</f>
        <v>0.44000000000000006</v>
      </c>
      <c r="AE352" s="643"/>
      <c r="AF352" s="644"/>
      <c r="AG352" s="644"/>
      <c r="AH352" s="644"/>
      <c r="AI352" s="644"/>
      <c r="AJ352" s="644"/>
      <c r="AK352" s="574"/>
      <c r="AL352" s="576"/>
    </row>
    <row r="353" spans="5:38" s="494" customFormat="1" x14ac:dyDescent="0.3">
      <c r="E353" s="573" t="s">
        <v>417</v>
      </c>
      <c r="F353" s="605" t="s">
        <v>694</v>
      </c>
      <c r="G353" s="294">
        <v>2487</v>
      </c>
      <c r="H353" s="295" t="s">
        <v>58</v>
      </c>
      <c r="I353" s="294">
        <v>82000000</v>
      </c>
      <c r="J353" s="487"/>
      <c r="K353" s="487"/>
      <c r="L353" s="487"/>
      <c r="M353" s="487"/>
      <c r="N353" s="487"/>
      <c r="O353" s="294"/>
      <c r="P353" s="295" t="s">
        <v>576</v>
      </c>
      <c r="Q353" s="295"/>
      <c r="R353" s="500">
        <v>0</v>
      </c>
      <c r="S353" s="639" t="s">
        <v>1248</v>
      </c>
      <c r="T353" s="640"/>
      <c r="U353" s="640"/>
      <c r="V353" s="640"/>
      <c r="W353" s="640"/>
      <c r="X353" s="640"/>
      <c r="Y353" s="553" t="s">
        <v>357</v>
      </c>
      <c r="Z353" s="527">
        <f>IFERROR(INDEX(잔가map!$C$14:$AR$18,MATCH(차량DB!$Z$5,잔가map!$B$14:$B$18,0),MATCH(차량DB!Y353,잔가map!$C$13:$AR$13,0)),"")</f>
        <v>0.75</v>
      </c>
      <c r="AA353" s="527">
        <f>IFERROR(INDEX(잔가map!$C$14:$AR$18,MATCH(차량DB!$AA$5,잔가map!$B$14:$B$18,0),MATCH(차량DB!Y353,잔가map!$C$13:$AR$13,0)),"")</f>
        <v>0.67</v>
      </c>
      <c r="AB353" s="527">
        <f>IFERROR(INDEX(잔가map!$C$14:$AR$18,MATCH(차량DB!$AB$5,잔가map!$B$14:$B$18,0),MATCH(차량DB!Y353,잔가map!$C$13:$AR$13,0)),"")</f>
        <v>0.57999999999999996</v>
      </c>
      <c r="AC353" s="527">
        <f>IFERROR(INDEX(잔가map!$C$14:$AR$18,MATCH(차량DB!$AC$5,잔가map!$B$14:$B$18,0),MATCH(차량DB!Y353,잔가map!$C$13:$AR$13,0)),"")</f>
        <v>0.5</v>
      </c>
      <c r="AD353" s="527">
        <f>IFERROR(INDEX(잔가map!$C$14:$AR$18,MATCH(차량DB!$AD$5,잔가map!$B$14:$B$18,0),MATCH(차량DB!Y353,잔가map!$C$13:$AR$13,0)),"")</f>
        <v>0.44000000000000006</v>
      </c>
      <c r="AE353" s="643"/>
      <c r="AF353" s="644"/>
      <c r="AG353" s="644"/>
      <c r="AH353" s="644"/>
      <c r="AI353" s="644"/>
      <c r="AJ353" s="644"/>
      <c r="AK353" s="574"/>
      <c r="AL353" s="576"/>
    </row>
    <row r="354" spans="5:38" x14ac:dyDescent="0.3">
      <c r="E354" s="293" t="s">
        <v>417</v>
      </c>
      <c r="F354" s="605" t="s">
        <v>919</v>
      </c>
      <c r="G354" s="294">
        <v>2487</v>
      </c>
      <c r="H354" s="295" t="s">
        <v>58</v>
      </c>
      <c r="I354" s="294">
        <v>98700000</v>
      </c>
      <c r="P354" s="295" t="s">
        <v>576</v>
      </c>
      <c r="R354" s="500">
        <v>0</v>
      </c>
      <c r="S354" s="639"/>
      <c r="T354" s="640"/>
      <c r="U354" s="640"/>
      <c r="V354" s="640"/>
      <c r="W354" s="640"/>
      <c r="X354" s="640"/>
      <c r="Y354" s="553" t="s">
        <v>359</v>
      </c>
      <c r="Z354" s="527">
        <f>IFERROR(INDEX(잔가map!$C$14:$AR$18,MATCH(차량DB!$Z$5,잔가map!$B$14:$B$18,0),MATCH(차량DB!Y354,잔가map!$C$13:$AR$13,0)),"")</f>
        <v>0.72</v>
      </c>
      <c r="AA354" s="527">
        <f>IFERROR(INDEX(잔가map!$C$14:$AR$18,MATCH(차량DB!$AA$5,잔가map!$B$14:$B$18,0),MATCH(차량DB!Y354,잔가map!$C$13:$AR$13,0)),"")</f>
        <v>0.64</v>
      </c>
      <c r="AB354" s="527">
        <f>IFERROR(INDEX(잔가map!$C$14:$AR$18,MATCH(차량DB!$AB$5,잔가map!$B$14:$B$18,0),MATCH(차량DB!Y354,잔가map!$C$13:$AR$13,0)),"")</f>
        <v>0.54999999999999993</v>
      </c>
      <c r="AC354" s="527">
        <f>IFERROR(INDEX(잔가map!$C$14:$AR$18,MATCH(차량DB!$AC$5,잔가map!$B$14:$B$18,0),MATCH(차량DB!Y354,잔가map!$C$13:$AR$13,0)),"")</f>
        <v>0.47000000000000003</v>
      </c>
      <c r="AD354" s="527">
        <f>IFERROR(INDEX(잔가map!$C$14:$AR$18,MATCH(차량DB!$AD$5,잔가map!$B$14:$B$18,0),MATCH(차량DB!Y354,잔가map!$C$13:$AR$13,0)),"")</f>
        <v>0.41000000000000003</v>
      </c>
      <c r="AE354" s="643"/>
      <c r="AF354" s="644"/>
      <c r="AG354" s="644"/>
      <c r="AH354" s="644"/>
      <c r="AI354" s="644"/>
      <c r="AJ354" s="644"/>
      <c r="AK354" s="547"/>
      <c r="AL354" s="576"/>
    </row>
    <row r="355" spans="5:38" x14ac:dyDescent="0.3">
      <c r="E355" s="293" t="s">
        <v>417</v>
      </c>
      <c r="F355" s="605" t="s">
        <v>920</v>
      </c>
      <c r="G355" s="294">
        <v>2487</v>
      </c>
      <c r="H355" s="295" t="s">
        <v>58</v>
      </c>
      <c r="I355" s="294">
        <v>109930000</v>
      </c>
      <c r="P355" s="295" t="s">
        <v>576</v>
      </c>
      <c r="R355" s="500">
        <v>0</v>
      </c>
      <c r="S355" s="639"/>
      <c r="T355" s="640"/>
      <c r="U355" s="640"/>
      <c r="V355" s="640"/>
      <c r="W355" s="640"/>
      <c r="X355" s="640"/>
      <c r="Y355" s="553" t="s">
        <v>359</v>
      </c>
      <c r="Z355" s="527">
        <f>IFERROR(INDEX(잔가map!$C$14:$AR$18,MATCH(차량DB!$Z$5,잔가map!$B$14:$B$18,0),MATCH(차량DB!Y355,잔가map!$C$13:$AR$13,0)),"")</f>
        <v>0.72</v>
      </c>
      <c r="AA355" s="527">
        <f>IFERROR(INDEX(잔가map!$C$14:$AR$18,MATCH(차량DB!$AA$5,잔가map!$B$14:$B$18,0),MATCH(차량DB!Y355,잔가map!$C$13:$AR$13,0)),"")</f>
        <v>0.64</v>
      </c>
      <c r="AB355" s="527">
        <f>IFERROR(INDEX(잔가map!$C$14:$AR$18,MATCH(차량DB!$AB$5,잔가map!$B$14:$B$18,0),MATCH(차량DB!Y355,잔가map!$C$13:$AR$13,0)),"")</f>
        <v>0.54999999999999993</v>
      </c>
      <c r="AC355" s="527">
        <f>IFERROR(INDEX(잔가map!$C$14:$AR$18,MATCH(차량DB!$AC$5,잔가map!$B$14:$B$18,0),MATCH(차량DB!Y355,잔가map!$C$13:$AR$13,0)),"")</f>
        <v>0.47000000000000003</v>
      </c>
      <c r="AD355" s="527">
        <f>IFERROR(INDEX(잔가map!$C$14:$AR$18,MATCH(차량DB!$AD$5,잔가map!$B$14:$B$18,0),MATCH(차량DB!Y355,잔가map!$C$13:$AR$13,0)),"")</f>
        <v>0.41000000000000003</v>
      </c>
      <c r="AE355" s="643"/>
      <c r="AF355" s="644"/>
      <c r="AG355" s="644"/>
      <c r="AH355" s="644"/>
      <c r="AI355" s="644"/>
      <c r="AJ355" s="644"/>
      <c r="AK355" s="547"/>
      <c r="AL355" s="576"/>
    </row>
    <row r="356" spans="5:38" x14ac:dyDescent="0.3">
      <c r="E356" s="293" t="s">
        <v>417</v>
      </c>
      <c r="F356" s="605" t="s">
        <v>921</v>
      </c>
      <c r="G356" s="294">
        <v>2393</v>
      </c>
      <c r="H356" s="295" t="s">
        <v>58</v>
      </c>
      <c r="I356" s="294">
        <v>117030000</v>
      </c>
      <c r="P356" s="295" t="s">
        <v>576</v>
      </c>
      <c r="R356" s="500"/>
      <c r="S356" s="639"/>
      <c r="T356" s="640"/>
      <c r="U356" s="640"/>
      <c r="V356" s="640"/>
      <c r="W356" s="640"/>
      <c r="X356" s="640"/>
      <c r="Y356" s="553" t="s">
        <v>359</v>
      </c>
      <c r="Z356" s="527">
        <f>IFERROR(INDEX(잔가map!$C$14:$AR$18,MATCH(차량DB!$Z$5,잔가map!$B$14:$B$18,0),MATCH(차량DB!Y356,잔가map!$C$13:$AR$13,0)),"")</f>
        <v>0.72</v>
      </c>
      <c r="AA356" s="527">
        <f>IFERROR(INDEX(잔가map!$C$14:$AR$18,MATCH(차량DB!$AA$5,잔가map!$B$14:$B$18,0),MATCH(차량DB!Y356,잔가map!$C$13:$AR$13,0)),"")</f>
        <v>0.64</v>
      </c>
      <c r="AB356" s="527">
        <f>IFERROR(INDEX(잔가map!$C$14:$AR$18,MATCH(차량DB!$AB$5,잔가map!$B$14:$B$18,0),MATCH(차량DB!Y356,잔가map!$C$13:$AR$13,0)),"")</f>
        <v>0.54999999999999993</v>
      </c>
      <c r="AC356" s="527">
        <f>IFERROR(INDEX(잔가map!$C$14:$AR$18,MATCH(차량DB!$AC$5,잔가map!$B$14:$B$18,0),MATCH(차량DB!Y356,잔가map!$C$13:$AR$13,0)),"")</f>
        <v>0.47000000000000003</v>
      </c>
      <c r="AD356" s="527">
        <f>IFERROR(INDEX(잔가map!$C$14:$AR$18,MATCH(차량DB!$AD$5,잔가map!$B$14:$B$18,0),MATCH(차량DB!Y356,잔가map!$C$13:$AR$13,0)),"")</f>
        <v>0.41000000000000003</v>
      </c>
      <c r="AE356" s="643"/>
      <c r="AF356" s="644"/>
      <c r="AG356" s="644"/>
      <c r="AH356" s="644"/>
      <c r="AI356" s="644"/>
      <c r="AJ356" s="644"/>
      <c r="AK356" s="547"/>
      <c r="AL356" s="576"/>
    </row>
    <row r="357" spans="5:38" x14ac:dyDescent="0.3">
      <c r="E357" s="293" t="s">
        <v>417</v>
      </c>
      <c r="F357" s="605" t="s">
        <v>1267</v>
      </c>
      <c r="G357" s="294">
        <v>2393</v>
      </c>
      <c r="H357" s="295" t="s">
        <v>58</v>
      </c>
      <c r="I357" s="294">
        <v>146570000</v>
      </c>
      <c r="P357" s="295" t="s">
        <v>1269</v>
      </c>
      <c r="R357" s="500">
        <v>0</v>
      </c>
      <c r="S357" s="639" t="s">
        <v>1265</v>
      </c>
      <c r="T357" s="640"/>
      <c r="U357" s="640"/>
      <c r="V357" s="640"/>
      <c r="W357" s="640"/>
      <c r="X357" s="640"/>
      <c r="Y357" s="553" t="s">
        <v>359</v>
      </c>
      <c r="Z357" s="527">
        <f>IFERROR(INDEX(잔가map!$C$14:$AR$18,MATCH(차량DB!$Z$5,잔가map!$B$14:$B$18,0),MATCH(차량DB!Y357,잔가map!$C$13:$AR$13,0)),"")</f>
        <v>0.72</v>
      </c>
      <c r="AA357" s="527">
        <f>IFERROR(INDEX(잔가map!$C$14:$AR$18,MATCH(차량DB!$AA$5,잔가map!$B$14:$B$18,0),MATCH(차량DB!Y357,잔가map!$C$13:$AR$13,0)),"")</f>
        <v>0.64</v>
      </c>
      <c r="AB357" s="527">
        <f>IFERROR(INDEX(잔가map!$C$14:$AR$18,MATCH(차량DB!$AB$5,잔가map!$B$14:$B$18,0),MATCH(차량DB!Y357,잔가map!$C$13:$AR$13,0)),"")</f>
        <v>0.54999999999999993</v>
      </c>
      <c r="AC357" s="527">
        <f>IFERROR(INDEX(잔가map!$C$14:$AR$18,MATCH(차량DB!$AC$5,잔가map!$B$14:$B$18,0),MATCH(차량DB!Y357,잔가map!$C$13:$AR$13,0)),"")</f>
        <v>0.47000000000000003</v>
      </c>
      <c r="AD357" s="527">
        <f>IFERROR(INDEX(잔가map!$C$14:$AR$18,MATCH(차량DB!$AD$5,잔가map!$B$14:$B$18,0),MATCH(차량DB!Y357,잔가map!$C$13:$AR$13,0)),"")</f>
        <v>0.41000000000000003</v>
      </c>
      <c r="AE357" s="643"/>
      <c r="AF357" s="644"/>
      <c r="AG357" s="644"/>
      <c r="AH357" s="644"/>
      <c r="AI357" s="644"/>
      <c r="AJ357" s="644"/>
      <c r="AK357" s="547"/>
      <c r="AL357" s="576"/>
    </row>
    <row r="358" spans="5:38" x14ac:dyDescent="0.3">
      <c r="E358" s="293" t="s">
        <v>417</v>
      </c>
      <c r="F358" s="605" t="s">
        <v>1268</v>
      </c>
      <c r="G358" s="294">
        <v>2393</v>
      </c>
      <c r="H358" s="295" t="s">
        <v>58</v>
      </c>
      <c r="I358" s="294">
        <v>194570000</v>
      </c>
      <c r="P358" s="295" t="s">
        <v>1270</v>
      </c>
      <c r="R358" s="500">
        <v>0</v>
      </c>
      <c r="S358" s="639" t="s">
        <v>1262</v>
      </c>
      <c r="T358" s="640"/>
      <c r="U358" s="640"/>
      <c r="V358" s="640"/>
      <c r="W358" s="640"/>
      <c r="X358" s="640"/>
      <c r="Y358" s="553" t="s">
        <v>359</v>
      </c>
      <c r="Z358" s="527">
        <f>IFERROR(INDEX(잔가map!$C$14:$AR$18,MATCH(차량DB!$Z$5,잔가map!$B$14:$B$18,0),MATCH(차량DB!Y358,잔가map!$C$13:$AR$13,0)),"")</f>
        <v>0.72</v>
      </c>
      <c r="AA358" s="527">
        <f>IFERROR(INDEX(잔가map!$C$14:$AR$18,MATCH(차량DB!$AA$5,잔가map!$B$14:$B$18,0),MATCH(차량DB!Y358,잔가map!$C$13:$AR$13,0)),"")</f>
        <v>0.64</v>
      </c>
      <c r="AB358" s="527">
        <f>IFERROR(INDEX(잔가map!$C$14:$AR$18,MATCH(차량DB!$AB$5,잔가map!$B$14:$B$18,0),MATCH(차량DB!Y358,잔가map!$C$13:$AR$13,0)),"")</f>
        <v>0.54999999999999993</v>
      </c>
      <c r="AC358" s="527">
        <f>IFERROR(INDEX(잔가map!$C$14:$AR$18,MATCH(차량DB!$AC$5,잔가map!$B$14:$B$18,0),MATCH(차량DB!Y358,잔가map!$C$13:$AR$13,0)),"")</f>
        <v>0.47000000000000003</v>
      </c>
      <c r="AD358" s="527">
        <f>IFERROR(INDEX(잔가map!$C$14:$AR$18,MATCH(차량DB!$AD$5,잔가map!$B$14:$B$18,0),MATCH(차량DB!Y358,잔가map!$C$13:$AR$13,0)),"")</f>
        <v>0.41000000000000003</v>
      </c>
      <c r="AE358" s="643"/>
      <c r="AF358" s="644"/>
      <c r="AG358" s="644"/>
      <c r="AH358" s="644"/>
      <c r="AI358" s="644"/>
      <c r="AJ358" s="644"/>
      <c r="AK358" s="547"/>
      <c r="AL358" s="576"/>
    </row>
    <row r="359" spans="5:38" x14ac:dyDescent="0.3">
      <c r="E359" s="293" t="s">
        <v>417</v>
      </c>
      <c r="F359" s="605" t="s">
        <v>500</v>
      </c>
      <c r="G359" s="294">
        <v>4969</v>
      </c>
      <c r="H359" s="295" t="s">
        <v>45</v>
      </c>
      <c r="I359" s="294">
        <v>97500000</v>
      </c>
      <c r="P359" s="295" t="s">
        <v>576</v>
      </c>
      <c r="R359" s="500">
        <v>0</v>
      </c>
      <c r="S359" s="639"/>
      <c r="T359" s="640"/>
      <c r="U359" s="640"/>
      <c r="V359" s="640"/>
      <c r="W359" s="640"/>
      <c r="X359" s="640"/>
      <c r="Y359" s="553"/>
      <c r="Z359" s="527" t="str">
        <f>IFERROR(INDEX(잔가map!$C$14:$AR$18,MATCH(차량DB!$Z$5,잔가map!$B$14:$B$18,0),MATCH(차량DB!Y359,잔가map!$C$13:$AR$13,0)),"")</f>
        <v/>
      </c>
      <c r="AA359" s="527" t="str">
        <f>IFERROR(INDEX(잔가map!$C$14:$AR$18,MATCH(차량DB!$AA$5,잔가map!$B$14:$B$18,0),MATCH(차량DB!Y359,잔가map!$C$13:$AR$13,0)),"")</f>
        <v/>
      </c>
      <c r="AB359" s="527" t="str">
        <f>IFERROR(INDEX(잔가map!$C$14:$AR$18,MATCH(차량DB!$AB$5,잔가map!$B$14:$B$18,0),MATCH(차량DB!Y359,잔가map!$C$13:$AR$13,0)),"")</f>
        <v/>
      </c>
      <c r="AC359" s="527" t="str">
        <f>IFERROR(INDEX(잔가map!$C$14:$AR$18,MATCH(차량DB!$AC$5,잔가map!$B$14:$B$18,0),MATCH(차량DB!Y359,잔가map!$C$13:$AR$13,0)),"")</f>
        <v/>
      </c>
      <c r="AD359" s="527" t="str">
        <f>IFERROR(INDEX(잔가map!$C$14:$AR$18,MATCH(차량DB!$AD$5,잔가map!$B$14:$B$18,0),MATCH(차량DB!Y359,잔가map!$C$13:$AR$13,0)),"")</f>
        <v/>
      </c>
      <c r="AE359" s="643"/>
      <c r="AF359" s="644"/>
      <c r="AG359" s="644"/>
      <c r="AH359" s="644"/>
      <c r="AI359" s="644"/>
      <c r="AJ359" s="644"/>
      <c r="AK359" s="547"/>
      <c r="AL359" s="576"/>
    </row>
    <row r="360" spans="5:38" x14ac:dyDescent="0.3">
      <c r="E360" s="293" t="s">
        <v>417</v>
      </c>
      <c r="F360" s="605" t="s">
        <v>501</v>
      </c>
      <c r="G360" s="294">
        <v>4969</v>
      </c>
      <c r="H360" s="295" t="s">
        <v>45</v>
      </c>
      <c r="I360" s="294">
        <v>181700000</v>
      </c>
      <c r="P360" s="295" t="s">
        <v>576</v>
      </c>
      <c r="R360" s="500">
        <v>0</v>
      </c>
      <c r="S360" s="639"/>
      <c r="T360" s="640"/>
      <c r="U360" s="640"/>
      <c r="V360" s="640"/>
      <c r="W360" s="640"/>
      <c r="X360" s="640"/>
      <c r="Y360" s="553"/>
      <c r="Z360" s="527" t="str">
        <f>IFERROR(INDEX(잔가map!$C$14:$AR$18,MATCH(차량DB!$Z$5,잔가map!$B$14:$B$18,0),MATCH(차량DB!Y360,잔가map!$C$13:$AR$13,0)),"")</f>
        <v/>
      </c>
      <c r="AA360" s="527" t="str">
        <f>IFERROR(INDEX(잔가map!$C$14:$AR$18,MATCH(차량DB!$AA$5,잔가map!$B$14:$B$18,0),MATCH(차량DB!Y360,잔가map!$C$13:$AR$13,0)),"")</f>
        <v/>
      </c>
      <c r="AB360" s="527" t="str">
        <f>IFERROR(INDEX(잔가map!$C$14:$AR$18,MATCH(차량DB!$AB$5,잔가map!$B$14:$B$18,0),MATCH(차량DB!Y360,잔가map!$C$13:$AR$13,0)),"")</f>
        <v/>
      </c>
      <c r="AC360" s="527" t="str">
        <f>IFERROR(INDEX(잔가map!$C$14:$AR$18,MATCH(차량DB!$AC$5,잔가map!$B$14:$B$18,0),MATCH(차량DB!Y360,잔가map!$C$13:$AR$13,0)),"")</f>
        <v/>
      </c>
      <c r="AD360" s="527" t="str">
        <f>IFERROR(INDEX(잔가map!$C$14:$AR$18,MATCH(차량DB!$AD$5,잔가map!$B$14:$B$18,0),MATCH(차량DB!Y360,잔가map!$C$13:$AR$13,0)),"")</f>
        <v/>
      </c>
      <c r="AE360" s="643"/>
      <c r="AF360" s="644"/>
      <c r="AG360" s="644"/>
      <c r="AH360" s="644"/>
      <c r="AI360" s="644"/>
      <c r="AJ360" s="644"/>
      <c r="AK360" s="547"/>
      <c r="AL360" s="576"/>
    </row>
    <row r="361" spans="5:38" x14ac:dyDescent="0.3">
      <c r="E361" s="293" t="s">
        <v>417</v>
      </c>
      <c r="F361" s="605" t="s">
        <v>502</v>
      </c>
      <c r="G361" s="294">
        <v>3456</v>
      </c>
      <c r="H361" s="295" t="s">
        <v>45</v>
      </c>
      <c r="I361" s="294">
        <v>192400000</v>
      </c>
      <c r="P361" s="295" t="s">
        <v>576</v>
      </c>
      <c r="R361" s="500">
        <v>0</v>
      </c>
      <c r="S361" s="639"/>
      <c r="T361" s="640"/>
      <c r="U361" s="640"/>
      <c r="V361" s="640"/>
      <c r="W361" s="640"/>
      <c r="X361" s="640"/>
      <c r="Y361" s="553"/>
      <c r="Z361" s="527" t="str">
        <f>IFERROR(INDEX(잔가map!$C$14:$AR$18,MATCH(차량DB!$Z$5,잔가map!$B$14:$B$18,0),MATCH(차량DB!Y361,잔가map!$C$13:$AR$13,0)),"")</f>
        <v/>
      </c>
      <c r="AA361" s="527" t="str">
        <f>IFERROR(INDEX(잔가map!$C$14:$AR$18,MATCH(차량DB!$AA$5,잔가map!$B$14:$B$18,0),MATCH(차량DB!Y361,잔가map!$C$13:$AR$13,0)),"")</f>
        <v/>
      </c>
      <c r="AB361" s="527" t="str">
        <f>IFERROR(INDEX(잔가map!$C$14:$AR$18,MATCH(차량DB!$AB$5,잔가map!$B$14:$B$18,0),MATCH(차량DB!Y361,잔가map!$C$13:$AR$13,0)),"")</f>
        <v/>
      </c>
      <c r="AC361" s="527" t="str">
        <f>IFERROR(INDEX(잔가map!$C$14:$AR$18,MATCH(차량DB!$AC$5,잔가map!$B$14:$B$18,0),MATCH(차량DB!Y361,잔가map!$C$13:$AR$13,0)),"")</f>
        <v/>
      </c>
      <c r="AD361" s="527" t="str">
        <f>IFERROR(INDEX(잔가map!$C$14:$AR$18,MATCH(차량DB!$AD$5,잔가map!$B$14:$B$18,0),MATCH(차량DB!Y361,잔가map!$C$13:$AR$13,0)),"")</f>
        <v/>
      </c>
      <c r="AE361" s="643"/>
      <c r="AF361" s="644"/>
      <c r="AG361" s="644"/>
      <c r="AH361" s="644"/>
      <c r="AI361" s="644"/>
      <c r="AJ361" s="644"/>
      <c r="AK361" s="547"/>
      <c r="AL361" s="576"/>
    </row>
    <row r="362" spans="5:38" x14ac:dyDescent="0.3">
      <c r="E362" s="293" t="s">
        <v>417</v>
      </c>
      <c r="F362" s="605" t="s">
        <v>912</v>
      </c>
      <c r="G362" s="294">
        <v>4969</v>
      </c>
      <c r="H362" s="295" t="s">
        <v>45</v>
      </c>
      <c r="I362" s="294">
        <v>190500000</v>
      </c>
      <c r="P362" s="295" t="s">
        <v>576</v>
      </c>
      <c r="R362" s="500"/>
      <c r="S362" s="639"/>
      <c r="T362" s="640"/>
      <c r="U362" s="640"/>
      <c r="V362" s="640"/>
      <c r="W362" s="640"/>
      <c r="X362" s="640"/>
      <c r="Y362" s="553"/>
      <c r="Z362" s="527" t="str">
        <f>IFERROR(INDEX(잔가map!$C$14:$AR$18,MATCH(차량DB!$Z$5,잔가map!$B$14:$B$18,0),MATCH(차량DB!Y362,잔가map!$C$13:$AR$13,0)),"")</f>
        <v/>
      </c>
      <c r="AA362" s="527" t="str">
        <f>IFERROR(INDEX(잔가map!$C$14:$AR$18,MATCH(차량DB!$AA$5,잔가map!$B$14:$B$18,0),MATCH(차량DB!Y362,잔가map!$C$13:$AR$13,0)),"")</f>
        <v/>
      </c>
      <c r="AB362" s="527" t="str">
        <f>IFERROR(INDEX(잔가map!$C$14:$AR$18,MATCH(차량DB!$AB$5,잔가map!$B$14:$B$18,0),MATCH(차량DB!Y362,잔가map!$C$13:$AR$13,0)),"")</f>
        <v/>
      </c>
      <c r="AC362" s="527" t="str">
        <f>IFERROR(INDEX(잔가map!$C$14:$AR$18,MATCH(차량DB!$AC$5,잔가map!$B$14:$B$18,0),MATCH(차량DB!Y362,잔가map!$C$13:$AR$13,0)),"")</f>
        <v/>
      </c>
      <c r="AD362" s="527" t="str">
        <f>IFERROR(INDEX(잔가map!$C$14:$AR$18,MATCH(차량DB!$AD$5,잔가map!$B$14:$B$18,0),MATCH(차량DB!Y362,잔가map!$C$13:$AR$13,0)),"")</f>
        <v/>
      </c>
      <c r="AE362" s="643"/>
      <c r="AF362" s="644"/>
      <c r="AG362" s="644"/>
      <c r="AH362" s="644"/>
      <c r="AI362" s="644"/>
      <c r="AJ362" s="644"/>
      <c r="AK362" s="547"/>
      <c r="AL362" s="576"/>
    </row>
    <row r="363" spans="5:38" x14ac:dyDescent="0.3">
      <c r="E363" s="293" t="s">
        <v>418</v>
      </c>
      <c r="F363" s="605" t="s">
        <v>503</v>
      </c>
      <c r="G363" s="294">
        <v>2694</v>
      </c>
      <c r="H363" s="295" t="s">
        <v>58</v>
      </c>
      <c r="I363" s="294">
        <v>60400000</v>
      </c>
      <c r="P363" s="295" t="s">
        <v>576</v>
      </c>
      <c r="R363" s="500">
        <v>0</v>
      </c>
      <c r="S363" s="639"/>
      <c r="T363" s="640"/>
      <c r="U363" s="640"/>
      <c r="V363" s="640"/>
      <c r="W363" s="640"/>
      <c r="X363" s="640"/>
      <c r="Y363" s="553"/>
      <c r="Z363" s="527" t="str">
        <f>IFERROR(INDEX(잔가map!$C$14:$AR$18,MATCH(차량DB!$Z$5,잔가map!$B$14:$B$18,0),MATCH(차량DB!Y363,잔가map!$C$13:$AR$13,0)),"")</f>
        <v/>
      </c>
      <c r="AA363" s="527" t="str">
        <f>IFERROR(INDEX(잔가map!$C$14:$AR$18,MATCH(차량DB!$AA$5,잔가map!$B$14:$B$18,0),MATCH(차량DB!Y363,잔가map!$C$13:$AR$13,0)),"")</f>
        <v/>
      </c>
      <c r="AB363" s="527" t="str">
        <f>IFERROR(INDEX(잔가map!$C$14:$AR$18,MATCH(차량DB!$AB$5,잔가map!$B$14:$B$18,0),MATCH(차량DB!Y363,잔가map!$C$13:$AR$13,0)),"")</f>
        <v/>
      </c>
      <c r="AC363" s="527" t="str">
        <f>IFERROR(INDEX(잔가map!$C$14:$AR$18,MATCH(차량DB!$AC$5,잔가map!$B$14:$B$18,0),MATCH(차량DB!Y363,잔가map!$C$13:$AR$13,0)),"")</f>
        <v/>
      </c>
      <c r="AD363" s="527" t="str">
        <f>IFERROR(INDEX(잔가map!$C$14:$AR$18,MATCH(차량DB!$AD$5,잔가map!$B$14:$B$18,0),MATCH(차량DB!Y363,잔가map!$C$13:$AR$13,0)),"")</f>
        <v/>
      </c>
      <c r="AE363" s="643"/>
      <c r="AF363" s="644"/>
      <c r="AG363" s="644"/>
      <c r="AH363" s="644"/>
      <c r="AI363" s="644"/>
      <c r="AJ363" s="644"/>
      <c r="AK363" s="547"/>
      <c r="AL363" s="576"/>
    </row>
    <row r="364" spans="5:38" x14ac:dyDescent="0.3">
      <c r="E364" s="293" t="s">
        <v>418</v>
      </c>
      <c r="F364" s="605" t="s">
        <v>504</v>
      </c>
      <c r="G364" s="294">
        <v>2694</v>
      </c>
      <c r="H364" s="295" t="s">
        <v>58</v>
      </c>
      <c r="I364" s="294">
        <v>68900000</v>
      </c>
      <c r="P364" s="295" t="s">
        <v>576</v>
      </c>
      <c r="R364" s="500">
        <v>0</v>
      </c>
      <c r="S364" s="639"/>
      <c r="T364" s="640"/>
      <c r="U364" s="640"/>
      <c r="V364" s="640"/>
      <c r="W364" s="640"/>
      <c r="X364" s="640"/>
      <c r="Y364" s="553"/>
      <c r="Z364" s="527" t="str">
        <f>IFERROR(INDEX(잔가map!$C$14:$AR$18,MATCH(차량DB!$Z$5,잔가map!$B$14:$B$18,0),MATCH(차량DB!Y364,잔가map!$C$13:$AR$13,0)),"")</f>
        <v/>
      </c>
      <c r="AA364" s="527" t="str">
        <f>IFERROR(INDEX(잔가map!$C$14:$AR$18,MATCH(차량DB!$AA$5,잔가map!$B$14:$B$18,0),MATCH(차량DB!Y364,잔가map!$C$13:$AR$13,0)),"")</f>
        <v/>
      </c>
      <c r="AB364" s="527" t="str">
        <f>IFERROR(INDEX(잔가map!$C$14:$AR$18,MATCH(차량DB!$AB$5,잔가map!$B$14:$B$18,0),MATCH(차량DB!Y364,잔가map!$C$13:$AR$13,0)),"")</f>
        <v/>
      </c>
      <c r="AC364" s="527" t="str">
        <f>IFERROR(INDEX(잔가map!$C$14:$AR$18,MATCH(차량DB!$AC$5,잔가map!$B$14:$B$18,0),MATCH(차량DB!Y364,잔가map!$C$13:$AR$13,0)),"")</f>
        <v/>
      </c>
      <c r="AD364" s="527" t="str">
        <f>IFERROR(INDEX(잔가map!$C$14:$AR$18,MATCH(차량DB!$AD$5,잔가map!$B$14:$B$18,0),MATCH(차량DB!Y364,잔가map!$C$13:$AR$13,0)),"")</f>
        <v/>
      </c>
      <c r="AE364" s="643"/>
      <c r="AF364" s="644"/>
      <c r="AG364" s="644"/>
      <c r="AH364" s="644"/>
      <c r="AI364" s="644"/>
      <c r="AJ364" s="644"/>
      <c r="AK364" s="547"/>
      <c r="AL364" s="576"/>
    </row>
    <row r="365" spans="5:38" x14ac:dyDescent="0.3">
      <c r="E365" s="293" t="s">
        <v>418</v>
      </c>
      <c r="F365" s="605" t="s">
        <v>505</v>
      </c>
      <c r="G365" s="294">
        <v>1999</v>
      </c>
      <c r="H365" s="295" t="s">
        <v>58</v>
      </c>
      <c r="I365" s="294">
        <v>58500000</v>
      </c>
      <c r="P365" s="295" t="s">
        <v>576</v>
      </c>
      <c r="R365" s="500">
        <v>0</v>
      </c>
      <c r="S365" s="639"/>
      <c r="T365" s="640"/>
      <c r="U365" s="640"/>
      <c r="V365" s="640"/>
      <c r="W365" s="640"/>
      <c r="X365" s="640"/>
      <c r="Y365" s="553"/>
      <c r="Z365" s="527" t="str">
        <f>IFERROR(INDEX(잔가map!$C$14:$AR$18,MATCH(차량DB!$Z$5,잔가map!$B$14:$B$18,0),MATCH(차량DB!Y365,잔가map!$C$13:$AR$13,0)),"")</f>
        <v/>
      </c>
      <c r="AA365" s="527" t="str">
        <f>IFERROR(INDEX(잔가map!$C$14:$AR$18,MATCH(차량DB!$AA$5,잔가map!$B$14:$B$18,0),MATCH(차량DB!Y365,잔가map!$C$13:$AR$13,0)),"")</f>
        <v/>
      </c>
      <c r="AB365" s="527" t="str">
        <f>IFERROR(INDEX(잔가map!$C$14:$AR$18,MATCH(차량DB!$AB$5,잔가map!$B$14:$B$18,0),MATCH(차량DB!Y365,잔가map!$C$13:$AR$13,0)),"")</f>
        <v/>
      </c>
      <c r="AC365" s="527" t="str">
        <f>IFERROR(INDEX(잔가map!$C$14:$AR$18,MATCH(차량DB!$AC$5,잔가map!$B$14:$B$18,0),MATCH(차량DB!Y365,잔가map!$C$13:$AR$13,0)),"")</f>
        <v/>
      </c>
      <c r="AD365" s="527" t="str">
        <f>IFERROR(INDEX(잔가map!$C$14:$AR$18,MATCH(차량DB!$AD$5,잔가map!$B$14:$B$18,0),MATCH(차량DB!Y365,잔가map!$C$13:$AR$13,0)),"")</f>
        <v/>
      </c>
      <c r="AE365" s="643"/>
      <c r="AF365" s="644"/>
      <c r="AG365" s="644"/>
      <c r="AH365" s="644"/>
      <c r="AI365" s="644"/>
      <c r="AJ365" s="644"/>
      <c r="AK365" s="547"/>
      <c r="AL365" s="576"/>
    </row>
    <row r="366" spans="5:38" x14ac:dyDescent="0.3">
      <c r="E366" s="293" t="s">
        <v>418</v>
      </c>
      <c r="F366" s="605" t="s">
        <v>859</v>
      </c>
      <c r="G366" s="294">
        <v>3496</v>
      </c>
      <c r="H366" s="295" t="s">
        <v>305</v>
      </c>
      <c r="I366" s="294">
        <v>100600000</v>
      </c>
      <c r="P366" s="295" t="s">
        <v>576</v>
      </c>
      <c r="R366" s="500">
        <v>0</v>
      </c>
      <c r="S366" s="639"/>
      <c r="T366" s="640"/>
      <c r="U366" s="640"/>
      <c r="V366" s="640"/>
      <c r="W366" s="640"/>
      <c r="X366" s="640"/>
      <c r="Y366" s="553"/>
      <c r="Z366" s="527" t="str">
        <f>IFERROR(INDEX(잔가map!$C$14:$AR$18,MATCH(차량DB!$Z$5,잔가map!$B$14:$B$18,0),MATCH(차량DB!Y366,잔가map!$C$13:$AR$13,0)),"")</f>
        <v/>
      </c>
      <c r="AA366" s="527" t="str">
        <f>IFERROR(INDEX(잔가map!$C$14:$AR$18,MATCH(차량DB!$AA$5,잔가map!$B$14:$B$18,0),MATCH(차량DB!Y366,잔가map!$C$13:$AR$13,0)),"")</f>
        <v/>
      </c>
      <c r="AB366" s="527" t="str">
        <f>IFERROR(INDEX(잔가map!$C$14:$AR$18,MATCH(차량DB!$AB$5,잔가map!$B$14:$B$18,0),MATCH(차량DB!Y366,잔가map!$C$13:$AR$13,0)),"")</f>
        <v/>
      </c>
      <c r="AC366" s="527" t="str">
        <f>IFERROR(INDEX(잔가map!$C$14:$AR$18,MATCH(차량DB!$AC$5,잔가map!$B$14:$B$18,0),MATCH(차량DB!Y366,잔가map!$C$13:$AR$13,0)),"")</f>
        <v/>
      </c>
      <c r="AD366" s="527" t="str">
        <f>IFERROR(INDEX(잔가map!$C$14:$AR$18,MATCH(차량DB!$AD$5,잔가map!$B$14:$B$18,0),MATCH(차량DB!Y366,잔가map!$C$13:$AR$13,0)),"")</f>
        <v/>
      </c>
      <c r="AE366" s="643"/>
      <c r="AF366" s="644"/>
      <c r="AG366" s="644"/>
      <c r="AH366" s="644"/>
      <c r="AI366" s="644"/>
      <c r="AJ366" s="644"/>
      <c r="AK366" s="547"/>
      <c r="AL366" s="576"/>
    </row>
    <row r="367" spans="5:38" x14ac:dyDescent="0.3">
      <c r="E367" s="293" t="s">
        <v>418</v>
      </c>
      <c r="F367" s="604" t="s">
        <v>860</v>
      </c>
      <c r="G367" s="294">
        <v>3496</v>
      </c>
      <c r="H367" s="295" t="s">
        <v>305</v>
      </c>
      <c r="I367" s="294">
        <v>118400000</v>
      </c>
      <c r="P367" s="295" t="s">
        <v>576</v>
      </c>
      <c r="R367" s="500">
        <v>0</v>
      </c>
      <c r="S367" s="639"/>
      <c r="T367" s="640"/>
      <c r="U367" s="640"/>
      <c r="V367" s="640"/>
      <c r="W367" s="640"/>
      <c r="X367" s="640"/>
      <c r="Y367" s="553"/>
      <c r="Z367" s="527" t="str">
        <f>IFERROR(INDEX(잔가map!$C$14:$AR$18,MATCH(차량DB!$Z$5,잔가map!$B$14:$B$18,0),MATCH(차량DB!Y367,잔가map!$C$13:$AR$13,0)),"")</f>
        <v/>
      </c>
      <c r="AA367" s="527" t="str">
        <f>IFERROR(INDEX(잔가map!$C$14:$AR$18,MATCH(차량DB!$AA$5,잔가map!$B$14:$B$18,0),MATCH(차량DB!Y367,잔가map!$C$13:$AR$13,0)),"")</f>
        <v/>
      </c>
      <c r="AB367" s="527" t="str">
        <f>IFERROR(INDEX(잔가map!$C$14:$AR$18,MATCH(차량DB!$AB$5,잔가map!$B$14:$B$18,0),MATCH(차량DB!Y367,잔가map!$C$13:$AR$13,0)),"")</f>
        <v/>
      </c>
      <c r="AC367" s="527" t="str">
        <f>IFERROR(INDEX(잔가map!$C$14:$AR$18,MATCH(차량DB!$AC$5,잔가map!$B$14:$B$18,0),MATCH(차량DB!Y367,잔가map!$C$13:$AR$13,0)),"")</f>
        <v/>
      </c>
      <c r="AD367" s="527" t="str">
        <f>IFERROR(INDEX(잔가map!$C$14:$AR$18,MATCH(차량DB!$AD$5,잔가map!$B$14:$B$18,0),MATCH(차량DB!Y367,잔가map!$C$13:$AR$13,0)),"")</f>
        <v/>
      </c>
      <c r="AE367" s="643"/>
      <c r="AF367" s="644"/>
      <c r="AG367" s="644"/>
      <c r="AH367" s="644"/>
      <c r="AI367" s="644"/>
      <c r="AJ367" s="644"/>
      <c r="AK367" s="547"/>
      <c r="AL367" s="576"/>
    </row>
    <row r="368" spans="5:38" x14ac:dyDescent="0.3">
      <c r="E368" s="293" t="s">
        <v>418</v>
      </c>
      <c r="F368" s="605" t="s">
        <v>506</v>
      </c>
      <c r="G368" s="294">
        <v>2956</v>
      </c>
      <c r="H368" s="295" t="s">
        <v>305</v>
      </c>
      <c r="I368" s="294">
        <v>85700000</v>
      </c>
      <c r="P368" s="295" t="s">
        <v>576</v>
      </c>
      <c r="R368" s="500">
        <v>0</v>
      </c>
      <c r="S368" s="639"/>
      <c r="T368" s="640"/>
      <c r="U368" s="640"/>
      <c r="V368" s="640"/>
      <c r="W368" s="640"/>
      <c r="X368" s="640"/>
      <c r="Y368" s="553" t="s">
        <v>365</v>
      </c>
      <c r="Z368" s="527">
        <f>IFERROR(INDEX(잔가map!$C$14:$AR$18,MATCH(차량DB!$Z$5,잔가map!$B$14:$B$18,0),MATCH(차량DB!Y368,잔가map!$C$13:$AR$13,0)),"")</f>
        <v>0.7</v>
      </c>
      <c r="AA368" s="527">
        <f>IFERROR(INDEX(잔가map!$C$14:$AR$18,MATCH(차량DB!$AA$5,잔가map!$B$14:$B$18,0),MATCH(차량DB!Y368,잔가map!$C$13:$AR$13,0)),"")</f>
        <v>0.62</v>
      </c>
      <c r="AB368" s="527">
        <f>IFERROR(INDEX(잔가map!$C$14:$AR$18,MATCH(차량DB!$AB$5,잔가map!$B$14:$B$18,0),MATCH(차량DB!Y368,잔가map!$C$13:$AR$13,0)),"")</f>
        <v>0.52999999999999992</v>
      </c>
      <c r="AC368" s="527">
        <f>IFERROR(INDEX(잔가map!$C$14:$AR$18,MATCH(차량DB!$AC$5,잔가map!$B$14:$B$18,0),MATCH(차량DB!Y368,잔가map!$C$13:$AR$13,0)),"")</f>
        <v>0.45</v>
      </c>
      <c r="AD368" s="527">
        <f>IFERROR(INDEX(잔가map!$C$14:$AR$18,MATCH(차량DB!$AD$5,잔가map!$B$14:$B$18,0),MATCH(차량DB!Y368,잔가map!$C$13:$AR$13,0)),"")</f>
        <v>0.39</v>
      </c>
      <c r="AE368" s="643"/>
      <c r="AF368" s="644"/>
      <c r="AG368" s="644"/>
      <c r="AH368" s="644"/>
      <c r="AI368" s="644"/>
      <c r="AJ368" s="644"/>
      <c r="AK368" s="574"/>
      <c r="AL368" s="575"/>
    </row>
    <row r="369" spans="5:38" x14ac:dyDescent="0.3">
      <c r="E369" s="293" t="s">
        <v>418</v>
      </c>
      <c r="F369" s="605" t="s">
        <v>507</v>
      </c>
      <c r="G369" s="294">
        <v>2956</v>
      </c>
      <c r="H369" s="295" t="s">
        <v>305</v>
      </c>
      <c r="I369" s="294">
        <v>95600000</v>
      </c>
      <c r="P369" s="295" t="s">
        <v>576</v>
      </c>
      <c r="R369" s="500">
        <v>0</v>
      </c>
      <c r="S369" s="639"/>
      <c r="T369" s="640"/>
      <c r="U369" s="640"/>
      <c r="V369" s="640"/>
      <c r="W369" s="640"/>
      <c r="X369" s="640"/>
      <c r="Y369" s="553" t="s">
        <v>365</v>
      </c>
      <c r="Z369" s="527">
        <f>IFERROR(INDEX(잔가map!$C$14:$AR$18,MATCH(차량DB!$Z$5,잔가map!$B$14:$B$18,0),MATCH(차량DB!Y369,잔가map!$C$13:$AR$13,0)),"")</f>
        <v>0.7</v>
      </c>
      <c r="AA369" s="527">
        <f>IFERROR(INDEX(잔가map!$C$14:$AR$18,MATCH(차량DB!$AA$5,잔가map!$B$14:$B$18,0),MATCH(차량DB!Y369,잔가map!$C$13:$AR$13,0)),"")</f>
        <v>0.62</v>
      </c>
      <c r="AB369" s="527">
        <f>IFERROR(INDEX(잔가map!$C$14:$AR$18,MATCH(차량DB!$AB$5,잔가map!$B$14:$B$18,0),MATCH(차량DB!Y369,잔가map!$C$13:$AR$13,0)),"")</f>
        <v>0.52999999999999992</v>
      </c>
      <c r="AC369" s="527">
        <f>IFERROR(INDEX(잔가map!$C$14:$AR$18,MATCH(차량DB!$AC$5,잔가map!$B$14:$B$18,0),MATCH(차량DB!Y369,잔가map!$C$13:$AR$13,0)),"")</f>
        <v>0.45</v>
      </c>
      <c r="AD369" s="527">
        <f>IFERROR(INDEX(잔가map!$C$14:$AR$18,MATCH(차량DB!$AD$5,잔가map!$B$14:$B$18,0),MATCH(차량DB!Y369,잔가map!$C$13:$AR$13,0)),"")</f>
        <v>0.39</v>
      </c>
      <c r="AE369" s="643"/>
      <c r="AF369" s="644"/>
      <c r="AG369" s="644"/>
      <c r="AH369" s="644"/>
      <c r="AI369" s="644"/>
      <c r="AJ369" s="644"/>
      <c r="AK369" s="574"/>
      <c r="AL369" s="575"/>
    </row>
    <row r="370" spans="5:38" x14ac:dyDescent="0.3">
      <c r="E370" s="293" t="s">
        <v>418</v>
      </c>
      <c r="F370" s="605" t="s">
        <v>861</v>
      </c>
      <c r="G370" s="294">
        <v>2956</v>
      </c>
      <c r="H370" s="295" t="s">
        <v>305</v>
      </c>
      <c r="I370" s="294">
        <v>98900000</v>
      </c>
      <c r="P370" s="295" t="s">
        <v>576</v>
      </c>
      <c r="R370" s="500"/>
      <c r="S370" s="639"/>
      <c r="T370" s="640"/>
      <c r="U370" s="640"/>
      <c r="V370" s="640"/>
      <c r="W370" s="640"/>
      <c r="X370" s="640"/>
      <c r="Y370" s="553" t="s">
        <v>365</v>
      </c>
      <c r="Z370" s="527">
        <f>IFERROR(INDEX(잔가map!$C$14:$AR$18,MATCH(차량DB!$Z$5,잔가map!$B$14:$B$18,0),MATCH(차량DB!Y370,잔가map!$C$13:$AR$13,0)),"")</f>
        <v>0.7</v>
      </c>
      <c r="AA370" s="527">
        <f>IFERROR(INDEX(잔가map!$C$14:$AR$18,MATCH(차량DB!$AA$5,잔가map!$B$14:$B$18,0),MATCH(차량DB!Y370,잔가map!$C$13:$AR$13,0)),"")</f>
        <v>0.62</v>
      </c>
      <c r="AB370" s="527">
        <f>IFERROR(INDEX(잔가map!$C$14:$AR$18,MATCH(차량DB!$AB$5,잔가map!$B$14:$B$18,0),MATCH(차량DB!Y370,잔가map!$C$13:$AR$13,0)),"")</f>
        <v>0.52999999999999992</v>
      </c>
      <c r="AC370" s="527">
        <f>IFERROR(INDEX(잔가map!$C$14:$AR$18,MATCH(차량DB!$AC$5,잔가map!$B$14:$B$18,0),MATCH(차량DB!Y370,잔가map!$C$13:$AR$13,0)),"")</f>
        <v>0.45</v>
      </c>
      <c r="AD370" s="527">
        <f>IFERROR(INDEX(잔가map!$C$14:$AR$18,MATCH(차량DB!$AD$5,잔가map!$B$14:$B$18,0),MATCH(차량DB!Y370,잔가map!$C$13:$AR$13,0)),"")</f>
        <v>0.39</v>
      </c>
      <c r="AE370" s="643"/>
      <c r="AF370" s="644"/>
      <c r="AG370" s="644"/>
      <c r="AH370" s="644"/>
      <c r="AI370" s="644"/>
      <c r="AJ370" s="644"/>
      <c r="AK370" s="574"/>
      <c r="AL370" s="575"/>
    </row>
    <row r="371" spans="5:38" x14ac:dyDescent="0.3">
      <c r="E371" s="293" t="s">
        <v>419</v>
      </c>
      <c r="F371" s="605" t="s">
        <v>922</v>
      </c>
      <c r="G371" s="294">
        <v>1995</v>
      </c>
      <c r="H371" s="295" t="s">
        <v>45</v>
      </c>
      <c r="I371" s="294">
        <v>127500000</v>
      </c>
      <c r="P371" s="295" t="s">
        <v>576</v>
      </c>
      <c r="R371" s="500">
        <v>0</v>
      </c>
      <c r="S371" s="639"/>
      <c r="T371" s="640"/>
      <c r="U371" s="640"/>
      <c r="V371" s="640"/>
      <c r="W371" s="640"/>
      <c r="X371" s="640"/>
      <c r="Y371" s="553"/>
      <c r="Z371" s="527" t="str">
        <f>IFERROR(INDEX(잔가map!$C$14:$AR$18,MATCH(차량DB!$Z$5,잔가map!$B$14:$B$18,0),MATCH(차량DB!Y371,잔가map!$C$13:$AR$13,0)),"")</f>
        <v/>
      </c>
      <c r="AA371" s="527" t="str">
        <f>IFERROR(INDEX(잔가map!$C$14:$AR$18,MATCH(차량DB!$AA$5,잔가map!$B$14:$B$18,0),MATCH(차량DB!Y371,잔가map!$C$13:$AR$13,0)),"")</f>
        <v/>
      </c>
      <c r="AB371" s="527" t="str">
        <f>IFERROR(INDEX(잔가map!$C$14:$AR$18,MATCH(차량DB!$AB$5,잔가map!$B$14:$B$18,0),MATCH(차량DB!Y371,잔가map!$C$13:$AR$13,0)),"")</f>
        <v/>
      </c>
      <c r="AC371" s="527" t="str">
        <f>IFERROR(INDEX(잔가map!$C$14:$AR$18,MATCH(차량DB!$AC$5,잔가map!$B$14:$B$18,0),MATCH(차량DB!Y371,잔가map!$C$13:$AR$13,0)),"")</f>
        <v/>
      </c>
      <c r="AD371" s="527" t="str">
        <f>IFERROR(INDEX(잔가map!$C$14:$AR$18,MATCH(차량DB!$AD$5,잔가map!$B$14:$B$18,0),MATCH(차량DB!Y371,잔가map!$C$13:$AR$13,0)),"")</f>
        <v/>
      </c>
      <c r="AE371" s="643"/>
      <c r="AF371" s="644"/>
      <c r="AG371" s="644"/>
      <c r="AH371" s="644"/>
      <c r="AI371" s="644"/>
      <c r="AJ371" s="644"/>
      <c r="AK371" s="547"/>
      <c r="AL371" s="576"/>
    </row>
    <row r="372" spans="5:38" x14ac:dyDescent="0.3">
      <c r="E372" s="293" t="s">
        <v>419</v>
      </c>
      <c r="F372" s="605" t="s">
        <v>923</v>
      </c>
      <c r="G372" s="294">
        <v>1995</v>
      </c>
      <c r="H372" s="295" t="s">
        <v>45</v>
      </c>
      <c r="I372" s="294">
        <v>118600000</v>
      </c>
      <c r="P372" s="295" t="s">
        <v>576</v>
      </c>
      <c r="R372" s="500">
        <v>0</v>
      </c>
      <c r="S372" s="639"/>
      <c r="T372" s="640"/>
      <c r="U372" s="640"/>
      <c r="V372" s="640"/>
      <c r="W372" s="640"/>
      <c r="X372" s="640"/>
      <c r="Y372" s="553"/>
      <c r="Z372" s="527" t="str">
        <f>IFERROR(INDEX(잔가map!$C$14:$AR$18,MATCH(차량DB!$Z$5,잔가map!$B$14:$B$18,0),MATCH(차량DB!Y372,잔가map!$C$13:$AR$13,0)),"")</f>
        <v/>
      </c>
      <c r="AA372" s="527" t="str">
        <f>IFERROR(INDEX(잔가map!$C$14:$AR$18,MATCH(차량DB!$AA$5,잔가map!$B$14:$B$18,0),MATCH(차량DB!Y372,잔가map!$C$13:$AR$13,0)),"")</f>
        <v/>
      </c>
      <c r="AB372" s="527" t="str">
        <f>IFERROR(INDEX(잔가map!$C$14:$AR$18,MATCH(차량DB!$AB$5,잔가map!$B$14:$B$18,0),MATCH(차량DB!Y372,잔가map!$C$13:$AR$13,0)),"")</f>
        <v/>
      </c>
      <c r="AC372" s="527" t="str">
        <f>IFERROR(INDEX(잔가map!$C$14:$AR$18,MATCH(차량DB!$AC$5,잔가map!$B$14:$B$18,0),MATCH(차량DB!Y372,잔가map!$C$13:$AR$13,0)),"")</f>
        <v/>
      </c>
      <c r="AD372" s="527" t="str">
        <f>IFERROR(INDEX(잔가map!$C$14:$AR$18,MATCH(차량DB!$AD$5,잔가map!$B$14:$B$18,0),MATCH(차량DB!Y372,잔가map!$C$13:$AR$13,0)),"")</f>
        <v/>
      </c>
      <c r="AE372" s="643"/>
      <c r="AF372" s="644"/>
      <c r="AG372" s="644"/>
      <c r="AH372" s="644"/>
      <c r="AI372" s="644"/>
      <c r="AJ372" s="644"/>
      <c r="AK372" s="547"/>
      <c r="AL372" s="576"/>
    </row>
    <row r="373" spans="5:38" x14ac:dyDescent="0.3">
      <c r="E373" s="293" t="s">
        <v>419</v>
      </c>
      <c r="F373" s="605" t="s">
        <v>924</v>
      </c>
      <c r="G373" s="294">
        <v>1995</v>
      </c>
      <c r="H373" s="295" t="s">
        <v>45</v>
      </c>
      <c r="I373" s="294">
        <v>162600000</v>
      </c>
      <c r="P373" s="295" t="s">
        <v>576</v>
      </c>
      <c r="R373" s="500">
        <v>0</v>
      </c>
      <c r="S373" s="639"/>
      <c r="T373" s="640"/>
      <c r="U373" s="640"/>
      <c r="V373" s="640"/>
      <c r="W373" s="640"/>
      <c r="X373" s="640"/>
      <c r="Y373" s="553"/>
      <c r="Z373" s="527" t="str">
        <f>IFERROR(INDEX(잔가map!$C$14:$AR$18,MATCH(차량DB!$Z$5,잔가map!$B$14:$B$18,0),MATCH(차량DB!Y373,잔가map!$C$13:$AR$13,0)),"")</f>
        <v/>
      </c>
      <c r="AA373" s="527" t="str">
        <f>IFERROR(INDEX(잔가map!$C$14:$AR$18,MATCH(차량DB!$AA$5,잔가map!$B$14:$B$18,0),MATCH(차량DB!Y373,잔가map!$C$13:$AR$13,0)),"")</f>
        <v/>
      </c>
      <c r="AB373" s="527" t="str">
        <f>IFERROR(INDEX(잔가map!$C$14:$AR$18,MATCH(차량DB!$AB$5,잔가map!$B$14:$B$18,0),MATCH(차량DB!Y373,잔가map!$C$13:$AR$13,0)),"")</f>
        <v/>
      </c>
      <c r="AC373" s="527" t="str">
        <f>IFERROR(INDEX(잔가map!$C$14:$AR$18,MATCH(차량DB!$AC$5,잔가map!$B$14:$B$18,0),MATCH(차량DB!Y373,잔가map!$C$13:$AR$13,0)),"")</f>
        <v/>
      </c>
      <c r="AD373" s="527" t="str">
        <f>IFERROR(INDEX(잔가map!$C$14:$AR$18,MATCH(차량DB!$AD$5,잔가map!$B$14:$B$18,0),MATCH(차량DB!Y373,잔가map!$C$13:$AR$13,0)),"")</f>
        <v/>
      </c>
      <c r="AE373" s="643"/>
      <c r="AF373" s="644"/>
      <c r="AG373" s="644"/>
      <c r="AH373" s="644"/>
      <c r="AI373" s="644"/>
      <c r="AJ373" s="644"/>
      <c r="AK373" s="547"/>
      <c r="AL373" s="576"/>
    </row>
    <row r="374" spans="5:38" x14ac:dyDescent="0.3">
      <c r="E374" s="293" t="s">
        <v>419</v>
      </c>
      <c r="F374" s="605" t="s">
        <v>925</v>
      </c>
      <c r="G374" s="294">
        <v>2979</v>
      </c>
      <c r="H374" s="295" t="s">
        <v>45</v>
      </c>
      <c r="I374" s="294">
        <v>142000000</v>
      </c>
      <c r="P374" s="295" t="s">
        <v>576</v>
      </c>
      <c r="R374" s="500">
        <v>0</v>
      </c>
      <c r="S374" s="639"/>
      <c r="T374" s="640"/>
      <c r="U374" s="640"/>
      <c r="V374" s="640"/>
      <c r="W374" s="640"/>
      <c r="X374" s="640"/>
      <c r="Y374" s="553"/>
      <c r="Z374" s="527" t="str">
        <f>IFERROR(INDEX(잔가map!$C$14:$AR$18,MATCH(차량DB!$Z$5,잔가map!$B$14:$B$18,0),MATCH(차량DB!Y374,잔가map!$C$13:$AR$13,0)),"")</f>
        <v/>
      </c>
      <c r="AA374" s="527" t="str">
        <f>IFERROR(INDEX(잔가map!$C$14:$AR$18,MATCH(차량DB!$AA$5,잔가map!$B$14:$B$18,0),MATCH(차량DB!Y374,잔가map!$C$13:$AR$13,0)),"")</f>
        <v/>
      </c>
      <c r="AB374" s="527" t="str">
        <f>IFERROR(INDEX(잔가map!$C$14:$AR$18,MATCH(차량DB!$AB$5,잔가map!$B$14:$B$18,0),MATCH(차량DB!Y374,잔가map!$C$13:$AR$13,0)),"")</f>
        <v/>
      </c>
      <c r="AC374" s="527" t="str">
        <f>IFERROR(INDEX(잔가map!$C$14:$AR$18,MATCH(차량DB!$AC$5,잔가map!$B$14:$B$18,0),MATCH(차량DB!Y374,잔가map!$C$13:$AR$13,0)),"")</f>
        <v/>
      </c>
      <c r="AD374" s="527" t="str">
        <f>IFERROR(INDEX(잔가map!$C$14:$AR$18,MATCH(차량DB!$AD$5,잔가map!$B$14:$B$18,0),MATCH(차량DB!Y374,잔가map!$C$13:$AR$13,0)),"")</f>
        <v/>
      </c>
      <c r="AE374" s="643"/>
      <c r="AF374" s="644"/>
      <c r="AG374" s="644"/>
      <c r="AH374" s="644"/>
      <c r="AI374" s="644"/>
      <c r="AJ374" s="644"/>
      <c r="AK374" s="547"/>
      <c r="AL374" s="576"/>
    </row>
    <row r="375" spans="5:38" x14ac:dyDescent="0.3">
      <c r="E375" s="293" t="s">
        <v>419</v>
      </c>
      <c r="F375" s="605" t="s">
        <v>926</v>
      </c>
      <c r="G375" s="294">
        <v>2979</v>
      </c>
      <c r="H375" s="295" t="s">
        <v>45</v>
      </c>
      <c r="I375" s="294">
        <v>166500000</v>
      </c>
      <c r="P375" s="295" t="s">
        <v>576</v>
      </c>
      <c r="R375" s="500">
        <v>0</v>
      </c>
      <c r="S375" s="639"/>
      <c r="T375" s="640"/>
      <c r="U375" s="640"/>
      <c r="V375" s="640"/>
      <c r="W375" s="640"/>
      <c r="X375" s="640"/>
      <c r="Y375" s="553"/>
      <c r="Z375" s="527" t="str">
        <f>IFERROR(INDEX(잔가map!$C$14:$AR$18,MATCH(차량DB!$Z$5,잔가map!$B$14:$B$18,0),MATCH(차량DB!Y375,잔가map!$C$13:$AR$13,0)),"")</f>
        <v/>
      </c>
      <c r="AA375" s="527" t="str">
        <f>IFERROR(INDEX(잔가map!$C$14:$AR$18,MATCH(차량DB!$AA$5,잔가map!$B$14:$B$18,0),MATCH(차량DB!Y375,잔가map!$C$13:$AR$13,0)),"")</f>
        <v/>
      </c>
      <c r="AB375" s="527" t="str">
        <f>IFERROR(INDEX(잔가map!$C$14:$AR$18,MATCH(차량DB!$AB$5,잔가map!$B$14:$B$18,0),MATCH(차량DB!Y375,잔가map!$C$13:$AR$13,0)),"")</f>
        <v/>
      </c>
      <c r="AC375" s="527" t="str">
        <f>IFERROR(INDEX(잔가map!$C$14:$AR$18,MATCH(차량DB!$AC$5,잔가map!$B$14:$B$18,0),MATCH(차량DB!Y375,잔가map!$C$13:$AR$13,0)),"")</f>
        <v/>
      </c>
      <c r="AD375" s="527" t="str">
        <f>IFERROR(INDEX(잔가map!$C$14:$AR$18,MATCH(차량DB!$AD$5,잔가map!$B$14:$B$18,0),MATCH(차량DB!Y375,잔가map!$C$13:$AR$13,0)),"")</f>
        <v/>
      </c>
      <c r="AE375" s="643"/>
      <c r="AF375" s="644"/>
      <c r="AG375" s="644"/>
      <c r="AH375" s="644"/>
      <c r="AI375" s="644"/>
      <c r="AJ375" s="644"/>
      <c r="AK375" s="547"/>
      <c r="AL375" s="576"/>
    </row>
    <row r="376" spans="5:38" x14ac:dyDescent="0.3">
      <c r="E376" s="293" t="s">
        <v>419</v>
      </c>
      <c r="F376" s="605" t="s">
        <v>927</v>
      </c>
      <c r="G376" s="294">
        <v>3799</v>
      </c>
      <c r="H376" s="295" t="s">
        <v>45</v>
      </c>
      <c r="I376" s="294">
        <v>187500000</v>
      </c>
      <c r="P376" s="295" t="s">
        <v>576</v>
      </c>
      <c r="R376" s="500">
        <v>0</v>
      </c>
      <c r="S376" s="639"/>
      <c r="T376" s="640"/>
      <c r="U376" s="640"/>
      <c r="V376" s="640"/>
      <c r="W376" s="640"/>
      <c r="X376" s="640"/>
      <c r="Y376" s="553"/>
      <c r="Z376" s="527" t="str">
        <f>IFERROR(INDEX(잔가map!$C$14:$AR$18,MATCH(차량DB!$Z$5,잔가map!$B$14:$B$18,0),MATCH(차량DB!Y376,잔가map!$C$13:$AR$13,0)),"")</f>
        <v/>
      </c>
      <c r="AA376" s="527" t="str">
        <f>IFERROR(INDEX(잔가map!$C$14:$AR$18,MATCH(차량DB!$AA$5,잔가map!$B$14:$B$18,0),MATCH(차량DB!Y376,잔가map!$C$13:$AR$13,0)),"")</f>
        <v/>
      </c>
      <c r="AB376" s="527" t="str">
        <f>IFERROR(INDEX(잔가map!$C$14:$AR$18,MATCH(차량DB!$AB$5,잔가map!$B$14:$B$18,0),MATCH(차량DB!Y376,잔가map!$C$13:$AR$13,0)),"")</f>
        <v/>
      </c>
      <c r="AC376" s="527" t="str">
        <f>IFERROR(INDEX(잔가map!$C$14:$AR$18,MATCH(차량DB!$AC$5,잔가map!$B$14:$B$18,0),MATCH(차량DB!Y376,잔가map!$C$13:$AR$13,0)),"")</f>
        <v/>
      </c>
      <c r="AD376" s="527" t="str">
        <f>IFERROR(INDEX(잔가map!$C$14:$AR$18,MATCH(차량DB!$AD$5,잔가map!$B$14:$B$18,0),MATCH(차량DB!Y376,잔가map!$C$13:$AR$13,0)),"")</f>
        <v/>
      </c>
      <c r="AE376" s="643"/>
      <c r="AF376" s="644"/>
      <c r="AG376" s="644"/>
      <c r="AH376" s="644"/>
      <c r="AI376" s="644"/>
      <c r="AJ376" s="644"/>
      <c r="AK376" s="547"/>
      <c r="AL376" s="576"/>
    </row>
    <row r="377" spans="5:38" x14ac:dyDescent="0.3">
      <c r="E377" s="293" t="s">
        <v>419</v>
      </c>
      <c r="F377" s="605" t="s">
        <v>928</v>
      </c>
      <c r="G377" s="294">
        <v>1995</v>
      </c>
      <c r="H377" s="295" t="s">
        <v>58</v>
      </c>
      <c r="I377" s="294">
        <v>99000000</v>
      </c>
      <c r="P377" s="295" t="s">
        <v>576</v>
      </c>
      <c r="R377" s="500"/>
      <c r="S377" s="639"/>
      <c r="T377" s="640"/>
      <c r="U377" s="640"/>
      <c r="V377" s="640"/>
      <c r="W377" s="640"/>
      <c r="X377" s="640"/>
      <c r="Y377" s="553"/>
      <c r="Z377" s="527" t="str">
        <f>IFERROR(INDEX(잔가map!$C$14:$AR$18,MATCH(차량DB!$Z$5,잔가map!$B$14:$B$18,0),MATCH(차량DB!Y377,잔가map!$C$13:$AR$13,0)),"")</f>
        <v/>
      </c>
      <c r="AA377" s="527" t="str">
        <f>IFERROR(INDEX(잔가map!$C$14:$AR$18,MATCH(차량DB!$AA$5,잔가map!$B$14:$B$18,0),MATCH(차량DB!Y377,잔가map!$C$13:$AR$13,0)),"")</f>
        <v/>
      </c>
      <c r="AB377" s="527" t="str">
        <f>IFERROR(INDEX(잔가map!$C$14:$AR$18,MATCH(차량DB!$AB$5,잔가map!$B$14:$B$18,0),MATCH(차량DB!Y377,잔가map!$C$13:$AR$13,0)),"")</f>
        <v/>
      </c>
      <c r="AC377" s="527" t="str">
        <f>IFERROR(INDEX(잔가map!$C$14:$AR$18,MATCH(차량DB!$AC$5,잔가map!$B$14:$B$18,0),MATCH(차량DB!Y377,잔가map!$C$13:$AR$13,0)),"")</f>
        <v/>
      </c>
      <c r="AD377" s="527" t="str">
        <f>IFERROR(INDEX(잔가map!$C$14:$AR$18,MATCH(차량DB!$AD$5,잔가map!$B$14:$B$18,0),MATCH(차량DB!Y377,잔가map!$C$13:$AR$13,0)),"")</f>
        <v/>
      </c>
      <c r="AE377" s="643"/>
      <c r="AF377" s="644"/>
      <c r="AG377" s="644"/>
      <c r="AH377" s="644"/>
      <c r="AI377" s="644"/>
      <c r="AJ377" s="644"/>
      <c r="AK377" s="547"/>
      <c r="AL377" s="576"/>
    </row>
    <row r="378" spans="5:38" x14ac:dyDescent="0.3">
      <c r="E378" s="293" t="s">
        <v>419</v>
      </c>
      <c r="F378" s="605" t="s">
        <v>929</v>
      </c>
      <c r="G378" s="294">
        <v>1995</v>
      </c>
      <c r="H378" s="295" t="s">
        <v>58</v>
      </c>
      <c r="I378" s="294">
        <v>121000000</v>
      </c>
      <c r="P378" s="295" t="s">
        <v>576</v>
      </c>
      <c r="R378" s="500"/>
      <c r="S378" s="639"/>
      <c r="T378" s="640"/>
      <c r="U378" s="640"/>
      <c r="V378" s="640"/>
      <c r="W378" s="640"/>
      <c r="X378" s="640"/>
      <c r="Y378" s="553"/>
      <c r="Z378" s="527" t="str">
        <f>IFERROR(INDEX(잔가map!$C$14:$AR$18,MATCH(차량DB!$Z$5,잔가map!$B$14:$B$18,0),MATCH(차량DB!Y378,잔가map!$C$13:$AR$13,0)),"")</f>
        <v/>
      </c>
      <c r="AA378" s="527" t="str">
        <f>IFERROR(INDEX(잔가map!$C$14:$AR$18,MATCH(차량DB!$AA$5,잔가map!$B$14:$B$18,0),MATCH(차량DB!Y378,잔가map!$C$13:$AR$13,0)),"")</f>
        <v/>
      </c>
      <c r="AB378" s="527" t="str">
        <f>IFERROR(INDEX(잔가map!$C$14:$AR$18,MATCH(차량DB!$AB$5,잔가map!$B$14:$B$18,0),MATCH(차량DB!Y378,잔가map!$C$13:$AR$13,0)),"")</f>
        <v/>
      </c>
      <c r="AC378" s="527" t="str">
        <f>IFERROR(INDEX(잔가map!$C$14:$AR$18,MATCH(차량DB!$AC$5,잔가map!$B$14:$B$18,0),MATCH(차량DB!Y378,잔가map!$C$13:$AR$13,0)),"")</f>
        <v/>
      </c>
      <c r="AD378" s="527" t="str">
        <f>IFERROR(INDEX(잔가map!$C$14:$AR$18,MATCH(차량DB!$AD$5,잔가map!$B$14:$B$18,0),MATCH(차량DB!Y378,잔가map!$C$13:$AR$13,0)),"")</f>
        <v/>
      </c>
      <c r="AE378" s="643"/>
      <c r="AF378" s="644"/>
      <c r="AG378" s="644"/>
      <c r="AH378" s="644"/>
      <c r="AI378" s="644"/>
      <c r="AJ378" s="644"/>
      <c r="AK378" s="547"/>
      <c r="AL378" s="576"/>
    </row>
    <row r="379" spans="5:38" x14ac:dyDescent="0.3">
      <c r="E379" s="293" t="s">
        <v>419</v>
      </c>
      <c r="F379" s="605" t="s">
        <v>930</v>
      </c>
      <c r="G379" s="294">
        <v>1995</v>
      </c>
      <c r="H379" s="295" t="s">
        <v>58</v>
      </c>
      <c r="I379" s="294">
        <v>133000000</v>
      </c>
      <c r="P379" s="295" t="s">
        <v>576</v>
      </c>
      <c r="R379" s="500"/>
      <c r="S379" s="639"/>
      <c r="T379" s="640"/>
      <c r="U379" s="640"/>
      <c r="V379" s="640"/>
      <c r="W379" s="640"/>
      <c r="X379" s="640"/>
      <c r="Y379" s="553"/>
      <c r="Z379" s="527" t="str">
        <f>IFERROR(INDEX(잔가map!$C$14:$AR$18,MATCH(차량DB!$Z$5,잔가map!$B$14:$B$18,0),MATCH(차량DB!Y379,잔가map!$C$13:$AR$13,0)),"")</f>
        <v/>
      </c>
      <c r="AA379" s="527" t="str">
        <f>IFERROR(INDEX(잔가map!$C$14:$AR$18,MATCH(차량DB!$AA$5,잔가map!$B$14:$B$18,0),MATCH(차량DB!Y379,잔가map!$C$13:$AR$13,0)),"")</f>
        <v/>
      </c>
      <c r="AB379" s="527" t="str">
        <f>IFERROR(INDEX(잔가map!$C$14:$AR$18,MATCH(차량DB!$AB$5,잔가map!$B$14:$B$18,0),MATCH(차량DB!Y379,잔가map!$C$13:$AR$13,0)),"")</f>
        <v/>
      </c>
      <c r="AC379" s="527" t="str">
        <f>IFERROR(INDEX(잔가map!$C$14:$AR$18,MATCH(차량DB!$AC$5,잔가map!$B$14:$B$18,0),MATCH(차량DB!Y379,잔가map!$C$13:$AR$13,0)),"")</f>
        <v/>
      </c>
      <c r="AD379" s="527" t="str">
        <f>IFERROR(INDEX(잔가map!$C$14:$AR$18,MATCH(차량DB!$AD$5,잔가map!$B$14:$B$18,0),MATCH(차량DB!Y379,잔가map!$C$13:$AR$13,0)),"")</f>
        <v/>
      </c>
      <c r="AE379" s="643"/>
      <c r="AF379" s="644"/>
      <c r="AG379" s="644"/>
      <c r="AH379" s="644"/>
      <c r="AI379" s="644"/>
      <c r="AJ379" s="644"/>
      <c r="AK379" s="547"/>
      <c r="AL379" s="576"/>
    </row>
    <row r="380" spans="5:38" x14ac:dyDescent="0.3">
      <c r="E380" s="293" t="s">
        <v>419</v>
      </c>
      <c r="F380" s="605" t="s">
        <v>931</v>
      </c>
      <c r="G380" s="294">
        <v>2992</v>
      </c>
      <c r="H380" s="295" t="s">
        <v>58</v>
      </c>
      <c r="I380" s="294">
        <v>169000000</v>
      </c>
      <c r="P380" s="295" t="s">
        <v>576</v>
      </c>
      <c r="R380" s="500"/>
      <c r="S380" s="639"/>
      <c r="T380" s="640"/>
      <c r="U380" s="640"/>
      <c r="V380" s="640"/>
      <c r="W380" s="640"/>
      <c r="X380" s="640"/>
      <c r="Y380" s="553"/>
      <c r="Z380" s="527" t="str">
        <f>IFERROR(INDEX(잔가map!$C$14:$AR$18,MATCH(차량DB!$Z$5,잔가map!$B$14:$B$18,0),MATCH(차량DB!Y380,잔가map!$C$13:$AR$13,0)),"")</f>
        <v/>
      </c>
      <c r="AA380" s="527" t="str">
        <f>IFERROR(INDEX(잔가map!$C$14:$AR$18,MATCH(차량DB!$AA$5,잔가map!$B$14:$B$18,0),MATCH(차량DB!Y380,잔가map!$C$13:$AR$13,0)),"")</f>
        <v/>
      </c>
      <c r="AB380" s="527" t="str">
        <f>IFERROR(INDEX(잔가map!$C$14:$AR$18,MATCH(차량DB!$AB$5,잔가map!$B$14:$B$18,0),MATCH(차량DB!Y380,잔가map!$C$13:$AR$13,0)),"")</f>
        <v/>
      </c>
      <c r="AC380" s="527" t="str">
        <f>IFERROR(INDEX(잔가map!$C$14:$AR$18,MATCH(차량DB!$AC$5,잔가map!$B$14:$B$18,0),MATCH(차량DB!Y380,잔가map!$C$13:$AR$13,0)),"")</f>
        <v/>
      </c>
      <c r="AD380" s="527" t="str">
        <f>IFERROR(INDEX(잔가map!$C$14:$AR$18,MATCH(차량DB!$AD$5,잔가map!$B$14:$B$18,0),MATCH(차량DB!Y380,잔가map!$C$13:$AR$13,0)),"")</f>
        <v/>
      </c>
      <c r="AE380" s="643"/>
      <c r="AF380" s="644"/>
      <c r="AG380" s="644"/>
      <c r="AH380" s="644"/>
      <c r="AI380" s="644"/>
      <c r="AJ380" s="644"/>
      <c r="AK380" s="547"/>
      <c r="AL380" s="576"/>
    </row>
    <row r="381" spans="5:38" x14ac:dyDescent="0.3">
      <c r="E381" s="293" t="s">
        <v>419</v>
      </c>
      <c r="F381" s="605" t="s">
        <v>936</v>
      </c>
      <c r="G381" s="294">
        <v>2979</v>
      </c>
      <c r="H381" s="295" t="s">
        <v>45</v>
      </c>
      <c r="I381" s="294">
        <v>183800000</v>
      </c>
      <c r="P381" s="295" t="s">
        <v>576</v>
      </c>
      <c r="R381" s="500">
        <v>0</v>
      </c>
      <c r="S381" s="639"/>
      <c r="T381" s="640"/>
      <c r="U381" s="640"/>
      <c r="V381" s="640"/>
      <c r="W381" s="640"/>
      <c r="X381" s="640"/>
      <c r="Y381" s="553"/>
      <c r="Z381" s="527" t="str">
        <f>IFERROR(INDEX(잔가map!$C$14:$AR$18,MATCH(차량DB!$Z$5,잔가map!$B$14:$B$18,0),MATCH(차량DB!Y381,잔가map!$C$13:$AR$13,0)),"")</f>
        <v/>
      </c>
      <c r="AA381" s="527" t="str">
        <f>IFERROR(INDEX(잔가map!$C$14:$AR$18,MATCH(차량DB!$AA$5,잔가map!$B$14:$B$18,0),MATCH(차량DB!Y381,잔가map!$C$13:$AR$13,0)),"")</f>
        <v/>
      </c>
      <c r="AB381" s="527" t="str">
        <f>IFERROR(INDEX(잔가map!$C$14:$AR$18,MATCH(차량DB!$AB$5,잔가map!$B$14:$B$18,0),MATCH(차량DB!Y381,잔가map!$C$13:$AR$13,0)),"")</f>
        <v/>
      </c>
      <c r="AC381" s="527" t="str">
        <f>IFERROR(INDEX(잔가map!$C$14:$AR$18,MATCH(차량DB!$AC$5,잔가map!$B$14:$B$18,0),MATCH(차량DB!Y381,잔가map!$C$13:$AR$13,0)),"")</f>
        <v/>
      </c>
      <c r="AD381" s="527" t="str">
        <f>IFERROR(INDEX(잔가map!$C$14:$AR$18,MATCH(차량DB!$AD$5,잔가map!$B$14:$B$18,0),MATCH(차량DB!Y381,잔가map!$C$13:$AR$13,0)),"")</f>
        <v/>
      </c>
      <c r="AE381" s="643"/>
      <c r="AF381" s="644"/>
      <c r="AG381" s="644"/>
      <c r="AH381" s="644"/>
      <c r="AI381" s="644"/>
      <c r="AJ381" s="644"/>
      <c r="AK381" s="547"/>
      <c r="AL381" s="576"/>
    </row>
    <row r="382" spans="5:38" x14ac:dyDescent="0.3">
      <c r="E382" s="293" t="s">
        <v>419</v>
      </c>
      <c r="F382" s="605" t="s">
        <v>937</v>
      </c>
      <c r="G382" s="294">
        <v>2979</v>
      </c>
      <c r="H382" s="295" t="s">
        <v>45</v>
      </c>
      <c r="I382" s="294">
        <v>174700000</v>
      </c>
      <c r="P382" s="295" t="s">
        <v>576</v>
      </c>
      <c r="R382" s="500">
        <v>0</v>
      </c>
      <c r="S382" s="639"/>
      <c r="T382" s="640"/>
      <c r="U382" s="640"/>
      <c r="V382" s="640"/>
      <c r="W382" s="640"/>
      <c r="X382" s="640"/>
      <c r="Y382" s="553"/>
      <c r="Z382" s="527" t="str">
        <f>IFERROR(INDEX(잔가map!$C$14:$AR$18,MATCH(차량DB!$Z$5,잔가map!$B$14:$B$18,0),MATCH(차량DB!Y382,잔가map!$C$13:$AR$13,0)),"")</f>
        <v/>
      </c>
      <c r="AA382" s="527" t="str">
        <f>IFERROR(INDEX(잔가map!$C$14:$AR$18,MATCH(차량DB!$AA$5,잔가map!$B$14:$B$18,0),MATCH(차량DB!Y382,잔가map!$C$13:$AR$13,0)),"")</f>
        <v/>
      </c>
      <c r="AB382" s="527" t="str">
        <f>IFERROR(INDEX(잔가map!$C$14:$AR$18,MATCH(차량DB!$AB$5,잔가map!$B$14:$B$18,0),MATCH(차량DB!Y382,잔가map!$C$13:$AR$13,0)),"")</f>
        <v/>
      </c>
      <c r="AC382" s="527" t="str">
        <f>IFERROR(INDEX(잔가map!$C$14:$AR$18,MATCH(차량DB!$AC$5,잔가map!$B$14:$B$18,0),MATCH(차량DB!Y382,잔가map!$C$13:$AR$13,0)),"")</f>
        <v/>
      </c>
      <c r="AD382" s="527" t="str">
        <f>IFERROR(INDEX(잔가map!$C$14:$AR$18,MATCH(차량DB!$AD$5,잔가map!$B$14:$B$18,0),MATCH(차량DB!Y382,잔가map!$C$13:$AR$13,0)),"")</f>
        <v/>
      </c>
      <c r="AE382" s="643"/>
      <c r="AF382" s="644"/>
      <c r="AG382" s="644"/>
      <c r="AH382" s="644"/>
      <c r="AI382" s="644"/>
      <c r="AJ382" s="644"/>
      <c r="AK382" s="547"/>
      <c r="AL382" s="576"/>
    </row>
    <row r="383" spans="5:38" x14ac:dyDescent="0.3">
      <c r="E383" s="293" t="s">
        <v>419</v>
      </c>
      <c r="F383" s="605" t="s">
        <v>938</v>
      </c>
      <c r="G383" s="294">
        <v>2979</v>
      </c>
      <c r="H383" s="295" t="s">
        <v>45</v>
      </c>
      <c r="I383" s="294">
        <v>220900000</v>
      </c>
      <c r="P383" s="295" t="s">
        <v>576</v>
      </c>
      <c r="R383" s="500">
        <v>0</v>
      </c>
      <c r="S383" s="639"/>
      <c r="T383" s="640"/>
      <c r="U383" s="640"/>
      <c r="V383" s="640"/>
      <c r="W383" s="640"/>
      <c r="X383" s="640"/>
      <c r="Y383" s="553"/>
      <c r="Z383" s="527" t="str">
        <f>IFERROR(INDEX(잔가map!$C$14:$AR$18,MATCH(차량DB!$Z$5,잔가map!$B$14:$B$18,0),MATCH(차량DB!Y383,잔가map!$C$13:$AR$13,0)),"")</f>
        <v/>
      </c>
      <c r="AA383" s="527" t="str">
        <f>IFERROR(INDEX(잔가map!$C$14:$AR$18,MATCH(차량DB!$AA$5,잔가map!$B$14:$B$18,0),MATCH(차량DB!Y383,잔가map!$C$13:$AR$13,0)),"")</f>
        <v/>
      </c>
      <c r="AB383" s="527" t="str">
        <f>IFERROR(INDEX(잔가map!$C$14:$AR$18,MATCH(차량DB!$AB$5,잔가map!$B$14:$B$18,0),MATCH(차량DB!Y383,잔가map!$C$13:$AR$13,0)),"")</f>
        <v/>
      </c>
      <c r="AC383" s="527" t="str">
        <f>IFERROR(INDEX(잔가map!$C$14:$AR$18,MATCH(차량DB!$AC$5,잔가map!$B$14:$B$18,0),MATCH(차량DB!Y383,잔가map!$C$13:$AR$13,0)),"")</f>
        <v/>
      </c>
      <c r="AD383" s="527" t="str">
        <f>IFERROR(INDEX(잔가map!$C$14:$AR$18,MATCH(차량DB!$AD$5,잔가map!$B$14:$B$18,0),MATCH(차량DB!Y383,잔가map!$C$13:$AR$13,0)),"")</f>
        <v/>
      </c>
      <c r="AE383" s="643"/>
      <c r="AF383" s="644"/>
      <c r="AG383" s="644"/>
      <c r="AH383" s="644"/>
      <c r="AI383" s="644"/>
      <c r="AJ383" s="644"/>
      <c r="AK383" s="547"/>
      <c r="AL383" s="576"/>
    </row>
    <row r="384" spans="5:38" x14ac:dyDescent="0.3">
      <c r="E384" s="293" t="s">
        <v>419</v>
      </c>
      <c r="F384" s="605" t="s">
        <v>939</v>
      </c>
      <c r="G384" s="294">
        <v>3799</v>
      </c>
      <c r="H384" s="295" t="s">
        <v>45</v>
      </c>
      <c r="I384" s="294">
        <v>297000000</v>
      </c>
      <c r="P384" s="295" t="s">
        <v>576</v>
      </c>
      <c r="R384" s="500">
        <v>0</v>
      </c>
      <c r="S384" s="639"/>
      <c r="T384" s="640"/>
      <c r="U384" s="640"/>
      <c r="V384" s="640"/>
      <c r="W384" s="640"/>
      <c r="X384" s="640"/>
      <c r="Y384" s="553"/>
      <c r="Z384" s="527" t="str">
        <f>IFERROR(INDEX(잔가map!$C$14:$AR$18,MATCH(차량DB!$Z$5,잔가map!$B$14:$B$18,0),MATCH(차량DB!Y384,잔가map!$C$13:$AR$13,0)),"")</f>
        <v/>
      </c>
      <c r="AA384" s="527" t="str">
        <f>IFERROR(INDEX(잔가map!$C$14:$AR$18,MATCH(차량DB!$AA$5,잔가map!$B$14:$B$18,0),MATCH(차량DB!Y384,잔가map!$C$13:$AR$13,0)),"")</f>
        <v/>
      </c>
      <c r="AB384" s="527" t="str">
        <f>IFERROR(INDEX(잔가map!$C$14:$AR$18,MATCH(차량DB!$AB$5,잔가map!$B$14:$B$18,0),MATCH(차량DB!Y384,잔가map!$C$13:$AR$13,0)),"")</f>
        <v/>
      </c>
      <c r="AC384" s="527" t="str">
        <f>IFERROR(INDEX(잔가map!$C$14:$AR$18,MATCH(차량DB!$AC$5,잔가map!$B$14:$B$18,0),MATCH(차량DB!Y384,잔가map!$C$13:$AR$13,0)),"")</f>
        <v/>
      </c>
      <c r="AD384" s="527" t="str">
        <f>IFERROR(INDEX(잔가map!$C$14:$AR$18,MATCH(차량DB!$AD$5,잔가map!$B$14:$B$18,0),MATCH(차량DB!Y384,잔가map!$C$13:$AR$13,0)),"")</f>
        <v/>
      </c>
      <c r="AE384" s="643"/>
      <c r="AF384" s="644"/>
      <c r="AG384" s="644"/>
      <c r="AH384" s="644"/>
      <c r="AI384" s="644"/>
      <c r="AJ384" s="644"/>
      <c r="AK384" s="547"/>
      <c r="AL384" s="576"/>
    </row>
    <row r="385" spans="5:38" x14ac:dyDescent="0.3">
      <c r="E385" s="293" t="s">
        <v>419</v>
      </c>
      <c r="F385" s="605" t="s">
        <v>932</v>
      </c>
      <c r="G385" s="294">
        <v>1995</v>
      </c>
      <c r="H385" s="295" t="s">
        <v>58</v>
      </c>
      <c r="I385" s="294">
        <v>133900000</v>
      </c>
      <c r="P385" s="295" t="s">
        <v>576</v>
      </c>
      <c r="R385" s="500">
        <v>0</v>
      </c>
      <c r="S385" s="639"/>
      <c r="T385" s="640"/>
      <c r="U385" s="640"/>
      <c r="V385" s="640"/>
      <c r="W385" s="640"/>
      <c r="X385" s="640"/>
      <c r="Y385" s="553"/>
      <c r="Z385" s="527" t="str">
        <f>IFERROR(INDEX(잔가map!$C$14:$AR$18,MATCH(차량DB!$Z$5,잔가map!$B$14:$B$18,0),MATCH(차량DB!Y385,잔가map!$C$13:$AR$13,0)),"")</f>
        <v/>
      </c>
      <c r="AA385" s="527" t="str">
        <f>IFERROR(INDEX(잔가map!$C$14:$AR$18,MATCH(차량DB!$AA$5,잔가map!$B$14:$B$18,0),MATCH(차량DB!Y385,잔가map!$C$13:$AR$13,0)),"")</f>
        <v/>
      </c>
      <c r="AB385" s="527" t="str">
        <f>IFERROR(INDEX(잔가map!$C$14:$AR$18,MATCH(차량DB!$AB$5,잔가map!$B$14:$B$18,0),MATCH(차량DB!Y385,잔가map!$C$13:$AR$13,0)),"")</f>
        <v/>
      </c>
      <c r="AC385" s="527" t="str">
        <f>IFERROR(INDEX(잔가map!$C$14:$AR$18,MATCH(차량DB!$AC$5,잔가map!$B$14:$B$18,0),MATCH(차량DB!Y385,잔가map!$C$13:$AR$13,0)),"")</f>
        <v/>
      </c>
      <c r="AD385" s="527" t="str">
        <f>IFERROR(INDEX(잔가map!$C$14:$AR$18,MATCH(차량DB!$AD$5,잔가map!$B$14:$B$18,0),MATCH(차량DB!Y385,잔가map!$C$13:$AR$13,0)),"")</f>
        <v/>
      </c>
      <c r="AE385" s="643"/>
      <c r="AF385" s="644"/>
      <c r="AG385" s="644"/>
      <c r="AH385" s="644"/>
      <c r="AI385" s="644"/>
      <c r="AJ385" s="644"/>
      <c r="AK385" s="547"/>
      <c r="AL385" s="576"/>
    </row>
    <row r="386" spans="5:38" x14ac:dyDescent="0.3">
      <c r="E386" s="293" t="s">
        <v>419</v>
      </c>
      <c r="F386" s="605" t="s">
        <v>933</v>
      </c>
      <c r="G386" s="294">
        <v>1995</v>
      </c>
      <c r="H386" s="295" t="s">
        <v>58</v>
      </c>
      <c r="I386" s="294">
        <v>122000000</v>
      </c>
      <c r="P386" s="295" t="s">
        <v>576</v>
      </c>
      <c r="R386" s="500">
        <v>0</v>
      </c>
      <c r="S386" s="639"/>
      <c r="T386" s="640"/>
      <c r="U386" s="640"/>
      <c r="V386" s="640"/>
      <c r="W386" s="640"/>
      <c r="X386" s="640"/>
      <c r="Y386" s="553"/>
      <c r="Z386" s="527" t="str">
        <f>IFERROR(INDEX(잔가map!$C$14:$AR$18,MATCH(차량DB!$Z$5,잔가map!$B$14:$B$18,0),MATCH(차량DB!Y386,잔가map!$C$13:$AR$13,0)),"")</f>
        <v/>
      </c>
      <c r="AA386" s="527" t="str">
        <f>IFERROR(INDEX(잔가map!$C$14:$AR$18,MATCH(차량DB!$AA$5,잔가map!$B$14:$B$18,0),MATCH(차량DB!Y386,잔가map!$C$13:$AR$13,0)),"")</f>
        <v/>
      </c>
      <c r="AB386" s="527" t="str">
        <f>IFERROR(INDEX(잔가map!$C$14:$AR$18,MATCH(차량DB!$AB$5,잔가map!$B$14:$B$18,0),MATCH(차량DB!Y386,잔가map!$C$13:$AR$13,0)),"")</f>
        <v/>
      </c>
      <c r="AC386" s="527" t="str">
        <f>IFERROR(INDEX(잔가map!$C$14:$AR$18,MATCH(차량DB!$AC$5,잔가map!$B$14:$B$18,0),MATCH(차량DB!Y386,잔가map!$C$13:$AR$13,0)),"")</f>
        <v/>
      </c>
      <c r="AD386" s="527" t="str">
        <f>IFERROR(INDEX(잔가map!$C$14:$AR$18,MATCH(차량DB!$AD$5,잔가map!$B$14:$B$18,0),MATCH(차량DB!Y386,잔가map!$C$13:$AR$13,0)),"")</f>
        <v/>
      </c>
      <c r="AE386" s="643"/>
      <c r="AF386" s="644"/>
      <c r="AG386" s="644"/>
      <c r="AH386" s="644"/>
      <c r="AI386" s="644"/>
      <c r="AJ386" s="644"/>
      <c r="AK386" s="547"/>
      <c r="AL386" s="576"/>
    </row>
    <row r="387" spans="5:38" x14ac:dyDescent="0.3">
      <c r="E387" s="293" t="s">
        <v>419</v>
      </c>
      <c r="F387" s="605" t="s">
        <v>934</v>
      </c>
      <c r="G387" s="294">
        <v>2979</v>
      </c>
      <c r="H387" s="295" t="s">
        <v>58</v>
      </c>
      <c r="I387" s="294">
        <v>153500000</v>
      </c>
      <c r="P387" s="295" t="s">
        <v>576</v>
      </c>
      <c r="R387" s="500">
        <v>0</v>
      </c>
      <c r="S387" s="639"/>
      <c r="T387" s="640"/>
      <c r="U387" s="640"/>
      <c r="V387" s="640"/>
      <c r="W387" s="640"/>
      <c r="X387" s="640"/>
      <c r="Y387" s="553"/>
      <c r="Z387" s="527" t="str">
        <f>IFERROR(INDEX(잔가map!$C$14:$AR$18,MATCH(차량DB!$Z$5,잔가map!$B$14:$B$18,0),MATCH(차량DB!Y387,잔가map!$C$13:$AR$13,0)),"")</f>
        <v/>
      </c>
      <c r="AA387" s="527" t="str">
        <f>IFERROR(INDEX(잔가map!$C$14:$AR$18,MATCH(차량DB!$AA$5,잔가map!$B$14:$B$18,0),MATCH(차량DB!Y387,잔가map!$C$13:$AR$13,0)),"")</f>
        <v/>
      </c>
      <c r="AB387" s="527" t="str">
        <f>IFERROR(INDEX(잔가map!$C$14:$AR$18,MATCH(차량DB!$AB$5,잔가map!$B$14:$B$18,0),MATCH(차량DB!Y387,잔가map!$C$13:$AR$13,0)),"")</f>
        <v/>
      </c>
      <c r="AC387" s="527" t="str">
        <f>IFERROR(INDEX(잔가map!$C$14:$AR$18,MATCH(차량DB!$AC$5,잔가map!$B$14:$B$18,0),MATCH(차량DB!Y387,잔가map!$C$13:$AR$13,0)),"")</f>
        <v/>
      </c>
      <c r="AD387" s="527" t="str">
        <f>IFERROR(INDEX(잔가map!$C$14:$AR$18,MATCH(차량DB!$AD$5,잔가map!$B$14:$B$18,0),MATCH(차량DB!Y387,잔가map!$C$13:$AR$13,0)),"")</f>
        <v/>
      </c>
      <c r="AE387" s="643"/>
      <c r="AF387" s="644"/>
      <c r="AG387" s="644"/>
      <c r="AH387" s="644"/>
      <c r="AI387" s="644"/>
      <c r="AJ387" s="644"/>
      <c r="AK387" s="547"/>
      <c r="AL387" s="576"/>
    </row>
    <row r="388" spans="5:38" x14ac:dyDescent="0.3">
      <c r="E388" s="293" t="s">
        <v>419</v>
      </c>
      <c r="F388" s="605" t="s">
        <v>935</v>
      </c>
      <c r="G388" s="294">
        <v>2979</v>
      </c>
      <c r="H388" s="295" t="s">
        <v>58</v>
      </c>
      <c r="I388" s="294">
        <v>183000000</v>
      </c>
      <c r="P388" s="295" t="s">
        <v>576</v>
      </c>
      <c r="R388" s="500">
        <v>0</v>
      </c>
      <c r="S388" s="639"/>
      <c r="T388" s="640"/>
      <c r="U388" s="640"/>
      <c r="V388" s="640"/>
      <c r="W388" s="640"/>
      <c r="X388" s="640"/>
      <c r="Y388" s="553"/>
      <c r="Z388" s="527" t="str">
        <f>IFERROR(INDEX(잔가map!$C$14:$AR$18,MATCH(차량DB!$Z$5,잔가map!$B$14:$B$18,0),MATCH(차량DB!Y388,잔가map!$C$13:$AR$13,0)),"")</f>
        <v/>
      </c>
      <c r="AA388" s="527" t="str">
        <f>IFERROR(INDEX(잔가map!$C$14:$AR$18,MATCH(차량DB!$AA$5,잔가map!$B$14:$B$18,0),MATCH(차량DB!Y388,잔가map!$C$13:$AR$13,0)),"")</f>
        <v/>
      </c>
      <c r="AB388" s="527" t="str">
        <f>IFERROR(INDEX(잔가map!$C$14:$AR$18,MATCH(차량DB!$AB$5,잔가map!$B$14:$B$18,0),MATCH(차량DB!Y388,잔가map!$C$13:$AR$13,0)),"")</f>
        <v/>
      </c>
      <c r="AC388" s="527" t="str">
        <f>IFERROR(INDEX(잔가map!$C$14:$AR$18,MATCH(차량DB!$AC$5,잔가map!$B$14:$B$18,0),MATCH(차량DB!Y388,잔가map!$C$13:$AR$13,0)),"")</f>
        <v/>
      </c>
      <c r="AD388" s="527" t="str">
        <f>IFERROR(INDEX(잔가map!$C$14:$AR$18,MATCH(차량DB!$AD$5,잔가map!$B$14:$B$18,0),MATCH(차량DB!Y388,잔가map!$C$13:$AR$13,0)),"")</f>
        <v/>
      </c>
      <c r="AE388" s="643"/>
      <c r="AF388" s="644"/>
      <c r="AG388" s="644"/>
      <c r="AH388" s="644"/>
      <c r="AI388" s="644"/>
      <c r="AJ388" s="644"/>
      <c r="AK388" s="547"/>
      <c r="AL388" s="576"/>
    </row>
    <row r="389" spans="5:38" x14ac:dyDescent="0.3">
      <c r="E389" s="293" t="s">
        <v>419</v>
      </c>
      <c r="F389" s="605" t="s">
        <v>508</v>
      </c>
      <c r="G389" s="294">
        <v>3799</v>
      </c>
      <c r="H389" s="295" t="s">
        <v>58</v>
      </c>
      <c r="I389" s="294">
        <v>243100000</v>
      </c>
      <c r="P389" s="295" t="s">
        <v>576</v>
      </c>
      <c r="R389" s="500">
        <v>0</v>
      </c>
      <c r="S389" s="639"/>
      <c r="T389" s="640"/>
      <c r="U389" s="640"/>
      <c r="V389" s="640"/>
      <c r="W389" s="640"/>
      <c r="X389" s="640"/>
      <c r="Y389" s="553"/>
      <c r="Z389" s="527" t="str">
        <f>IFERROR(INDEX(잔가map!$C$14:$AR$18,MATCH(차량DB!$Z$5,잔가map!$B$14:$B$18,0),MATCH(차량DB!Y389,잔가map!$C$13:$AR$13,0)),"")</f>
        <v/>
      </c>
      <c r="AA389" s="527" t="str">
        <f>IFERROR(INDEX(잔가map!$C$14:$AR$18,MATCH(차량DB!$AA$5,잔가map!$B$14:$B$18,0),MATCH(차량DB!Y389,잔가map!$C$13:$AR$13,0)),"")</f>
        <v/>
      </c>
      <c r="AB389" s="527" t="str">
        <f>IFERROR(INDEX(잔가map!$C$14:$AR$18,MATCH(차량DB!$AB$5,잔가map!$B$14:$B$18,0),MATCH(차량DB!Y389,잔가map!$C$13:$AR$13,0)),"")</f>
        <v/>
      </c>
      <c r="AC389" s="527" t="str">
        <f>IFERROR(INDEX(잔가map!$C$14:$AR$18,MATCH(차량DB!$AC$5,잔가map!$B$14:$B$18,0),MATCH(차량DB!Y389,잔가map!$C$13:$AR$13,0)),"")</f>
        <v/>
      </c>
      <c r="AD389" s="527" t="str">
        <f>IFERROR(INDEX(잔가map!$C$14:$AR$18,MATCH(차량DB!$AD$5,잔가map!$B$14:$B$18,0),MATCH(차량DB!Y389,잔가map!$C$13:$AR$13,0)),"")</f>
        <v/>
      </c>
      <c r="AE389" s="643"/>
      <c r="AF389" s="644"/>
      <c r="AG389" s="644"/>
      <c r="AH389" s="644"/>
      <c r="AI389" s="644"/>
      <c r="AJ389" s="644"/>
      <c r="AK389" s="547"/>
      <c r="AL389" s="576"/>
    </row>
    <row r="390" spans="5:38" x14ac:dyDescent="0.3">
      <c r="E390" s="293" t="s">
        <v>419</v>
      </c>
      <c r="F390" s="605" t="s">
        <v>940</v>
      </c>
      <c r="G390" s="294">
        <v>2992</v>
      </c>
      <c r="H390" s="295" t="s">
        <v>45</v>
      </c>
      <c r="I390" s="294">
        <v>309000000</v>
      </c>
      <c r="P390" s="295" t="s">
        <v>576</v>
      </c>
      <c r="R390" s="500"/>
      <c r="S390" s="639"/>
      <c r="T390" s="640"/>
      <c r="U390" s="640"/>
      <c r="V390" s="640"/>
      <c r="W390" s="640"/>
      <c r="X390" s="640"/>
      <c r="Y390" s="553"/>
      <c r="Z390" s="527" t="str">
        <f>IFERROR(INDEX(잔가map!$C$14:$AR$18,MATCH(차량DB!$Z$5,잔가map!$B$14:$B$18,0),MATCH(차량DB!Y390,잔가map!$C$13:$AR$13,0)),"")</f>
        <v/>
      </c>
      <c r="AA390" s="527" t="str">
        <f>IFERROR(INDEX(잔가map!$C$14:$AR$18,MATCH(차량DB!$AA$5,잔가map!$B$14:$B$18,0),MATCH(차량DB!Y390,잔가map!$C$13:$AR$13,0)),"")</f>
        <v/>
      </c>
      <c r="AB390" s="527" t="str">
        <f>IFERROR(INDEX(잔가map!$C$14:$AR$18,MATCH(차량DB!$AB$5,잔가map!$B$14:$B$18,0),MATCH(차량DB!Y390,잔가map!$C$13:$AR$13,0)),"")</f>
        <v/>
      </c>
      <c r="AC390" s="527" t="str">
        <f>IFERROR(INDEX(잔가map!$C$14:$AR$18,MATCH(차량DB!$AC$5,잔가map!$B$14:$B$18,0),MATCH(차량DB!Y390,잔가map!$C$13:$AR$13,0)),"")</f>
        <v/>
      </c>
      <c r="AD390" s="527" t="str">
        <f>IFERROR(INDEX(잔가map!$C$14:$AR$18,MATCH(차량DB!$AD$5,잔가map!$B$14:$B$18,0),MATCH(차량DB!Y390,잔가map!$C$13:$AR$13,0)),"")</f>
        <v/>
      </c>
      <c r="AE390" s="643"/>
      <c r="AF390" s="644"/>
      <c r="AG390" s="644"/>
      <c r="AH390" s="644"/>
      <c r="AI390" s="644"/>
      <c r="AJ390" s="644"/>
      <c r="AK390" s="547"/>
      <c r="AL390" s="576"/>
    </row>
    <row r="391" spans="5:38" x14ac:dyDescent="0.3">
      <c r="E391" s="293" t="s">
        <v>559</v>
      </c>
      <c r="F391" s="605" t="s">
        <v>941</v>
      </c>
      <c r="G391" s="294">
        <v>1950</v>
      </c>
      <c r="H391" s="295" t="s">
        <v>45</v>
      </c>
      <c r="I391" s="294">
        <v>46300000</v>
      </c>
      <c r="P391" s="295" t="s">
        <v>576</v>
      </c>
      <c r="R391" s="500">
        <v>0</v>
      </c>
      <c r="S391" s="639" t="s">
        <v>1228</v>
      </c>
      <c r="T391" s="640"/>
      <c r="U391" s="640"/>
      <c r="V391" s="640"/>
      <c r="W391" s="640"/>
      <c r="X391" s="640"/>
      <c r="Y391" s="553"/>
      <c r="Z391" s="527" t="str">
        <f>IFERROR(INDEX(잔가map!$C$14:$AR$18,MATCH(차량DB!$Z$5,잔가map!$B$14:$B$18,0),MATCH(차량DB!Y391,잔가map!$C$13:$AR$13,0)),"")</f>
        <v/>
      </c>
      <c r="AA391" s="527" t="str">
        <f>IFERROR(INDEX(잔가map!$C$14:$AR$18,MATCH(차량DB!$AA$5,잔가map!$B$14:$B$18,0),MATCH(차량DB!Y391,잔가map!$C$13:$AR$13,0)),"")</f>
        <v/>
      </c>
      <c r="AB391" s="527" t="str">
        <f>IFERROR(INDEX(잔가map!$C$14:$AR$18,MATCH(차량DB!$AB$5,잔가map!$B$14:$B$18,0),MATCH(차량DB!Y391,잔가map!$C$13:$AR$13,0)),"")</f>
        <v/>
      </c>
      <c r="AC391" s="527" t="str">
        <f>IFERROR(INDEX(잔가map!$C$14:$AR$18,MATCH(차량DB!$AC$5,잔가map!$B$14:$B$18,0),MATCH(차량DB!Y391,잔가map!$C$13:$AR$13,0)),"")</f>
        <v/>
      </c>
      <c r="AD391" s="527" t="str">
        <f>IFERROR(INDEX(잔가map!$C$14:$AR$18,MATCH(차량DB!$AD$5,잔가map!$B$14:$B$18,0),MATCH(차량DB!Y391,잔가map!$C$13:$AR$13,0)),"")</f>
        <v/>
      </c>
      <c r="AE391" s="643"/>
      <c r="AF391" s="644"/>
      <c r="AG391" s="644"/>
      <c r="AH391" s="644"/>
      <c r="AI391" s="644"/>
      <c r="AJ391" s="644"/>
      <c r="AK391" s="547"/>
      <c r="AL391" s="576"/>
    </row>
    <row r="392" spans="5:38" x14ac:dyDescent="0.3">
      <c r="E392" s="293" t="s">
        <v>559</v>
      </c>
      <c r="F392" s="605" t="s">
        <v>942</v>
      </c>
      <c r="G392" s="294">
        <v>1991</v>
      </c>
      <c r="H392" s="295" t="s">
        <v>45</v>
      </c>
      <c r="I392" s="294">
        <v>47100000</v>
      </c>
      <c r="P392" s="295" t="s">
        <v>576</v>
      </c>
      <c r="R392" s="500">
        <v>0</v>
      </c>
      <c r="S392" s="639" t="s">
        <v>1229</v>
      </c>
      <c r="T392" s="640"/>
      <c r="U392" s="640"/>
      <c r="V392" s="640"/>
      <c r="W392" s="640"/>
      <c r="X392" s="640"/>
      <c r="Y392" s="553"/>
      <c r="Z392" s="527" t="str">
        <f>IFERROR(INDEX(잔가map!$C$14:$AR$18,MATCH(차량DB!$Z$5,잔가map!$B$14:$B$18,0),MATCH(차량DB!Y392,잔가map!$C$13:$AR$13,0)),"")</f>
        <v/>
      </c>
      <c r="AA392" s="527" t="str">
        <f>IFERROR(INDEX(잔가map!$C$14:$AR$18,MATCH(차량DB!$AA$5,잔가map!$B$14:$B$18,0),MATCH(차량DB!Y392,잔가map!$C$13:$AR$13,0)),"")</f>
        <v/>
      </c>
      <c r="AB392" s="527" t="str">
        <f>IFERROR(INDEX(잔가map!$C$14:$AR$18,MATCH(차량DB!$AB$5,잔가map!$B$14:$B$18,0),MATCH(차량DB!Y392,잔가map!$C$13:$AR$13,0)),"")</f>
        <v/>
      </c>
      <c r="AC392" s="527" t="str">
        <f>IFERROR(INDEX(잔가map!$C$14:$AR$18,MATCH(차량DB!$AC$5,잔가map!$B$14:$B$18,0),MATCH(차량DB!Y392,잔가map!$C$13:$AR$13,0)),"")</f>
        <v/>
      </c>
      <c r="AD392" s="527" t="str">
        <f>IFERROR(INDEX(잔가map!$C$14:$AR$18,MATCH(차량DB!$AD$5,잔가map!$B$14:$B$18,0),MATCH(차량DB!Y392,잔가map!$C$13:$AR$13,0)),"")</f>
        <v/>
      </c>
      <c r="AE392" s="643"/>
      <c r="AF392" s="644"/>
      <c r="AG392" s="644"/>
      <c r="AH392" s="644"/>
      <c r="AI392" s="644"/>
      <c r="AJ392" s="644"/>
      <c r="AK392" s="547"/>
      <c r="AL392" s="576"/>
    </row>
    <row r="393" spans="5:38" x14ac:dyDescent="0.3">
      <c r="E393" s="293" t="s">
        <v>559</v>
      </c>
      <c r="F393" s="605" t="s">
        <v>688</v>
      </c>
      <c r="G393" s="294">
        <v>1991</v>
      </c>
      <c r="H393" s="295" t="s">
        <v>45</v>
      </c>
      <c r="I393" s="294">
        <v>48900000</v>
      </c>
      <c r="P393" s="295" t="s">
        <v>576</v>
      </c>
      <c r="R393" s="500">
        <v>0</v>
      </c>
      <c r="S393" s="639" t="s">
        <v>1230</v>
      </c>
      <c r="T393" s="640"/>
      <c r="U393" s="640"/>
      <c r="V393" s="640"/>
      <c r="W393" s="640"/>
      <c r="X393" s="640"/>
      <c r="Y393" s="553"/>
      <c r="Z393" s="527" t="str">
        <f>IFERROR(INDEX(잔가map!$C$14:$AR$18,MATCH(차량DB!$Z$5,잔가map!$B$14:$B$18,0),MATCH(차량DB!Y393,잔가map!$C$13:$AR$13,0)),"")</f>
        <v/>
      </c>
      <c r="AA393" s="527" t="str">
        <f>IFERROR(INDEX(잔가map!$C$14:$AR$18,MATCH(차량DB!$AA$5,잔가map!$B$14:$B$18,0),MATCH(차량DB!Y393,잔가map!$C$13:$AR$13,0)),"")</f>
        <v/>
      </c>
      <c r="AB393" s="527" t="str">
        <f>IFERROR(INDEX(잔가map!$C$14:$AR$18,MATCH(차량DB!$AB$5,잔가map!$B$14:$B$18,0),MATCH(차량DB!Y393,잔가map!$C$13:$AR$13,0)),"")</f>
        <v/>
      </c>
      <c r="AC393" s="527" t="str">
        <f>IFERROR(INDEX(잔가map!$C$14:$AR$18,MATCH(차량DB!$AC$5,잔가map!$B$14:$B$18,0),MATCH(차량DB!Y393,잔가map!$C$13:$AR$13,0)),"")</f>
        <v/>
      </c>
      <c r="AD393" s="527" t="str">
        <f>IFERROR(INDEX(잔가map!$C$14:$AR$18,MATCH(차량DB!$AD$5,잔가map!$B$14:$B$18,0),MATCH(차량DB!Y393,잔가map!$C$13:$AR$13,0)),"")</f>
        <v/>
      </c>
      <c r="AE393" s="643"/>
      <c r="AF393" s="644"/>
      <c r="AG393" s="644"/>
      <c r="AH393" s="644"/>
      <c r="AI393" s="644"/>
      <c r="AJ393" s="644"/>
      <c r="AK393" s="547"/>
      <c r="AL393" s="576"/>
    </row>
    <row r="394" spans="5:38" x14ac:dyDescent="0.3">
      <c r="E394" s="293" t="s">
        <v>559</v>
      </c>
      <c r="F394" s="605" t="s">
        <v>943</v>
      </c>
      <c r="G394" s="294">
        <v>1991</v>
      </c>
      <c r="H394" s="295" t="s">
        <v>45</v>
      </c>
      <c r="I394" s="294">
        <v>55800000</v>
      </c>
      <c r="P394" s="295" t="s">
        <v>576</v>
      </c>
      <c r="R394" s="500">
        <v>0</v>
      </c>
      <c r="S394" s="639" t="s">
        <v>1229</v>
      </c>
      <c r="T394" s="640"/>
      <c r="U394" s="640"/>
      <c r="V394" s="640"/>
      <c r="W394" s="640"/>
      <c r="X394" s="640"/>
      <c r="Y394" s="553"/>
      <c r="Z394" s="527" t="str">
        <f>IFERROR(INDEX(잔가map!$C$14:$AR$18,MATCH(차량DB!$Z$5,잔가map!$B$14:$B$18,0),MATCH(차량DB!Y394,잔가map!$C$13:$AR$13,0)),"")</f>
        <v/>
      </c>
      <c r="AA394" s="527" t="str">
        <f>IFERROR(INDEX(잔가map!$C$14:$AR$18,MATCH(차량DB!$AA$5,잔가map!$B$14:$B$18,0),MATCH(차량DB!Y394,잔가map!$C$13:$AR$13,0)),"")</f>
        <v/>
      </c>
      <c r="AB394" s="527" t="str">
        <f>IFERROR(INDEX(잔가map!$C$14:$AR$18,MATCH(차량DB!$AB$5,잔가map!$B$14:$B$18,0),MATCH(차량DB!Y394,잔가map!$C$13:$AR$13,0)),"")</f>
        <v/>
      </c>
      <c r="AC394" s="527" t="str">
        <f>IFERROR(INDEX(잔가map!$C$14:$AR$18,MATCH(차량DB!$AC$5,잔가map!$B$14:$B$18,0),MATCH(차량DB!Y394,잔가map!$C$13:$AR$13,0)),"")</f>
        <v/>
      </c>
      <c r="AD394" s="527" t="str">
        <f>IFERROR(INDEX(잔가map!$C$14:$AR$18,MATCH(차량DB!$AD$5,잔가map!$B$14:$B$18,0),MATCH(차량DB!Y394,잔가map!$C$13:$AR$13,0)),"")</f>
        <v/>
      </c>
      <c r="AE394" s="643"/>
      <c r="AF394" s="644"/>
      <c r="AG394" s="644"/>
      <c r="AH394" s="644"/>
      <c r="AI394" s="644"/>
      <c r="AJ394" s="644"/>
      <c r="AK394" s="547"/>
      <c r="AL394" s="576"/>
    </row>
    <row r="395" spans="5:38" x14ac:dyDescent="0.3">
      <c r="E395" s="293" t="s">
        <v>559</v>
      </c>
      <c r="F395" s="605" t="s">
        <v>944</v>
      </c>
      <c r="G395" s="294">
        <v>1991</v>
      </c>
      <c r="H395" s="295" t="s">
        <v>45</v>
      </c>
      <c r="I395" s="294">
        <v>66400000</v>
      </c>
      <c r="P395" s="295" t="s">
        <v>576</v>
      </c>
      <c r="R395" s="500">
        <v>0</v>
      </c>
      <c r="S395" s="639" t="s">
        <v>1287</v>
      </c>
      <c r="T395" s="640"/>
      <c r="U395" s="640"/>
      <c r="V395" s="640"/>
      <c r="W395" s="640"/>
      <c r="X395" s="640"/>
      <c r="Y395" s="553" t="s">
        <v>366</v>
      </c>
      <c r="Z395" s="527">
        <f>IFERROR(INDEX(잔가map!$C$14:$AR$18,MATCH(차량DB!$Z$5,잔가map!$B$14:$B$18,0),MATCH(차량DB!Y395,잔가map!$C$13:$AR$13,0)),"")</f>
        <v>0.66999999999999993</v>
      </c>
      <c r="AA395" s="527">
        <f>IFERROR(INDEX(잔가map!$C$14:$AR$18,MATCH(차량DB!$AA$5,잔가map!$B$14:$B$18,0),MATCH(차량DB!Y395,잔가map!$C$13:$AR$13,0)),"")</f>
        <v>0.59</v>
      </c>
      <c r="AB395" s="527">
        <f>IFERROR(INDEX(잔가map!$C$14:$AR$18,MATCH(차량DB!$AB$5,잔가map!$B$14:$B$18,0),MATCH(차량DB!Y395,잔가map!$C$13:$AR$13,0)),"")</f>
        <v>0.49999999999999989</v>
      </c>
      <c r="AC395" s="527">
        <f>IFERROR(INDEX(잔가map!$C$14:$AR$18,MATCH(차량DB!$AC$5,잔가map!$B$14:$B$18,0),MATCH(차량DB!Y395,잔가map!$C$13:$AR$13,0)),"")</f>
        <v>0.42</v>
      </c>
      <c r="AD395" s="527">
        <f>IFERROR(INDEX(잔가map!$C$14:$AR$18,MATCH(차량DB!$AD$5,잔가map!$B$14:$B$18,0),MATCH(차량DB!Y395,잔가map!$C$13:$AR$13,0)),"")</f>
        <v>0.36</v>
      </c>
      <c r="AE395" s="643"/>
      <c r="AF395" s="644"/>
      <c r="AG395" s="644"/>
      <c r="AH395" s="644"/>
      <c r="AI395" s="644"/>
      <c r="AJ395" s="644"/>
      <c r="AK395" s="547"/>
      <c r="AL395" s="576"/>
    </row>
    <row r="396" spans="5:38" x14ac:dyDescent="0.3">
      <c r="E396" s="293" t="s">
        <v>559</v>
      </c>
      <c r="F396" s="605" t="s">
        <v>945</v>
      </c>
      <c r="G396" s="294">
        <v>1991</v>
      </c>
      <c r="H396" s="295" t="s">
        <v>45</v>
      </c>
      <c r="I396" s="294">
        <v>78800000</v>
      </c>
      <c r="P396" s="295" t="s">
        <v>576</v>
      </c>
      <c r="R396" s="500">
        <v>0</v>
      </c>
      <c r="S396" s="639" t="s">
        <v>1287</v>
      </c>
      <c r="T396" s="640"/>
      <c r="U396" s="640"/>
      <c r="V396" s="640"/>
      <c r="W396" s="640"/>
      <c r="X396" s="640"/>
      <c r="Y396" s="553" t="s">
        <v>366</v>
      </c>
      <c r="Z396" s="527">
        <f>IFERROR(INDEX(잔가map!$C$14:$AR$18,MATCH(차량DB!$Z$5,잔가map!$B$14:$B$18,0),MATCH(차량DB!Y396,잔가map!$C$13:$AR$13,0)),"")</f>
        <v>0.66999999999999993</v>
      </c>
      <c r="AA396" s="527">
        <f>IFERROR(INDEX(잔가map!$C$14:$AR$18,MATCH(차량DB!$AA$5,잔가map!$B$14:$B$18,0),MATCH(차량DB!Y396,잔가map!$C$13:$AR$13,0)),"")</f>
        <v>0.59</v>
      </c>
      <c r="AB396" s="527">
        <f>IFERROR(INDEX(잔가map!$C$14:$AR$18,MATCH(차량DB!$AB$5,잔가map!$B$14:$B$18,0),MATCH(차량DB!Y396,잔가map!$C$13:$AR$13,0)),"")</f>
        <v>0.49999999999999989</v>
      </c>
      <c r="AC396" s="527">
        <f>IFERROR(INDEX(잔가map!$C$14:$AR$18,MATCH(차량DB!$AC$5,잔가map!$B$14:$B$18,0),MATCH(차량DB!Y396,잔가map!$C$13:$AR$13,0)),"")</f>
        <v>0.42</v>
      </c>
      <c r="AD396" s="527">
        <f>IFERROR(INDEX(잔가map!$C$14:$AR$18,MATCH(차량DB!$AD$5,잔가map!$B$14:$B$18,0),MATCH(차량DB!Y396,잔가map!$C$13:$AR$13,0)),"")</f>
        <v>0.36</v>
      </c>
      <c r="AE396" s="643"/>
      <c r="AF396" s="644"/>
      <c r="AG396" s="644"/>
      <c r="AH396" s="644"/>
      <c r="AI396" s="644"/>
      <c r="AJ396" s="644"/>
      <c r="AK396" s="547"/>
      <c r="AL396" s="576"/>
    </row>
    <row r="397" spans="5:38" x14ac:dyDescent="0.3">
      <c r="E397" s="293" t="s">
        <v>321</v>
      </c>
      <c r="F397" s="605" t="s">
        <v>949</v>
      </c>
      <c r="G397" s="294">
        <v>1999</v>
      </c>
      <c r="H397" s="295" t="s">
        <v>45</v>
      </c>
      <c r="I397" s="294">
        <v>74000000</v>
      </c>
      <c r="P397" s="295" t="s">
        <v>576</v>
      </c>
      <c r="R397" s="500">
        <v>0</v>
      </c>
      <c r="S397" s="639" t="s">
        <v>1230</v>
      </c>
      <c r="T397" s="640"/>
      <c r="U397" s="640"/>
      <c r="V397" s="640"/>
      <c r="W397" s="640"/>
      <c r="X397" s="640"/>
      <c r="Y397" s="553"/>
      <c r="Z397" s="527" t="str">
        <f>IFERROR(INDEX(잔가map!$C$14:$AR$18,MATCH(차량DB!$Z$5,잔가map!$B$14:$B$18,0),MATCH(차량DB!Y397,잔가map!$C$13:$AR$13,0)),"")</f>
        <v/>
      </c>
      <c r="AA397" s="527" t="str">
        <f>IFERROR(INDEX(잔가map!$C$14:$AR$18,MATCH(차량DB!$AA$5,잔가map!$B$14:$B$18,0),MATCH(차량DB!Y397,잔가map!$C$13:$AR$13,0)),"")</f>
        <v/>
      </c>
      <c r="AB397" s="527" t="str">
        <f>IFERROR(INDEX(잔가map!$C$14:$AR$18,MATCH(차량DB!$AB$5,잔가map!$B$14:$B$18,0),MATCH(차량DB!Y397,잔가map!$C$13:$AR$13,0)),"")</f>
        <v/>
      </c>
      <c r="AC397" s="527" t="str">
        <f>IFERROR(INDEX(잔가map!$C$14:$AR$18,MATCH(차량DB!$AC$5,잔가map!$B$14:$B$18,0),MATCH(차량DB!Y397,잔가map!$C$13:$AR$13,0)),"")</f>
        <v/>
      </c>
      <c r="AD397" s="527" t="str">
        <f>IFERROR(INDEX(잔가map!$C$14:$AR$18,MATCH(차량DB!$AD$5,잔가map!$B$14:$B$18,0),MATCH(차량DB!Y397,잔가map!$C$13:$AR$13,0)),"")</f>
        <v/>
      </c>
      <c r="AE397" s="643"/>
      <c r="AF397" s="644"/>
      <c r="AG397" s="644"/>
      <c r="AH397" s="644"/>
      <c r="AI397" s="644"/>
      <c r="AJ397" s="644"/>
      <c r="AK397" s="547"/>
      <c r="AL397" s="576"/>
    </row>
    <row r="398" spans="5:38" x14ac:dyDescent="0.3">
      <c r="E398" s="293" t="s">
        <v>321</v>
      </c>
      <c r="F398" s="605" t="s">
        <v>950</v>
      </c>
      <c r="G398" s="294">
        <v>1999</v>
      </c>
      <c r="H398" s="295" t="s">
        <v>45</v>
      </c>
      <c r="I398" s="294">
        <v>68300000</v>
      </c>
      <c r="P398" s="295" t="s">
        <v>576</v>
      </c>
      <c r="R398" s="500"/>
      <c r="S398" s="639" t="s">
        <v>1228</v>
      </c>
      <c r="T398" s="640"/>
      <c r="U398" s="640"/>
      <c r="V398" s="640"/>
      <c r="W398" s="640"/>
      <c r="X398" s="640"/>
      <c r="Y398" s="553" t="s">
        <v>353</v>
      </c>
      <c r="Z398" s="527">
        <f>IFERROR(INDEX(잔가map!$C$14:$AR$18,MATCH(차량DB!$Z$5,잔가map!$B$14:$B$18,0),MATCH(차량DB!Y398,잔가map!$C$13:$AR$13,0)),"")</f>
        <v>0.78</v>
      </c>
      <c r="AA398" s="527">
        <f>IFERROR(INDEX(잔가map!$C$14:$AR$18,MATCH(차량DB!$AA$5,잔가map!$B$14:$B$18,0),MATCH(차량DB!Y398,잔가map!$C$13:$AR$13,0)),"")</f>
        <v>0.70000000000000007</v>
      </c>
      <c r="AB398" s="527">
        <f>IFERROR(INDEX(잔가map!$C$14:$AR$18,MATCH(차량DB!$AB$5,잔가map!$B$14:$B$18,0),MATCH(차량DB!Y398,잔가map!$C$13:$AR$13,0)),"")</f>
        <v>0.61</v>
      </c>
      <c r="AC398" s="527">
        <f>IFERROR(INDEX(잔가map!$C$14:$AR$18,MATCH(차량DB!$AC$5,잔가map!$B$14:$B$18,0),MATCH(차량DB!Y398,잔가map!$C$13:$AR$13,0)),"")</f>
        <v>0.53</v>
      </c>
      <c r="AD398" s="527">
        <f>IFERROR(INDEX(잔가map!$C$14:$AR$18,MATCH(차량DB!$AD$5,잔가map!$B$14:$B$18,0),MATCH(차량DB!Y398,잔가map!$C$13:$AR$13,0)),"")</f>
        <v>0.47000000000000008</v>
      </c>
      <c r="AE398" s="643"/>
      <c r="AF398" s="644"/>
      <c r="AG398" s="644"/>
      <c r="AH398" s="644"/>
      <c r="AI398" s="644"/>
      <c r="AJ398" s="644"/>
      <c r="AK398" s="547"/>
      <c r="AL398" s="576"/>
    </row>
    <row r="399" spans="5:38" x14ac:dyDescent="0.3">
      <c r="E399" s="293" t="s">
        <v>559</v>
      </c>
      <c r="F399" s="605" t="s">
        <v>509</v>
      </c>
      <c r="G399" s="294">
        <v>1991</v>
      </c>
      <c r="H399" s="295" t="s">
        <v>45</v>
      </c>
      <c r="I399" s="294">
        <v>68300000</v>
      </c>
      <c r="P399" s="295" t="s">
        <v>576</v>
      </c>
      <c r="R399" s="500">
        <v>0</v>
      </c>
      <c r="S399" s="639" t="s">
        <v>1231</v>
      </c>
      <c r="T399" s="640"/>
      <c r="U399" s="640"/>
      <c r="V399" s="640"/>
      <c r="W399" s="640"/>
      <c r="X399" s="640"/>
      <c r="Y399" s="553" t="s">
        <v>353</v>
      </c>
      <c r="Z399" s="527">
        <f>IFERROR(INDEX(잔가map!$C$14:$AR$18,MATCH(차량DB!$Z$5,잔가map!$B$14:$B$18,0),MATCH(차량DB!Y399,잔가map!$C$13:$AR$13,0)),"")</f>
        <v>0.78</v>
      </c>
      <c r="AA399" s="527">
        <f>IFERROR(INDEX(잔가map!$C$14:$AR$18,MATCH(차량DB!$AA$5,잔가map!$B$14:$B$18,0),MATCH(차량DB!Y399,잔가map!$C$13:$AR$13,0)),"")</f>
        <v>0.70000000000000007</v>
      </c>
      <c r="AB399" s="527">
        <f>IFERROR(INDEX(잔가map!$C$14:$AR$18,MATCH(차량DB!$AB$5,잔가map!$B$14:$B$18,0),MATCH(차량DB!Y399,잔가map!$C$13:$AR$13,0)),"")</f>
        <v>0.61</v>
      </c>
      <c r="AC399" s="527">
        <f>IFERROR(INDEX(잔가map!$C$14:$AR$18,MATCH(차량DB!$AC$5,잔가map!$B$14:$B$18,0),MATCH(차량DB!Y399,잔가map!$C$13:$AR$13,0)),"")</f>
        <v>0.53</v>
      </c>
      <c r="AD399" s="527">
        <f>IFERROR(INDEX(잔가map!$C$14:$AR$18,MATCH(차량DB!$AD$5,잔가map!$B$14:$B$18,0),MATCH(차량DB!Y399,잔가map!$C$13:$AR$13,0)),"")</f>
        <v>0.47000000000000008</v>
      </c>
      <c r="AE399" s="643"/>
      <c r="AF399" s="644"/>
      <c r="AG399" s="644"/>
      <c r="AH399" s="644"/>
      <c r="AI399" s="644"/>
      <c r="AJ399" s="644"/>
      <c r="AK399" s="547"/>
      <c r="AL399" s="576"/>
    </row>
    <row r="400" spans="5:38" x14ac:dyDescent="0.3">
      <c r="E400" s="293" t="s">
        <v>559</v>
      </c>
      <c r="F400" s="605" t="s">
        <v>670</v>
      </c>
      <c r="G400" s="294">
        <v>1991</v>
      </c>
      <c r="H400" s="295" t="s">
        <v>45</v>
      </c>
      <c r="I400" s="294">
        <v>73800000</v>
      </c>
      <c r="P400" s="295" t="s">
        <v>576</v>
      </c>
      <c r="R400" s="500">
        <v>0</v>
      </c>
      <c r="S400" s="639" t="s">
        <v>1230</v>
      </c>
      <c r="T400" s="640"/>
      <c r="U400" s="640"/>
      <c r="V400" s="640"/>
      <c r="W400" s="640"/>
      <c r="X400" s="640"/>
      <c r="Y400" s="553" t="s">
        <v>353</v>
      </c>
      <c r="Z400" s="527">
        <f>IFERROR(INDEX(잔가map!$C$14:$AR$18,MATCH(차량DB!$Z$5,잔가map!$B$14:$B$18,0),MATCH(차량DB!Y400,잔가map!$C$13:$AR$13,0)),"")</f>
        <v>0.78</v>
      </c>
      <c r="AA400" s="527">
        <f>IFERROR(INDEX(잔가map!$C$14:$AR$18,MATCH(차량DB!$AA$5,잔가map!$B$14:$B$18,0),MATCH(차량DB!Y400,잔가map!$C$13:$AR$13,0)),"")</f>
        <v>0.70000000000000007</v>
      </c>
      <c r="AB400" s="527">
        <f>IFERROR(INDEX(잔가map!$C$14:$AR$18,MATCH(차량DB!$AB$5,잔가map!$B$14:$B$18,0),MATCH(차량DB!Y400,잔가map!$C$13:$AR$13,0)),"")</f>
        <v>0.61</v>
      </c>
      <c r="AC400" s="527">
        <f>IFERROR(INDEX(잔가map!$C$14:$AR$18,MATCH(차량DB!$AC$5,잔가map!$B$14:$B$18,0),MATCH(차량DB!Y400,잔가map!$C$13:$AR$13,0)),"")</f>
        <v>0.53</v>
      </c>
      <c r="AD400" s="527">
        <f>IFERROR(INDEX(잔가map!$C$14:$AR$18,MATCH(차량DB!$AD$5,잔가map!$B$14:$B$18,0),MATCH(차량DB!Y400,잔가map!$C$13:$AR$13,0)),"")</f>
        <v>0.47000000000000008</v>
      </c>
      <c r="AE400" s="643"/>
      <c r="AF400" s="644"/>
      <c r="AG400" s="644"/>
      <c r="AH400" s="644"/>
      <c r="AI400" s="644"/>
      <c r="AJ400" s="644"/>
      <c r="AK400" s="547"/>
      <c r="AL400" s="576"/>
    </row>
    <row r="401" spans="5:38" x14ac:dyDescent="0.3">
      <c r="E401" s="293" t="s">
        <v>559</v>
      </c>
      <c r="F401" s="605" t="s">
        <v>951</v>
      </c>
      <c r="G401" s="294">
        <v>2996</v>
      </c>
      <c r="H401" s="295" t="s">
        <v>45</v>
      </c>
      <c r="I401" s="294">
        <v>100900000</v>
      </c>
      <c r="P401" s="295" t="s">
        <v>576</v>
      </c>
      <c r="R401" s="500">
        <v>0</v>
      </c>
      <c r="S401" s="639"/>
      <c r="T401" s="640"/>
      <c r="U401" s="640"/>
      <c r="V401" s="640"/>
      <c r="W401" s="640"/>
      <c r="X401" s="640"/>
      <c r="Y401" s="553"/>
      <c r="Z401" s="527" t="str">
        <f>IFERROR(INDEX(잔가map!$C$14:$AR$18,MATCH(차량DB!$Z$5,잔가map!$B$14:$B$18,0),MATCH(차량DB!Y401,잔가map!$C$13:$AR$13,0)),"")</f>
        <v/>
      </c>
      <c r="AA401" s="527" t="str">
        <f>IFERROR(INDEX(잔가map!$C$14:$AR$18,MATCH(차량DB!$AA$5,잔가map!$B$14:$B$18,0),MATCH(차량DB!Y401,잔가map!$C$13:$AR$13,0)),"")</f>
        <v/>
      </c>
      <c r="AB401" s="527" t="str">
        <f>IFERROR(INDEX(잔가map!$C$14:$AR$18,MATCH(차량DB!$AB$5,잔가map!$B$14:$B$18,0),MATCH(차량DB!Y401,잔가map!$C$13:$AR$13,0)),"")</f>
        <v/>
      </c>
      <c r="AC401" s="527" t="str">
        <f>IFERROR(INDEX(잔가map!$C$14:$AR$18,MATCH(차량DB!$AC$5,잔가map!$B$14:$B$18,0),MATCH(차량DB!Y401,잔가map!$C$13:$AR$13,0)),"")</f>
        <v/>
      </c>
      <c r="AD401" s="527" t="str">
        <f>IFERROR(INDEX(잔가map!$C$14:$AR$18,MATCH(차량DB!$AD$5,잔가map!$B$14:$B$18,0),MATCH(차량DB!Y401,잔가map!$C$13:$AR$13,0)),"")</f>
        <v/>
      </c>
      <c r="AE401" s="643"/>
      <c r="AF401" s="644"/>
      <c r="AG401" s="644"/>
      <c r="AH401" s="644"/>
      <c r="AI401" s="644"/>
      <c r="AJ401" s="644"/>
      <c r="AK401" s="547"/>
      <c r="AL401" s="576"/>
    </row>
    <row r="402" spans="5:38" x14ac:dyDescent="0.3">
      <c r="E402" s="293" t="s">
        <v>321</v>
      </c>
      <c r="F402" s="605" t="s">
        <v>1126</v>
      </c>
      <c r="G402" s="294">
        <v>1999</v>
      </c>
      <c r="H402" s="295" t="s">
        <v>45</v>
      </c>
      <c r="I402" s="294">
        <v>61600000</v>
      </c>
      <c r="P402" s="295" t="s">
        <v>1123</v>
      </c>
      <c r="R402" s="500"/>
      <c r="S402" s="639" t="s">
        <v>1228</v>
      </c>
      <c r="T402" s="640"/>
      <c r="U402" s="640"/>
      <c r="V402" s="640"/>
      <c r="W402" s="640"/>
      <c r="X402" s="640"/>
      <c r="Y402" s="553"/>
      <c r="Z402" s="527" t="str">
        <f>IFERROR(INDEX(잔가map!$C$14:$AR$18,MATCH(차량DB!$Z$5,잔가map!$B$14:$B$18,0),MATCH(차량DB!Y402,잔가map!$C$13:$AR$13,0)),"")</f>
        <v/>
      </c>
      <c r="AA402" s="527" t="str">
        <f>IFERROR(INDEX(잔가map!$C$14:$AR$18,MATCH(차량DB!$AA$5,잔가map!$B$14:$B$18,0),MATCH(차량DB!Y402,잔가map!$C$13:$AR$13,0)),"")</f>
        <v/>
      </c>
      <c r="AB402" s="527" t="str">
        <f>IFERROR(INDEX(잔가map!$C$14:$AR$18,MATCH(차량DB!$AB$5,잔가map!$B$14:$B$18,0),MATCH(차량DB!Y402,잔가map!$C$13:$AR$13,0)),"")</f>
        <v/>
      </c>
      <c r="AC402" s="527" t="str">
        <f>IFERROR(INDEX(잔가map!$C$14:$AR$18,MATCH(차량DB!$AC$5,잔가map!$B$14:$B$18,0),MATCH(차량DB!Y402,잔가map!$C$13:$AR$13,0)),"")</f>
        <v/>
      </c>
      <c r="AD402" s="527" t="str">
        <f>IFERROR(INDEX(잔가map!$C$14:$AR$18,MATCH(차량DB!$AD$5,잔가map!$B$14:$B$18,0),MATCH(차량DB!Y402,잔가map!$C$13:$AR$13,0)),"")</f>
        <v/>
      </c>
      <c r="AE402" s="643"/>
      <c r="AF402" s="644"/>
      <c r="AG402" s="644"/>
      <c r="AH402" s="644"/>
      <c r="AI402" s="644"/>
      <c r="AJ402" s="644"/>
      <c r="AK402" s="547"/>
      <c r="AL402" s="576"/>
    </row>
    <row r="403" spans="5:38" x14ac:dyDescent="0.3">
      <c r="E403" s="293" t="s">
        <v>321</v>
      </c>
      <c r="F403" s="605" t="s">
        <v>1127</v>
      </c>
      <c r="G403" s="294">
        <v>1999</v>
      </c>
      <c r="H403" s="295" t="s">
        <v>45</v>
      </c>
      <c r="I403" s="294">
        <v>64600000</v>
      </c>
      <c r="P403" s="295" t="s">
        <v>1123</v>
      </c>
      <c r="R403" s="500"/>
      <c r="S403" s="639" t="s">
        <v>1232</v>
      </c>
      <c r="T403" s="640"/>
      <c r="U403" s="640"/>
      <c r="V403" s="640"/>
      <c r="W403" s="640"/>
      <c r="X403" s="640"/>
      <c r="Y403" s="553" t="s">
        <v>353</v>
      </c>
      <c r="Z403" s="527">
        <f>IFERROR(INDEX(잔가map!$C$14:$AR$18,MATCH(차량DB!$Z$5,잔가map!$B$14:$B$18,0),MATCH(차량DB!Y403,잔가map!$C$13:$AR$13,0)),"")</f>
        <v>0.78</v>
      </c>
      <c r="AA403" s="527">
        <f>IFERROR(INDEX(잔가map!$C$14:$AR$18,MATCH(차량DB!$AA$5,잔가map!$B$14:$B$18,0),MATCH(차량DB!Y403,잔가map!$C$13:$AR$13,0)),"")</f>
        <v>0.70000000000000007</v>
      </c>
      <c r="AB403" s="527">
        <f>IFERROR(INDEX(잔가map!$C$14:$AR$18,MATCH(차량DB!$AB$5,잔가map!$B$14:$B$18,0),MATCH(차량DB!Y403,잔가map!$C$13:$AR$13,0)),"")</f>
        <v>0.61</v>
      </c>
      <c r="AC403" s="527">
        <f>IFERROR(INDEX(잔가map!$C$14:$AR$18,MATCH(차량DB!$AC$5,잔가map!$B$14:$B$18,0),MATCH(차량DB!Y403,잔가map!$C$13:$AR$13,0)),"")</f>
        <v>0.53</v>
      </c>
      <c r="AD403" s="527">
        <f>IFERROR(INDEX(잔가map!$C$14:$AR$18,MATCH(차량DB!$AD$5,잔가map!$B$14:$B$18,0),MATCH(차량DB!Y403,잔가map!$C$13:$AR$13,0)),"")</f>
        <v>0.47000000000000008</v>
      </c>
      <c r="AE403" s="643"/>
      <c r="AF403" s="644"/>
      <c r="AG403" s="644"/>
      <c r="AH403" s="644"/>
      <c r="AI403" s="644"/>
      <c r="AJ403" s="644"/>
      <c r="AK403" s="547"/>
      <c r="AL403" s="576"/>
    </row>
    <row r="404" spans="5:38" x14ac:dyDescent="0.3">
      <c r="E404" s="293" t="s">
        <v>321</v>
      </c>
      <c r="F404" s="605" t="s">
        <v>1119</v>
      </c>
      <c r="G404" s="294">
        <v>1999</v>
      </c>
      <c r="H404" s="295" t="s">
        <v>45</v>
      </c>
      <c r="I404" s="294">
        <v>72500000</v>
      </c>
      <c r="P404" s="295" t="s">
        <v>1123</v>
      </c>
      <c r="R404" s="500"/>
      <c r="S404" s="639" t="s">
        <v>1243</v>
      </c>
      <c r="T404" s="640"/>
      <c r="U404" s="640"/>
      <c r="V404" s="640"/>
      <c r="W404" s="640"/>
      <c r="X404" s="640"/>
      <c r="Y404" s="553"/>
      <c r="Z404" s="527" t="str">
        <f>IFERROR(INDEX(잔가map!$C$14:$AR$18,MATCH(차량DB!$Z$5,잔가map!$B$14:$B$18,0),MATCH(차량DB!Y404,잔가map!$C$13:$AR$13,0)),"")</f>
        <v/>
      </c>
      <c r="AA404" s="527" t="str">
        <f>IFERROR(INDEX(잔가map!$C$14:$AR$18,MATCH(차량DB!$AA$5,잔가map!$B$14:$B$18,0),MATCH(차량DB!Y404,잔가map!$C$13:$AR$13,0)),"")</f>
        <v/>
      </c>
      <c r="AB404" s="527" t="str">
        <f>IFERROR(INDEX(잔가map!$C$14:$AR$18,MATCH(차량DB!$AB$5,잔가map!$B$14:$B$18,0),MATCH(차량DB!Y404,잔가map!$C$13:$AR$13,0)),"")</f>
        <v/>
      </c>
      <c r="AC404" s="527" t="str">
        <f>IFERROR(INDEX(잔가map!$C$14:$AR$18,MATCH(차량DB!$AC$5,잔가map!$B$14:$B$18,0),MATCH(차량DB!Y404,잔가map!$C$13:$AR$13,0)),"")</f>
        <v/>
      </c>
      <c r="AD404" s="527" t="str">
        <f>IFERROR(INDEX(잔가map!$C$14:$AR$18,MATCH(차량DB!$AD$5,잔가map!$B$14:$B$18,0),MATCH(차량DB!Y404,잔가map!$C$13:$AR$13,0)),"")</f>
        <v/>
      </c>
      <c r="AE404" s="643"/>
      <c r="AF404" s="644"/>
      <c r="AG404" s="644"/>
      <c r="AH404" s="644"/>
      <c r="AI404" s="644"/>
      <c r="AJ404" s="644"/>
      <c r="AK404" s="547"/>
      <c r="AL404" s="576"/>
    </row>
    <row r="405" spans="5:38" x14ac:dyDescent="0.3">
      <c r="E405" s="293" t="s">
        <v>321</v>
      </c>
      <c r="F405" s="605" t="s">
        <v>1120</v>
      </c>
      <c r="G405" s="294">
        <v>2999</v>
      </c>
      <c r="H405" s="295" t="s">
        <v>45</v>
      </c>
      <c r="I405" s="294">
        <v>94700000</v>
      </c>
      <c r="P405" s="295" t="s">
        <v>1124</v>
      </c>
      <c r="R405" s="500"/>
      <c r="S405" s="639" t="s">
        <v>1246</v>
      </c>
      <c r="T405" s="640"/>
      <c r="U405" s="640"/>
      <c r="V405" s="640"/>
      <c r="W405" s="640"/>
      <c r="X405" s="640"/>
      <c r="Y405" s="553"/>
      <c r="Z405" s="527" t="str">
        <f>IFERROR(INDEX(잔가map!$C$14:$AR$18,MATCH(차량DB!$Z$5,잔가map!$B$14:$B$18,0),MATCH(차량DB!Y405,잔가map!$C$13:$AR$13,0)),"")</f>
        <v/>
      </c>
      <c r="AA405" s="527" t="str">
        <f>IFERROR(INDEX(잔가map!$C$14:$AR$18,MATCH(차량DB!$AA$5,잔가map!$B$14:$B$18,0),MATCH(차량DB!Y405,잔가map!$C$13:$AR$13,0)),"")</f>
        <v/>
      </c>
      <c r="AB405" s="527" t="str">
        <f>IFERROR(INDEX(잔가map!$C$14:$AR$18,MATCH(차량DB!$AB$5,잔가map!$B$14:$B$18,0),MATCH(차량DB!Y405,잔가map!$C$13:$AR$13,0)),"")</f>
        <v/>
      </c>
      <c r="AC405" s="527" t="str">
        <f>IFERROR(INDEX(잔가map!$C$14:$AR$18,MATCH(차량DB!$AC$5,잔가map!$B$14:$B$18,0),MATCH(차량DB!Y405,잔가map!$C$13:$AR$13,0)),"")</f>
        <v/>
      </c>
      <c r="AD405" s="527" t="str">
        <f>IFERROR(INDEX(잔가map!$C$14:$AR$18,MATCH(차량DB!$AD$5,잔가map!$B$14:$B$18,0),MATCH(차량DB!Y405,잔가map!$C$13:$AR$13,0)),"")</f>
        <v/>
      </c>
      <c r="AE405" s="643"/>
      <c r="AF405" s="644"/>
      <c r="AG405" s="644"/>
      <c r="AH405" s="644"/>
      <c r="AI405" s="644"/>
      <c r="AJ405" s="644"/>
      <c r="AK405" s="547"/>
      <c r="AL405" s="576"/>
    </row>
    <row r="406" spans="5:38" x14ac:dyDescent="0.3">
      <c r="E406" s="293" t="s">
        <v>321</v>
      </c>
      <c r="F406" s="605" t="s">
        <v>1121</v>
      </c>
      <c r="G406" s="294">
        <v>1999</v>
      </c>
      <c r="H406" s="295" t="s">
        <v>45</v>
      </c>
      <c r="I406" s="294">
        <v>77800000</v>
      </c>
      <c r="P406" s="295" t="s">
        <v>1125</v>
      </c>
      <c r="R406" s="500"/>
      <c r="S406" s="639" t="s">
        <v>1243</v>
      </c>
      <c r="T406" s="640"/>
      <c r="U406" s="640"/>
      <c r="V406" s="640"/>
      <c r="W406" s="640"/>
      <c r="X406" s="640"/>
      <c r="Y406" s="553"/>
      <c r="Z406" s="527" t="str">
        <f>IFERROR(INDEX(잔가map!$C$14:$AR$18,MATCH(차량DB!$Z$5,잔가map!$B$14:$B$18,0),MATCH(차량DB!Y406,잔가map!$C$13:$AR$13,0)),"")</f>
        <v/>
      </c>
      <c r="AA406" s="527" t="str">
        <f>IFERROR(INDEX(잔가map!$C$14:$AR$18,MATCH(차량DB!$AA$5,잔가map!$B$14:$B$18,0),MATCH(차량DB!Y406,잔가map!$C$13:$AR$13,0)),"")</f>
        <v/>
      </c>
      <c r="AB406" s="527" t="str">
        <f>IFERROR(INDEX(잔가map!$C$14:$AR$18,MATCH(차량DB!$AB$5,잔가map!$B$14:$B$18,0),MATCH(차량DB!Y406,잔가map!$C$13:$AR$13,0)),"")</f>
        <v/>
      </c>
      <c r="AC406" s="527" t="str">
        <f>IFERROR(INDEX(잔가map!$C$14:$AR$18,MATCH(차량DB!$AC$5,잔가map!$B$14:$B$18,0),MATCH(차량DB!Y406,잔가map!$C$13:$AR$13,0)),"")</f>
        <v/>
      </c>
      <c r="AD406" s="527" t="str">
        <f>IFERROR(INDEX(잔가map!$C$14:$AR$18,MATCH(차량DB!$AD$5,잔가map!$B$14:$B$18,0),MATCH(차량DB!Y406,잔가map!$C$13:$AR$13,0)),"")</f>
        <v/>
      </c>
      <c r="AE406" s="643"/>
      <c r="AF406" s="644"/>
      <c r="AG406" s="644"/>
      <c r="AH406" s="644"/>
      <c r="AI406" s="644"/>
      <c r="AJ406" s="644"/>
      <c r="AK406" s="547"/>
      <c r="AL406" s="576"/>
    </row>
    <row r="407" spans="5:38" x14ac:dyDescent="0.3">
      <c r="E407" s="293" t="s">
        <v>321</v>
      </c>
      <c r="F407" s="605" t="s">
        <v>1122</v>
      </c>
      <c r="G407" s="294">
        <v>2999</v>
      </c>
      <c r="H407" s="295" t="s">
        <v>45</v>
      </c>
      <c r="I407" s="294">
        <v>99400000</v>
      </c>
      <c r="P407" s="295" t="s">
        <v>1123</v>
      </c>
      <c r="R407" s="500"/>
      <c r="S407" s="639" t="s">
        <v>1296</v>
      </c>
      <c r="T407" s="640"/>
      <c r="U407" s="640"/>
      <c r="V407" s="640"/>
      <c r="W407" s="640"/>
      <c r="X407" s="640"/>
      <c r="Y407" s="553"/>
      <c r="Z407" s="527" t="str">
        <f>IFERROR(INDEX(잔가map!$C$14:$AR$18,MATCH(차량DB!$Z$5,잔가map!$B$14:$B$18,0),MATCH(차량DB!Y407,잔가map!$C$13:$AR$13,0)),"")</f>
        <v/>
      </c>
      <c r="AA407" s="527" t="str">
        <f>IFERROR(INDEX(잔가map!$C$14:$AR$18,MATCH(차량DB!$AA$5,잔가map!$B$14:$B$18,0),MATCH(차량DB!Y407,잔가map!$C$13:$AR$13,0)),"")</f>
        <v/>
      </c>
      <c r="AB407" s="527" t="str">
        <f>IFERROR(INDEX(잔가map!$C$14:$AR$18,MATCH(차량DB!$AB$5,잔가map!$B$14:$B$18,0),MATCH(차량DB!Y407,잔가map!$C$13:$AR$13,0)),"")</f>
        <v/>
      </c>
      <c r="AC407" s="527" t="str">
        <f>IFERROR(INDEX(잔가map!$C$14:$AR$18,MATCH(차량DB!$AC$5,잔가map!$B$14:$B$18,0),MATCH(차량DB!Y407,잔가map!$C$13:$AR$13,0)),"")</f>
        <v/>
      </c>
      <c r="AD407" s="527" t="str">
        <f>IFERROR(INDEX(잔가map!$C$14:$AR$18,MATCH(차량DB!$AD$5,잔가map!$B$14:$B$18,0),MATCH(차량DB!Y407,잔가map!$C$13:$AR$13,0)),"")</f>
        <v/>
      </c>
      <c r="AE407" s="643"/>
      <c r="AF407" s="644"/>
      <c r="AG407" s="644"/>
      <c r="AH407" s="644"/>
      <c r="AI407" s="644"/>
      <c r="AJ407" s="644"/>
      <c r="AK407" s="547"/>
      <c r="AL407" s="576"/>
    </row>
    <row r="408" spans="5:38" x14ac:dyDescent="0.3">
      <c r="E408" s="293" t="s">
        <v>559</v>
      </c>
      <c r="F408" s="604" t="s">
        <v>954</v>
      </c>
      <c r="G408" s="294">
        <v>1993</v>
      </c>
      <c r="H408" s="295" t="s">
        <v>45</v>
      </c>
      <c r="I408" s="294">
        <v>82300000</v>
      </c>
      <c r="P408" s="295" t="s">
        <v>576</v>
      </c>
      <c r="R408" s="500">
        <v>0</v>
      </c>
      <c r="S408" s="639" t="s">
        <v>1200</v>
      </c>
      <c r="T408" s="640">
        <f>INDEX(잔가map!$C$3:$AB$7,MATCH(차량DB!$T$5,잔가map!$B$3:$B$7,0),MATCH(차량DB!S408,잔가map!$C$2:$AB$2,0))</f>
        <v>0.80999999999999994</v>
      </c>
      <c r="U408" s="640">
        <f>INDEX(잔가map!$C$3:$AB$7,MATCH(차량DB!$U$5,잔가map!$B$3:$B$7,0),MATCH(차량DB!S408,잔가map!$C$2:$AB$2,0))</f>
        <v>0.73</v>
      </c>
      <c r="V408" s="640">
        <f>INDEX(잔가map!$C$3:$AB$7,MATCH(차량DB!$V$5,잔가map!$B$3:$B$7,0),MATCH(차량DB!S408,잔가map!$C$2:$AB$2,0))</f>
        <v>0.64</v>
      </c>
      <c r="W408" s="640">
        <f>INDEX(잔가map!$C$3:$AB$7,MATCH(차량DB!$W$5,잔가map!$B$3:$B$7,0),MATCH(차량DB!S408,잔가map!$C$2:$AB$2,0))</f>
        <v>0.55999999999999994</v>
      </c>
      <c r="X408" s="640">
        <f>INDEX(잔가map!$C$3:$AB$7,MATCH(차량DB!$X$5,잔가map!$B$3:$B$7,0),MATCH(차량DB!S408,잔가map!$C$2:$AB$2,0))</f>
        <v>0.5</v>
      </c>
      <c r="Y408" s="553" t="s">
        <v>1331</v>
      </c>
      <c r="Z408" s="527">
        <f>IFERROR(INDEX(잔가map!$C$14:$AR$18,MATCH(차량DB!$Z$5,잔가map!$B$14:$B$18,0),MATCH(차량DB!Y408,잔가map!$C$13:$AR$13,0)),"")</f>
        <v>0.80500000000000005</v>
      </c>
      <c r="AA408" s="527">
        <f>IFERROR(INDEX(잔가map!$C$14:$AR$18,MATCH(차량DB!$AA$5,잔가map!$B$14:$B$18,0),MATCH(차량DB!Y408,잔가map!$C$13:$AR$13,0)),"")</f>
        <v>0.72499999999999998</v>
      </c>
      <c r="AB408" s="527">
        <f>IFERROR(INDEX(잔가map!$C$14:$AR$18,MATCH(차량DB!$AB$5,잔가map!$B$14:$B$18,0),MATCH(차량DB!Y408,잔가map!$C$13:$AR$13,0)),"")</f>
        <v>0.63500000000000001</v>
      </c>
      <c r="AC408" s="527">
        <f>IFERROR(INDEX(잔가map!$C$14:$AR$18,MATCH(차량DB!$AC$5,잔가map!$B$14:$B$18,0),MATCH(차량DB!Y408,잔가map!$C$13:$AR$13,0)),"")</f>
        <v>0.55500000000000005</v>
      </c>
      <c r="AD408" s="527">
        <f>IFERROR(INDEX(잔가map!$C$14:$AR$18,MATCH(차량DB!$AD$5,잔가map!$B$14:$B$18,0),MATCH(차량DB!Y408,잔가map!$C$13:$AR$13,0)),"")</f>
        <v>0.495</v>
      </c>
      <c r="AE408" s="643"/>
      <c r="AF408" s="644"/>
      <c r="AG408" s="644"/>
      <c r="AH408" s="644"/>
      <c r="AI408" s="644"/>
      <c r="AJ408" s="644"/>
      <c r="AK408" s="547"/>
      <c r="AL408" s="576"/>
    </row>
    <row r="409" spans="5:38" x14ac:dyDescent="0.3">
      <c r="E409" s="293" t="s">
        <v>559</v>
      </c>
      <c r="F409" s="604" t="s">
        <v>953</v>
      </c>
      <c r="G409" s="294">
        <v>1993</v>
      </c>
      <c r="H409" s="295" t="s">
        <v>45</v>
      </c>
      <c r="I409" s="294">
        <v>86400000</v>
      </c>
      <c r="P409" s="295" t="s">
        <v>576</v>
      </c>
      <c r="R409" s="500">
        <v>0</v>
      </c>
      <c r="S409" s="639" t="s">
        <v>1201</v>
      </c>
      <c r="T409" s="640">
        <f>INDEX(잔가map!$C$3:$AB$7,MATCH(차량DB!$T$5,잔가map!$B$3:$B$7,0),MATCH(차량DB!S409,잔가map!$C$2:$AB$2,0))</f>
        <v>0.80999999999999994</v>
      </c>
      <c r="U409" s="640">
        <f>INDEX(잔가map!$C$3:$AB$7,MATCH(차량DB!$U$5,잔가map!$B$3:$B$7,0),MATCH(차량DB!S409,잔가map!$C$2:$AB$2,0))</f>
        <v>0.73</v>
      </c>
      <c r="V409" s="640">
        <f>INDEX(잔가map!$C$3:$AB$7,MATCH(차량DB!$V$5,잔가map!$B$3:$B$7,0),MATCH(차량DB!S409,잔가map!$C$2:$AB$2,0))</f>
        <v>0.64</v>
      </c>
      <c r="W409" s="640">
        <f>INDEX(잔가map!$C$3:$AB$7,MATCH(차량DB!$W$5,잔가map!$B$3:$B$7,0),MATCH(차량DB!S409,잔가map!$C$2:$AB$2,0))</f>
        <v>0.55999999999999994</v>
      </c>
      <c r="X409" s="640">
        <f>INDEX(잔가map!$C$3:$AB$7,MATCH(차량DB!$X$5,잔가map!$B$3:$B$7,0),MATCH(차량DB!S409,잔가map!$C$2:$AB$2,0))</f>
        <v>0.5</v>
      </c>
      <c r="Y409" s="553" t="s">
        <v>1331</v>
      </c>
      <c r="Z409" s="527">
        <f>IFERROR(INDEX(잔가map!$C$14:$AR$18,MATCH(차량DB!$Z$5,잔가map!$B$14:$B$18,0),MATCH(차량DB!Y409,잔가map!$C$13:$AR$13,0)),"")</f>
        <v>0.80500000000000005</v>
      </c>
      <c r="AA409" s="527">
        <f>IFERROR(INDEX(잔가map!$C$14:$AR$18,MATCH(차량DB!$AA$5,잔가map!$B$14:$B$18,0),MATCH(차량DB!Y409,잔가map!$C$13:$AR$13,0)),"")</f>
        <v>0.72499999999999998</v>
      </c>
      <c r="AB409" s="527">
        <f>IFERROR(INDEX(잔가map!$C$14:$AR$18,MATCH(차량DB!$AB$5,잔가map!$B$14:$B$18,0),MATCH(차량DB!Y409,잔가map!$C$13:$AR$13,0)),"")</f>
        <v>0.63500000000000001</v>
      </c>
      <c r="AC409" s="527">
        <f>IFERROR(INDEX(잔가map!$C$14:$AR$18,MATCH(차량DB!$AC$5,잔가map!$B$14:$B$18,0),MATCH(차량DB!Y409,잔가map!$C$13:$AR$13,0)),"")</f>
        <v>0.55500000000000005</v>
      </c>
      <c r="AD409" s="527">
        <f>IFERROR(INDEX(잔가map!$C$14:$AR$18,MATCH(차량DB!$AD$5,잔가map!$B$14:$B$18,0),MATCH(차량DB!Y409,잔가map!$C$13:$AR$13,0)),"")</f>
        <v>0.495</v>
      </c>
      <c r="AE409" s="643"/>
      <c r="AF409" s="644"/>
      <c r="AG409" s="644"/>
      <c r="AH409" s="644"/>
      <c r="AI409" s="644"/>
      <c r="AJ409" s="644"/>
      <c r="AK409" s="547"/>
      <c r="AL409" s="576"/>
    </row>
    <row r="410" spans="5:38" ht="14.25" customHeight="1" x14ac:dyDescent="0.3">
      <c r="E410" s="293" t="s">
        <v>559</v>
      </c>
      <c r="F410" s="604" t="s">
        <v>1129</v>
      </c>
      <c r="G410" s="294">
        <v>1999</v>
      </c>
      <c r="H410" s="295" t="s">
        <v>45</v>
      </c>
      <c r="I410" s="294">
        <v>69000000</v>
      </c>
      <c r="P410" s="295" t="s">
        <v>576</v>
      </c>
      <c r="R410" s="500">
        <v>0</v>
      </c>
      <c r="S410" s="639" t="s">
        <v>1201</v>
      </c>
      <c r="T410" s="640">
        <f>INDEX(잔가map!$C$3:$AB$7,MATCH(차량DB!$T$5,잔가map!$B$3:$B$7,0),MATCH(차량DB!S410,잔가map!$C$2:$AB$2,0))</f>
        <v>0.80999999999999994</v>
      </c>
      <c r="U410" s="640">
        <f>INDEX(잔가map!$C$3:$AB$7,MATCH(차량DB!$U$5,잔가map!$B$3:$B$7,0),MATCH(차량DB!S410,잔가map!$C$2:$AB$2,0))</f>
        <v>0.73</v>
      </c>
      <c r="V410" s="640">
        <f>INDEX(잔가map!$C$3:$AB$7,MATCH(차량DB!$V$5,잔가map!$B$3:$B$7,0),MATCH(차량DB!S410,잔가map!$C$2:$AB$2,0))</f>
        <v>0.64</v>
      </c>
      <c r="W410" s="640">
        <f>INDEX(잔가map!$C$3:$AB$7,MATCH(차량DB!$W$5,잔가map!$B$3:$B$7,0),MATCH(차량DB!S410,잔가map!$C$2:$AB$2,0))</f>
        <v>0.55999999999999994</v>
      </c>
      <c r="X410" s="640">
        <f>INDEX(잔가map!$C$3:$AB$7,MATCH(차량DB!$X$5,잔가map!$B$3:$B$7,0),MATCH(차량DB!S410,잔가map!$C$2:$AB$2,0))</f>
        <v>0.5</v>
      </c>
      <c r="Y410" s="553" t="s">
        <v>1331</v>
      </c>
      <c r="Z410" s="527">
        <f>IFERROR(INDEX(잔가map!$C$14:$AR$18,MATCH(차량DB!$Z$5,잔가map!$B$14:$B$18,0),MATCH(차량DB!Y410,잔가map!$C$13:$AR$13,0)),"")</f>
        <v>0.80500000000000005</v>
      </c>
      <c r="AA410" s="527">
        <f>IFERROR(INDEX(잔가map!$C$14:$AR$18,MATCH(차량DB!$AA$5,잔가map!$B$14:$B$18,0),MATCH(차량DB!Y410,잔가map!$C$13:$AR$13,0)),"")</f>
        <v>0.72499999999999998</v>
      </c>
      <c r="AB410" s="527">
        <f>IFERROR(INDEX(잔가map!$C$14:$AR$18,MATCH(차량DB!$AB$5,잔가map!$B$14:$B$18,0),MATCH(차량DB!Y410,잔가map!$C$13:$AR$13,0)),"")</f>
        <v>0.63500000000000001</v>
      </c>
      <c r="AC410" s="527">
        <f>IFERROR(INDEX(잔가map!$C$14:$AR$18,MATCH(차량DB!$AC$5,잔가map!$B$14:$B$18,0),MATCH(차량DB!Y410,잔가map!$C$13:$AR$13,0)),"")</f>
        <v>0.55500000000000005</v>
      </c>
      <c r="AD410" s="527">
        <f>IFERROR(INDEX(잔가map!$C$14:$AR$18,MATCH(차량DB!$AD$5,잔가map!$B$14:$B$18,0),MATCH(차량DB!Y410,잔가map!$C$13:$AR$13,0)),"")</f>
        <v>0.495</v>
      </c>
      <c r="AE410" s="643"/>
      <c r="AF410" s="644"/>
      <c r="AG410" s="644"/>
      <c r="AH410" s="644"/>
      <c r="AI410" s="644"/>
      <c r="AJ410" s="644"/>
      <c r="AK410" s="574"/>
      <c r="AL410" s="576"/>
    </row>
    <row r="411" spans="5:38" ht="14.25" customHeight="1" x14ac:dyDescent="0.3">
      <c r="E411" s="293" t="s">
        <v>321</v>
      </c>
      <c r="F411" s="604" t="s">
        <v>1130</v>
      </c>
      <c r="G411" s="294">
        <v>1999</v>
      </c>
      <c r="H411" s="295" t="s">
        <v>45</v>
      </c>
      <c r="I411" s="294">
        <v>73800000</v>
      </c>
      <c r="P411" s="295" t="s">
        <v>1124</v>
      </c>
      <c r="R411" s="500"/>
      <c r="S411" s="639" t="s">
        <v>1200</v>
      </c>
      <c r="T411" s="640">
        <f>INDEX(잔가map!$C$3:$AB$7,MATCH(차량DB!$T$5,잔가map!$B$3:$B$7,0),MATCH(차량DB!S411,잔가map!$C$2:$AB$2,0))</f>
        <v>0.80999999999999994</v>
      </c>
      <c r="U411" s="640">
        <f>INDEX(잔가map!$C$3:$AB$7,MATCH(차량DB!$U$5,잔가map!$B$3:$B$7,0),MATCH(차량DB!S411,잔가map!$C$2:$AB$2,0))</f>
        <v>0.73</v>
      </c>
      <c r="V411" s="640">
        <f>INDEX(잔가map!$C$3:$AB$7,MATCH(차량DB!$V$5,잔가map!$B$3:$B$7,0),MATCH(차량DB!S411,잔가map!$C$2:$AB$2,0))</f>
        <v>0.64</v>
      </c>
      <c r="W411" s="640">
        <f>INDEX(잔가map!$C$3:$AB$7,MATCH(차량DB!$W$5,잔가map!$B$3:$B$7,0),MATCH(차량DB!S411,잔가map!$C$2:$AB$2,0))</f>
        <v>0.55999999999999994</v>
      </c>
      <c r="X411" s="640">
        <f>INDEX(잔가map!$C$3:$AB$7,MATCH(차량DB!$X$5,잔가map!$B$3:$B$7,0),MATCH(차량DB!S411,잔가map!$C$2:$AB$2,0))</f>
        <v>0.5</v>
      </c>
      <c r="Y411" s="553" t="s">
        <v>1331</v>
      </c>
      <c r="Z411" s="527">
        <f>IFERROR(INDEX(잔가map!$C$14:$AR$18,MATCH(차량DB!$Z$5,잔가map!$B$14:$B$18,0),MATCH(차량DB!Y411,잔가map!$C$13:$AR$13,0)),"")</f>
        <v>0.80500000000000005</v>
      </c>
      <c r="AA411" s="527">
        <f>IFERROR(INDEX(잔가map!$C$14:$AR$18,MATCH(차량DB!$AA$5,잔가map!$B$14:$B$18,0),MATCH(차량DB!Y411,잔가map!$C$13:$AR$13,0)),"")</f>
        <v>0.72499999999999998</v>
      </c>
      <c r="AB411" s="527">
        <f>IFERROR(INDEX(잔가map!$C$14:$AR$18,MATCH(차량DB!$AB$5,잔가map!$B$14:$B$18,0),MATCH(차량DB!Y411,잔가map!$C$13:$AR$13,0)),"")</f>
        <v>0.63500000000000001</v>
      </c>
      <c r="AC411" s="527">
        <f>IFERROR(INDEX(잔가map!$C$14:$AR$18,MATCH(차량DB!$AC$5,잔가map!$B$14:$B$18,0),MATCH(차량DB!Y411,잔가map!$C$13:$AR$13,0)),"")</f>
        <v>0.55500000000000005</v>
      </c>
      <c r="AD411" s="527">
        <f>IFERROR(INDEX(잔가map!$C$14:$AR$18,MATCH(차량DB!$AD$5,잔가map!$B$14:$B$18,0),MATCH(차량DB!Y411,잔가map!$C$13:$AR$13,0)),"")</f>
        <v>0.495</v>
      </c>
      <c r="AE411" s="643"/>
      <c r="AF411" s="644"/>
      <c r="AG411" s="644"/>
      <c r="AH411" s="644"/>
      <c r="AI411" s="644"/>
      <c r="AJ411" s="644"/>
      <c r="AK411" s="574"/>
      <c r="AL411" s="576"/>
    </row>
    <row r="412" spans="5:38" ht="14.25" customHeight="1" x14ac:dyDescent="0.3">
      <c r="E412" s="293" t="s">
        <v>321</v>
      </c>
      <c r="F412" s="604" t="s">
        <v>1132</v>
      </c>
      <c r="G412" s="294">
        <v>1999</v>
      </c>
      <c r="H412" s="295" t="s">
        <v>45</v>
      </c>
      <c r="I412" s="294">
        <v>89900000</v>
      </c>
      <c r="P412" s="295" t="s">
        <v>1131</v>
      </c>
      <c r="R412" s="500"/>
      <c r="S412" s="639" t="s">
        <v>1200</v>
      </c>
      <c r="T412" s="640">
        <f>INDEX(잔가map!$C$3:$AB$7,MATCH(차량DB!$T$5,잔가map!$B$3:$B$7,0),MATCH(차량DB!S412,잔가map!$C$2:$AB$2,0))</f>
        <v>0.80999999999999994</v>
      </c>
      <c r="U412" s="640">
        <f>INDEX(잔가map!$C$3:$AB$7,MATCH(차량DB!$U$5,잔가map!$B$3:$B$7,0),MATCH(차량DB!S412,잔가map!$C$2:$AB$2,0))</f>
        <v>0.73</v>
      </c>
      <c r="V412" s="640">
        <f>INDEX(잔가map!$C$3:$AB$7,MATCH(차량DB!$V$5,잔가map!$B$3:$B$7,0),MATCH(차량DB!S412,잔가map!$C$2:$AB$2,0))</f>
        <v>0.64</v>
      </c>
      <c r="W412" s="640">
        <f>INDEX(잔가map!$C$3:$AB$7,MATCH(차량DB!$W$5,잔가map!$B$3:$B$7,0),MATCH(차량DB!S412,잔가map!$C$2:$AB$2,0))</f>
        <v>0.55999999999999994</v>
      </c>
      <c r="X412" s="640">
        <f>INDEX(잔가map!$C$3:$AB$7,MATCH(차량DB!$X$5,잔가map!$B$3:$B$7,0),MATCH(차량DB!S412,잔가map!$C$2:$AB$2,0))</f>
        <v>0.5</v>
      </c>
      <c r="Y412" s="553" t="s">
        <v>1331</v>
      </c>
      <c r="Z412" s="527">
        <f>IFERROR(INDEX(잔가map!$C$14:$AR$18,MATCH(차량DB!$Z$5,잔가map!$B$14:$B$18,0),MATCH(차량DB!Y412,잔가map!$C$13:$AR$13,0)),"")</f>
        <v>0.80500000000000005</v>
      </c>
      <c r="AA412" s="527">
        <f>IFERROR(INDEX(잔가map!$C$14:$AR$18,MATCH(차량DB!$AA$5,잔가map!$B$14:$B$18,0),MATCH(차량DB!Y412,잔가map!$C$13:$AR$13,0)),"")</f>
        <v>0.72499999999999998</v>
      </c>
      <c r="AB412" s="527">
        <f>IFERROR(INDEX(잔가map!$C$14:$AR$18,MATCH(차량DB!$AB$5,잔가map!$B$14:$B$18,0),MATCH(차량DB!Y412,잔가map!$C$13:$AR$13,0)),"")</f>
        <v>0.63500000000000001</v>
      </c>
      <c r="AC412" s="527">
        <f>IFERROR(INDEX(잔가map!$C$14:$AR$18,MATCH(차량DB!$AC$5,잔가map!$B$14:$B$18,0),MATCH(차량DB!Y412,잔가map!$C$13:$AR$13,0)),"")</f>
        <v>0.55500000000000005</v>
      </c>
      <c r="AD412" s="527">
        <f>IFERROR(INDEX(잔가map!$C$14:$AR$18,MATCH(차량DB!$AD$5,잔가map!$B$14:$B$18,0),MATCH(차량DB!Y412,잔가map!$C$13:$AR$13,0)),"")</f>
        <v>0.495</v>
      </c>
      <c r="AE412" s="643"/>
      <c r="AF412" s="644"/>
      <c r="AG412" s="644"/>
      <c r="AH412" s="644"/>
      <c r="AI412" s="644"/>
      <c r="AJ412" s="644"/>
      <c r="AK412" s="574"/>
      <c r="AL412" s="576"/>
    </row>
    <row r="413" spans="5:38" ht="14.25" customHeight="1" x14ac:dyDescent="0.3">
      <c r="E413" s="293" t="s">
        <v>321</v>
      </c>
      <c r="F413" s="604" t="s">
        <v>1133</v>
      </c>
      <c r="G413" s="294">
        <v>1999</v>
      </c>
      <c r="H413" s="295" t="s">
        <v>45</v>
      </c>
      <c r="I413" s="294">
        <v>93800000</v>
      </c>
      <c r="P413" s="295" t="s">
        <v>1123</v>
      </c>
      <c r="R413" s="500"/>
      <c r="S413" s="639" t="s">
        <v>1201</v>
      </c>
      <c r="T413" s="640">
        <f>INDEX(잔가map!$C$3:$AB$7,MATCH(차량DB!$T$5,잔가map!$B$3:$B$7,0),MATCH(차량DB!S413,잔가map!$C$2:$AB$2,0))</f>
        <v>0.80999999999999994</v>
      </c>
      <c r="U413" s="640">
        <f>INDEX(잔가map!$C$3:$AB$7,MATCH(차량DB!$U$5,잔가map!$B$3:$B$7,0),MATCH(차량DB!S413,잔가map!$C$2:$AB$2,0))</f>
        <v>0.73</v>
      </c>
      <c r="V413" s="640">
        <f>INDEX(잔가map!$C$3:$AB$7,MATCH(차량DB!$V$5,잔가map!$B$3:$B$7,0),MATCH(차량DB!S413,잔가map!$C$2:$AB$2,0))</f>
        <v>0.64</v>
      </c>
      <c r="W413" s="640">
        <f>INDEX(잔가map!$C$3:$AB$7,MATCH(차량DB!$W$5,잔가map!$B$3:$B$7,0),MATCH(차량DB!S413,잔가map!$C$2:$AB$2,0))</f>
        <v>0.55999999999999994</v>
      </c>
      <c r="X413" s="640">
        <f>INDEX(잔가map!$C$3:$AB$7,MATCH(차량DB!$X$5,잔가map!$B$3:$B$7,0),MATCH(차량DB!S413,잔가map!$C$2:$AB$2,0))</f>
        <v>0.5</v>
      </c>
      <c r="Y413" s="553" t="s">
        <v>1331</v>
      </c>
      <c r="Z413" s="527">
        <f>IFERROR(INDEX(잔가map!$C$14:$AR$18,MATCH(차량DB!$Z$5,잔가map!$B$14:$B$18,0),MATCH(차량DB!Y413,잔가map!$C$13:$AR$13,0)),"")</f>
        <v>0.80500000000000005</v>
      </c>
      <c r="AA413" s="527">
        <f>IFERROR(INDEX(잔가map!$C$14:$AR$18,MATCH(차량DB!$AA$5,잔가map!$B$14:$B$18,0),MATCH(차량DB!Y413,잔가map!$C$13:$AR$13,0)),"")</f>
        <v>0.72499999999999998</v>
      </c>
      <c r="AB413" s="527">
        <f>IFERROR(INDEX(잔가map!$C$14:$AR$18,MATCH(차량DB!$AB$5,잔가map!$B$14:$B$18,0),MATCH(차량DB!Y413,잔가map!$C$13:$AR$13,0)),"")</f>
        <v>0.63500000000000001</v>
      </c>
      <c r="AC413" s="527">
        <f>IFERROR(INDEX(잔가map!$C$14:$AR$18,MATCH(차량DB!$AC$5,잔가map!$B$14:$B$18,0),MATCH(차량DB!Y413,잔가map!$C$13:$AR$13,0)),"")</f>
        <v>0.55500000000000005</v>
      </c>
      <c r="AD413" s="527">
        <f>IFERROR(INDEX(잔가map!$C$14:$AR$18,MATCH(차량DB!$AD$5,잔가map!$B$14:$B$18,0),MATCH(차량DB!Y413,잔가map!$C$13:$AR$13,0)),"")</f>
        <v>0.495</v>
      </c>
      <c r="AE413" s="643"/>
      <c r="AF413" s="644"/>
      <c r="AG413" s="644"/>
      <c r="AH413" s="644"/>
      <c r="AI413" s="644"/>
      <c r="AJ413" s="644"/>
      <c r="AK413" s="574"/>
      <c r="AL413" s="576"/>
    </row>
    <row r="414" spans="5:38" x14ac:dyDescent="0.3">
      <c r="E414" s="293" t="s">
        <v>559</v>
      </c>
      <c r="F414" s="605" t="s">
        <v>1128</v>
      </c>
      <c r="G414" s="294">
        <v>1991</v>
      </c>
      <c r="H414" s="295" t="s">
        <v>45</v>
      </c>
      <c r="I414" s="294">
        <v>91300000</v>
      </c>
      <c r="P414" s="295" t="s">
        <v>576</v>
      </c>
      <c r="R414" s="500">
        <v>0</v>
      </c>
      <c r="S414" s="639" t="s">
        <v>1202</v>
      </c>
      <c r="T414" s="640">
        <f>INDEX(잔가map!$C$3:$AB$7,MATCH(차량DB!$T$5,잔가map!$B$3:$B$7,0),MATCH(차량DB!S414,잔가map!$C$2:$AB$2,0))</f>
        <v>0.80999999999999994</v>
      </c>
      <c r="U414" s="640">
        <f>INDEX(잔가map!$C$3:$AB$7,MATCH(차량DB!$U$5,잔가map!$B$3:$B$7,0),MATCH(차량DB!S414,잔가map!$C$2:$AB$2,0))</f>
        <v>0.73</v>
      </c>
      <c r="V414" s="640">
        <f>INDEX(잔가map!$C$3:$AB$7,MATCH(차량DB!$V$5,잔가map!$B$3:$B$7,0),MATCH(차량DB!S414,잔가map!$C$2:$AB$2,0))</f>
        <v>0.64</v>
      </c>
      <c r="W414" s="640">
        <f>INDEX(잔가map!$C$3:$AB$7,MATCH(차량DB!$W$5,잔가map!$B$3:$B$7,0),MATCH(차량DB!S414,잔가map!$C$2:$AB$2,0))</f>
        <v>0.55999999999999994</v>
      </c>
      <c r="X414" s="640">
        <f>INDEX(잔가map!$C$3:$AB$7,MATCH(차량DB!$X$5,잔가map!$B$3:$B$7,0),MATCH(차량DB!S414,잔가map!$C$2:$AB$2,0))</f>
        <v>0.5</v>
      </c>
      <c r="Y414" s="553" t="s">
        <v>1331</v>
      </c>
      <c r="Z414" s="527">
        <f>IFERROR(INDEX(잔가map!$C$14:$AR$18,MATCH(차량DB!$Z$5,잔가map!$B$14:$B$18,0),MATCH(차량DB!Y414,잔가map!$C$13:$AR$13,0)),"")</f>
        <v>0.80500000000000005</v>
      </c>
      <c r="AA414" s="527">
        <f>IFERROR(INDEX(잔가map!$C$14:$AR$18,MATCH(차량DB!$AA$5,잔가map!$B$14:$B$18,0),MATCH(차량DB!Y414,잔가map!$C$13:$AR$13,0)),"")</f>
        <v>0.72499999999999998</v>
      </c>
      <c r="AB414" s="527">
        <f>IFERROR(INDEX(잔가map!$C$14:$AR$18,MATCH(차량DB!$AB$5,잔가map!$B$14:$B$18,0),MATCH(차량DB!Y414,잔가map!$C$13:$AR$13,0)),"")</f>
        <v>0.63500000000000001</v>
      </c>
      <c r="AC414" s="527">
        <f>IFERROR(INDEX(잔가map!$C$14:$AR$18,MATCH(차량DB!$AC$5,잔가map!$B$14:$B$18,0),MATCH(차량DB!Y414,잔가map!$C$13:$AR$13,0)),"")</f>
        <v>0.55500000000000005</v>
      </c>
      <c r="AD414" s="527">
        <f>IFERROR(INDEX(잔가map!$C$14:$AR$18,MATCH(차량DB!$AD$5,잔가map!$B$14:$B$18,0),MATCH(차량DB!Y414,잔가map!$C$13:$AR$13,0)),"")</f>
        <v>0.495</v>
      </c>
      <c r="AE414" s="643"/>
      <c r="AF414" s="644"/>
      <c r="AG414" s="644"/>
      <c r="AH414" s="644"/>
      <c r="AI414" s="644"/>
      <c r="AJ414" s="644"/>
      <c r="AK414" s="547"/>
      <c r="AL414" s="576"/>
    </row>
    <row r="415" spans="5:38" x14ac:dyDescent="0.3">
      <c r="E415" s="293" t="s">
        <v>321</v>
      </c>
      <c r="F415" s="605" t="s">
        <v>1134</v>
      </c>
      <c r="G415" s="294">
        <v>2998</v>
      </c>
      <c r="H415" s="295" t="s">
        <v>45</v>
      </c>
      <c r="I415" s="294">
        <v>99900000</v>
      </c>
      <c r="P415" s="295" t="s">
        <v>1352</v>
      </c>
      <c r="R415" s="500"/>
      <c r="S415" s="639" t="s">
        <v>1243</v>
      </c>
      <c r="T415" s="640">
        <f>INDEX(잔가map!$C$3:$AB$7,MATCH(차량DB!$T$5,잔가map!$B$3:$B$7,0),MATCH(차량DB!S415,잔가map!$C$2:$AB$2,0))</f>
        <v>0.74999999999999989</v>
      </c>
      <c r="U415" s="640">
        <f>INDEX(잔가map!$C$3:$AB$7,MATCH(차량DB!$U$5,잔가map!$B$3:$B$7,0),MATCH(차량DB!S415,잔가map!$C$2:$AB$2,0))</f>
        <v>0.66999999999999993</v>
      </c>
      <c r="V415" s="640">
        <f>INDEX(잔가map!$C$3:$AB$7,MATCH(차량DB!$V$5,잔가map!$B$3:$B$7,0),MATCH(차량DB!S415,잔가map!$C$2:$AB$2,0))</f>
        <v>0.57999999999999996</v>
      </c>
      <c r="W415" s="640">
        <f>INDEX(잔가map!$C$3:$AB$7,MATCH(차량DB!$W$5,잔가map!$B$3:$B$7,0),MATCH(차량DB!S415,잔가map!$C$2:$AB$2,0))</f>
        <v>0.49999999999999989</v>
      </c>
      <c r="X415" s="640">
        <f>INDEX(잔가map!$C$3:$AB$7,MATCH(차량DB!$X$5,잔가map!$B$3:$B$7,0),MATCH(차량DB!S415,잔가map!$C$2:$AB$2,0))</f>
        <v>0.43999999999999995</v>
      </c>
      <c r="Y415" s="553" t="s">
        <v>352</v>
      </c>
      <c r="Z415" s="527">
        <f>IFERROR(INDEX(잔가map!$C$14:$AR$18,MATCH(차량DB!$Z$5,잔가map!$B$14:$B$18,0),MATCH(차량DB!Y415,잔가map!$C$13:$AR$13,0)),"")</f>
        <v>0.77</v>
      </c>
      <c r="AA415" s="527">
        <f>IFERROR(INDEX(잔가map!$C$14:$AR$18,MATCH(차량DB!$AA$5,잔가map!$B$14:$B$18,0),MATCH(차량DB!Y415,잔가map!$C$13:$AR$13,0)),"")</f>
        <v>0.69000000000000006</v>
      </c>
      <c r="AB415" s="527">
        <f>IFERROR(INDEX(잔가map!$C$14:$AR$18,MATCH(차량DB!$AB$5,잔가map!$B$14:$B$18,0),MATCH(차량DB!Y415,잔가map!$C$13:$AR$13,0)),"")</f>
        <v>0.6</v>
      </c>
      <c r="AC415" s="527">
        <f>IFERROR(INDEX(잔가map!$C$14:$AR$18,MATCH(차량DB!$AC$5,잔가map!$B$14:$B$18,0),MATCH(차량DB!Y415,잔가map!$C$13:$AR$13,0)),"")</f>
        <v>0.52</v>
      </c>
      <c r="AD415" s="527">
        <f>IFERROR(INDEX(잔가map!$C$14:$AR$18,MATCH(차량DB!$AD$5,잔가map!$B$14:$B$18,0),MATCH(차량DB!Y415,잔가map!$C$13:$AR$13,0)),"")</f>
        <v>0.46000000000000008</v>
      </c>
      <c r="AE415" s="643"/>
      <c r="AF415" s="644"/>
      <c r="AG415" s="644"/>
      <c r="AH415" s="644"/>
      <c r="AI415" s="644"/>
      <c r="AJ415" s="644"/>
      <c r="AK415" s="547"/>
      <c r="AL415" s="576"/>
    </row>
    <row r="416" spans="5:38" x14ac:dyDescent="0.3">
      <c r="E416" s="293" t="s">
        <v>559</v>
      </c>
      <c r="F416" s="605" t="s">
        <v>955</v>
      </c>
      <c r="G416" s="294">
        <v>2999</v>
      </c>
      <c r="H416" s="295" t="s">
        <v>45</v>
      </c>
      <c r="I416" s="294">
        <v>123000000</v>
      </c>
      <c r="P416" s="295" t="s">
        <v>576</v>
      </c>
      <c r="R416" s="500"/>
      <c r="S416" s="639" t="s">
        <v>1244</v>
      </c>
      <c r="T416" s="640">
        <f>INDEX(잔가map!$C$3:$AB$7,MATCH(차량DB!$T$5,잔가map!$B$3:$B$7,0),MATCH(차량DB!S416,잔가map!$C$2:$AB$2,0))</f>
        <v>0.74999999999999989</v>
      </c>
      <c r="U416" s="640">
        <f>INDEX(잔가map!$C$3:$AB$7,MATCH(차량DB!$U$5,잔가map!$B$3:$B$7,0),MATCH(차량DB!S416,잔가map!$C$2:$AB$2,0))</f>
        <v>0.66999999999999993</v>
      </c>
      <c r="V416" s="640">
        <f>INDEX(잔가map!$C$3:$AB$7,MATCH(차량DB!$V$5,잔가map!$B$3:$B$7,0),MATCH(차량DB!S416,잔가map!$C$2:$AB$2,0))</f>
        <v>0.57999999999999996</v>
      </c>
      <c r="W416" s="640">
        <f>INDEX(잔가map!$C$3:$AB$7,MATCH(차량DB!$W$5,잔가map!$B$3:$B$7,0),MATCH(차량DB!S416,잔가map!$C$2:$AB$2,0))</f>
        <v>0.49999999999999989</v>
      </c>
      <c r="X416" s="640">
        <f>INDEX(잔가map!$C$3:$AB$7,MATCH(차량DB!$X$5,잔가map!$B$3:$B$7,0),MATCH(차량DB!S416,잔가map!$C$2:$AB$2,0))</f>
        <v>0.43999999999999995</v>
      </c>
      <c r="Y416" s="553" t="s">
        <v>352</v>
      </c>
      <c r="Z416" s="527">
        <f>IFERROR(INDEX(잔가map!$C$14:$AR$18,MATCH(차량DB!$Z$5,잔가map!$B$14:$B$18,0),MATCH(차량DB!Y416,잔가map!$C$13:$AR$13,0)),"")</f>
        <v>0.77</v>
      </c>
      <c r="AA416" s="527">
        <f>IFERROR(INDEX(잔가map!$C$14:$AR$18,MATCH(차량DB!$AA$5,잔가map!$B$14:$B$18,0),MATCH(차량DB!Y416,잔가map!$C$13:$AR$13,0)),"")</f>
        <v>0.69000000000000006</v>
      </c>
      <c r="AB416" s="527">
        <f>IFERROR(INDEX(잔가map!$C$14:$AR$18,MATCH(차량DB!$AB$5,잔가map!$B$14:$B$18,0),MATCH(차량DB!Y416,잔가map!$C$13:$AR$13,0)),"")</f>
        <v>0.6</v>
      </c>
      <c r="AC416" s="527">
        <f>IFERROR(INDEX(잔가map!$C$14:$AR$18,MATCH(차량DB!$AC$5,잔가map!$B$14:$B$18,0),MATCH(차량DB!Y416,잔가map!$C$13:$AR$13,0)),"")</f>
        <v>0.52</v>
      </c>
      <c r="AD416" s="527">
        <f>IFERROR(INDEX(잔가map!$C$14:$AR$18,MATCH(차량DB!$AD$5,잔가map!$B$14:$B$18,0),MATCH(차량DB!Y416,잔가map!$C$13:$AR$13,0)),"")</f>
        <v>0.46000000000000008</v>
      </c>
      <c r="AE416" s="643"/>
      <c r="AF416" s="644"/>
      <c r="AG416" s="644"/>
      <c r="AH416" s="644"/>
      <c r="AI416" s="644"/>
      <c r="AJ416" s="644"/>
      <c r="AK416" s="574"/>
      <c r="AL416" s="576"/>
    </row>
    <row r="417" spans="1:38" s="494" customFormat="1" x14ac:dyDescent="0.3">
      <c r="A417" s="295"/>
      <c r="B417" s="295"/>
      <c r="C417" s="295"/>
      <c r="D417" s="295"/>
      <c r="E417" s="293" t="s">
        <v>559</v>
      </c>
      <c r="F417" s="605" t="s">
        <v>1362</v>
      </c>
      <c r="G417" s="294">
        <v>2989</v>
      </c>
      <c r="H417" s="295" t="s">
        <v>45</v>
      </c>
      <c r="I417" s="294">
        <v>151600000</v>
      </c>
      <c r="J417" s="487"/>
      <c r="K417" s="487"/>
      <c r="L417" s="487"/>
      <c r="M417" s="487"/>
      <c r="N417" s="487"/>
      <c r="O417" s="294"/>
      <c r="P417" s="295" t="s">
        <v>576</v>
      </c>
      <c r="Q417" s="295"/>
      <c r="R417" s="500">
        <v>0</v>
      </c>
      <c r="S417" s="639" t="s">
        <v>1236</v>
      </c>
      <c r="T417" s="640"/>
      <c r="U417" s="640"/>
      <c r="V417" s="640"/>
      <c r="W417" s="640"/>
      <c r="X417" s="640"/>
      <c r="Y417" s="553" t="s">
        <v>357</v>
      </c>
      <c r="Z417" s="527">
        <f>IFERROR(INDEX(잔가map!$C$14:$AR$18,MATCH(차량DB!$Z$5,잔가map!$B$14:$B$18,0),MATCH(차량DB!Y417,잔가map!$C$13:$AR$13,0)),"")</f>
        <v>0.75</v>
      </c>
      <c r="AA417" s="527">
        <f>IFERROR(INDEX(잔가map!$C$14:$AR$18,MATCH(차량DB!$AA$5,잔가map!$B$14:$B$18,0),MATCH(차량DB!Y417,잔가map!$C$13:$AR$13,0)),"")</f>
        <v>0.67</v>
      </c>
      <c r="AB417" s="527">
        <f>IFERROR(INDEX(잔가map!$C$14:$AR$18,MATCH(차량DB!$AB$5,잔가map!$B$14:$B$18,0),MATCH(차량DB!Y417,잔가map!$C$13:$AR$13,0)),"")</f>
        <v>0.57999999999999996</v>
      </c>
      <c r="AC417" s="527">
        <f>IFERROR(INDEX(잔가map!$C$14:$AR$18,MATCH(차량DB!$AC$5,잔가map!$B$14:$B$18,0),MATCH(차량DB!Y417,잔가map!$C$13:$AR$13,0)),"")</f>
        <v>0.5</v>
      </c>
      <c r="AD417" s="527">
        <f>IFERROR(INDEX(잔가map!$C$14:$AR$18,MATCH(차량DB!$AD$5,잔가map!$B$14:$B$18,0),MATCH(차량DB!Y417,잔가map!$C$13:$AR$13,0)),"")</f>
        <v>0.44000000000000006</v>
      </c>
      <c r="AE417" s="643"/>
      <c r="AF417" s="644"/>
      <c r="AG417" s="644"/>
      <c r="AH417" s="644"/>
      <c r="AI417" s="644"/>
      <c r="AJ417" s="644"/>
      <c r="AK417" s="547"/>
      <c r="AL417" s="576"/>
    </row>
    <row r="418" spans="1:38" s="494" customFormat="1" x14ac:dyDescent="0.3">
      <c r="A418" s="295"/>
      <c r="B418" s="295"/>
      <c r="C418" s="295"/>
      <c r="D418" s="295"/>
      <c r="E418" s="293" t="s">
        <v>607</v>
      </c>
      <c r="F418" s="605" t="s">
        <v>1361</v>
      </c>
      <c r="G418" s="294">
        <v>2999</v>
      </c>
      <c r="H418" s="295" t="s">
        <v>45</v>
      </c>
      <c r="I418" s="294">
        <v>187600000</v>
      </c>
      <c r="J418" s="487"/>
      <c r="K418" s="487"/>
      <c r="L418" s="487"/>
      <c r="M418" s="487"/>
      <c r="N418" s="487"/>
      <c r="O418" s="294"/>
      <c r="P418" s="295" t="s">
        <v>576</v>
      </c>
      <c r="Q418" s="295"/>
      <c r="R418" s="500">
        <v>0</v>
      </c>
      <c r="S418" s="639" t="s">
        <v>1363</v>
      </c>
      <c r="T418" s="640"/>
      <c r="U418" s="640"/>
      <c r="V418" s="640"/>
      <c r="W418" s="640"/>
      <c r="X418" s="640"/>
      <c r="Y418" s="553" t="s">
        <v>1200</v>
      </c>
      <c r="Z418" s="527">
        <f>IFERROR(INDEX(잔가map!$C$14:$AR$18,MATCH(차량DB!$Z$5,잔가map!$B$14:$B$18,0),MATCH(차량DB!Y418,잔가map!$C$13:$AR$13,0)),"")</f>
        <v>0.75</v>
      </c>
      <c r="AA418" s="527">
        <f>IFERROR(INDEX(잔가map!$C$14:$AR$18,MATCH(차량DB!$AA$5,잔가map!$B$14:$B$18,0),MATCH(차량DB!Y418,잔가map!$C$13:$AR$13,0)),"")</f>
        <v>0.67</v>
      </c>
      <c r="AB418" s="527">
        <f>IFERROR(INDEX(잔가map!$C$14:$AR$18,MATCH(차량DB!$AB$5,잔가map!$B$14:$B$18,0),MATCH(차량DB!Y418,잔가map!$C$13:$AR$13,0)),"")</f>
        <v>0.57999999999999996</v>
      </c>
      <c r="AC418" s="527">
        <f>IFERROR(INDEX(잔가map!$C$14:$AR$18,MATCH(차량DB!$AC$5,잔가map!$B$14:$B$18,0),MATCH(차량DB!Y418,잔가map!$C$13:$AR$13,0)),"")</f>
        <v>0.5</v>
      </c>
      <c r="AD418" s="527">
        <f>IFERROR(INDEX(잔가map!$C$14:$AR$18,MATCH(차량DB!$AD$5,잔가map!$B$14:$B$18,0),MATCH(차량DB!Y418,잔가map!$C$13:$AR$13,0)),"")</f>
        <v>0.44000000000000006</v>
      </c>
      <c r="AE418" s="643"/>
      <c r="AF418" s="644"/>
      <c r="AG418" s="644"/>
      <c r="AH418" s="644"/>
      <c r="AI418" s="644"/>
      <c r="AJ418" s="644"/>
      <c r="AK418" s="547"/>
      <c r="AL418" s="576"/>
    </row>
    <row r="419" spans="1:38" s="494" customFormat="1" x14ac:dyDescent="0.3">
      <c r="A419" s="295"/>
      <c r="B419" s="295"/>
      <c r="C419" s="295"/>
      <c r="D419" s="295"/>
      <c r="E419" s="293" t="s">
        <v>607</v>
      </c>
      <c r="F419" s="605" t="s">
        <v>1185</v>
      </c>
      <c r="G419" s="294">
        <v>2998</v>
      </c>
      <c r="H419" s="295" t="s">
        <v>45</v>
      </c>
      <c r="I419" s="294">
        <v>187600000</v>
      </c>
      <c r="J419" s="487"/>
      <c r="K419" s="487"/>
      <c r="L419" s="487"/>
      <c r="M419" s="487"/>
      <c r="N419" s="487"/>
      <c r="O419" s="294"/>
      <c r="P419" s="295" t="s">
        <v>576</v>
      </c>
      <c r="Q419" s="295"/>
      <c r="R419" s="500">
        <v>0</v>
      </c>
      <c r="S419" s="639" t="s">
        <v>1237</v>
      </c>
      <c r="T419" s="640"/>
      <c r="U419" s="640"/>
      <c r="V419" s="640"/>
      <c r="W419" s="640"/>
      <c r="X419" s="640"/>
      <c r="Y419" s="553" t="s">
        <v>357</v>
      </c>
      <c r="Z419" s="527">
        <f>IFERROR(INDEX(잔가map!$C$14:$AR$18,MATCH(차량DB!$Z$5,잔가map!$B$14:$B$18,0),MATCH(차량DB!Y419,잔가map!$C$13:$AR$13,0)),"")</f>
        <v>0.75</v>
      </c>
      <c r="AA419" s="527">
        <f>IFERROR(INDEX(잔가map!$C$14:$AR$18,MATCH(차량DB!$AA$5,잔가map!$B$14:$B$18,0),MATCH(차량DB!Y419,잔가map!$C$13:$AR$13,0)),"")</f>
        <v>0.67</v>
      </c>
      <c r="AB419" s="527">
        <f>IFERROR(INDEX(잔가map!$C$14:$AR$18,MATCH(차량DB!$AB$5,잔가map!$B$14:$B$18,0),MATCH(차량DB!Y419,잔가map!$C$13:$AR$13,0)),"")</f>
        <v>0.57999999999999996</v>
      </c>
      <c r="AC419" s="527">
        <f>IFERROR(INDEX(잔가map!$C$14:$AR$18,MATCH(차량DB!$AC$5,잔가map!$B$14:$B$18,0),MATCH(차량DB!Y419,잔가map!$C$13:$AR$13,0)),"")</f>
        <v>0.5</v>
      </c>
      <c r="AD419" s="527">
        <f>IFERROR(INDEX(잔가map!$C$14:$AR$18,MATCH(차량DB!$AD$5,잔가map!$B$14:$B$18,0),MATCH(차량DB!Y419,잔가map!$C$13:$AR$13,0)),"")</f>
        <v>0.44000000000000006</v>
      </c>
      <c r="AE419" s="643"/>
      <c r="AF419" s="644"/>
      <c r="AG419" s="644"/>
      <c r="AH419" s="644"/>
      <c r="AI419" s="644"/>
      <c r="AJ419" s="644"/>
      <c r="AK419" s="547"/>
      <c r="AL419" s="576"/>
    </row>
    <row r="420" spans="1:38" s="494" customFormat="1" x14ac:dyDescent="0.3">
      <c r="A420" s="295"/>
      <c r="B420" s="295"/>
      <c r="C420" s="295"/>
      <c r="D420" s="295"/>
      <c r="E420" s="293" t="s">
        <v>559</v>
      </c>
      <c r="F420" s="605" t="s">
        <v>1186</v>
      </c>
      <c r="G420" s="294">
        <v>2999</v>
      </c>
      <c r="H420" s="295" t="s">
        <v>45</v>
      </c>
      <c r="I420" s="294">
        <v>209100000</v>
      </c>
      <c r="J420" s="487"/>
      <c r="K420" s="487"/>
      <c r="L420" s="487"/>
      <c r="M420" s="487"/>
      <c r="N420" s="487"/>
      <c r="O420" s="294"/>
      <c r="P420" s="295" t="s">
        <v>576</v>
      </c>
      <c r="Q420" s="295"/>
      <c r="R420" s="500">
        <v>0</v>
      </c>
      <c r="S420" s="639" t="s">
        <v>1243</v>
      </c>
      <c r="T420" s="640"/>
      <c r="U420" s="640"/>
      <c r="V420" s="640"/>
      <c r="W420" s="640"/>
      <c r="X420" s="640"/>
      <c r="Y420" s="553" t="s">
        <v>358</v>
      </c>
      <c r="Z420" s="527">
        <f>IFERROR(INDEX(잔가map!$C$14:$AR$18,MATCH(차량DB!$Z$5,잔가map!$B$14:$B$18,0),MATCH(차량DB!Y420,잔가map!$C$13:$AR$13,0)),"")</f>
        <v>0.74</v>
      </c>
      <c r="AA420" s="527">
        <f>IFERROR(INDEX(잔가map!$C$14:$AR$18,MATCH(차량DB!$AA$5,잔가map!$B$14:$B$18,0),MATCH(차량DB!Y420,잔가map!$C$13:$AR$13,0)),"")</f>
        <v>0.66</v>
      </c>
      <c r="AB420" s="527">
        <f>IFERROR(INDEX(잔가map!$C$14:$AR$18,MATCH(차량DB!$AB$5,잔가map!$B$14:$B$18,0),MATCH(차량DB!Y420,잔가map!$C$13:$AR$13,0)),"")</f>
        <v>0.56999999999999995</v>
      </c>
      <c r="AC420" s="527">
        <f>IFERROR(INDEX(잔가map!$C$14:$AR$18,MATCH(차량DB!$AC$5,잔가map!$B$14:$B$18,0),MATCH(차량DB!Y420,잔가map!$C$13:$AR$13,0)),"")</f>
        <v>0.49000000000000005</v>
      </c>
      <c r="AD420" s="527">
        <f>IFERROR(INDEX(잔가map!$C$14:$AR$18,MATCH(차량DB!$AD$5,잔가map!$B$14:$B$18,0),MATCH(차량DB!Y420,잔가map!$C$13:$AR$13,0)),"")</f>
        <v>0.43000000000000005</v>
      </c>
      <c r="AE420" s="643"/>
      <c r="AF420" s="644"/>
      <c r="AG420" s="644"/>
      <c r="AH420" s="644"/>
      <c r="AI420" s="644"/>
      <c r="AJ420" s="644"/>
      <c r="AK420" s="547"/>
      <c r="AL420" s="576"/>
    </row>
    <row r="421" spans="1:38" s="494" customFormat="1" x14ac:dyDescent="0.3">
      <c r="A421" s="295"/>
      <c r="B421" s="295"/>
      <c r="C421" s="295"/>
      <c r="D421" s="295"/>
      <c r="E421" s="293" t="s">
        <v>559</v>
      </c>
      <c r="F421" s="605" t="s">
        <v>988</v>
      </c>
      <c r="G421" s="294">
        <v>3982</v>
      </c>
      <c r="H421" s="295" t="s">
        <v>45</v>
      </c>
      <c r="I421" s="294">
        <v>248500000</v>
      </c>
      <c r="J421" s="487"/>
      <c r="K421" s="487"/>
      <c r="L421" s="487"/>
      <c r="M421" s="487"/>
      <c r="N421" s="487"/>
      <c r="O421" s="294"/>
      <c r="P421" s="295" t="s">
        <v>576</v>
      </c>
      <c r="Q421" s="295"/>
      <c r="R421" s="500">
        <v>0</v>
      </c>
      <c r="S421" s="639" t="s">
        <v>1245</v>
      </c>
      <c r="T421" s="640"/>
      <c r="U421" s="640"/>
      <c r="V421" s="640"/>
      <c r="W421" s="640"/>
      <c r="X421" s="640"/>
      <c r="Y421" s="553" t="s">
        <v>358</v>
      </c>
      <c r="Z421" s="527">
        <f>IFERROR(INDEX(잔가map!$C$14:$AR$18,MATCH(차량DB!$Z$5,잔가map!$B$14:$B$18,0),MATCH(차량DB!Y421,잔가map!$C$13:$AR$13,0)),"")</f>
        <v>0.74</v>
      </c>
      <c r="AA421" s="527">
        <f>IFERROR(INDEX(잔가map!$C$14:$AR$18,MATCH(차량DB!$AA$5,잔가map!$B$14:$B$18,0),MATCH(차량DB!Y421,잔가map!$C$13:$AR$13,0)),"")</f>
        <v>0.66</v>
      </c>
      <c r="AB421" s="527">
        <f>IFERROR(INDEX(잔가map!$C$14:$AR$18,MATCH(차량DB!$AB$5,잔가map!$B$14:$B$18,0),MATCH(차량DB!Y421,잔가map!$C$13:$AR$13,0)),"")</f>
        <v>0.56999999999999995</v>
      </c>
      <c r="AC421" s="527">
        <f>IFERROR(INDEX(잔가map!$C$14:$AR$18,MATCH(차량DB!$AC$5,잔가map!$B$14:$B$18,0),MATCH(차량DB!Y421,잔가map!$C$13:$AR$13,0)),"")</f>
        <v>0.49000000000000005</v>
      </c>
      <c r="AD421" s="527">
        <f>IFERROR(INDEX(잔가map!$C$14:$AR$18,MATCH(차량DB!$AD$5,잔가map!$B$14:$B$18,0),MATCH(차량DB!Y421,잔가map!$C$13:$AR$13,0)),"")</f>
        <v>0.43000000000000005</v>
      </c>
      <c r="AE421" s="643"/>
      <c r="AF421" s="644"/>
      <c r="AG421" s="644"/>
      <c r="AH421" s="644"/>
      <c r="AI421" s="644"/>
      <c r="AJ421" s="644"/>
      <c r="AK421" s="547"/>
      <c r="AL421" s="576"/>
    </row>
    <row r="422" spans="1:38" s="494" customFormat="1" x14ac:dyDescent="0.3">
      <c r="A422" s="295"/>
      <c r="B422" s="295"/>
      <c r="C422" s="295"/>
      <c r="D422" s="295"/>
      <c r="E422" s="293" t="s">
        <v>559</v>
      </c>
      <c r="F422" s="605" t="s">
        <v>989</v>
      </c>
      <c r="G422" s="294">
        <v>2999</v>
      </c>
      <c r="H422" s="295" t="s">
        <v>45</v>
      </c>
      <c r="I422" s="294">
        <v>242000000</v>
      </c>
      <c r="J422" s="487"/>
      <c r="K422" s="487"/>
      <c r="L422" s="487"/>
      <c r="M422" s="487"/>
      <c r="N422" s="487"/>
      <c r="O422" s="294"/>
      <c r="P422" s="295" t="s">
        <v>576</v>
      </c>
      <c r="Q422" s="295"/>
      <c r="R422" s="500">
        <v>0</v>
      </c>
      <c r="S422" s="639" t="s">
        <v>1245</v>
      </c>
      <c r="T422" s="640"/>
      <c r="U422" s="640"/>
      <c r="V422" s="640"/>
      <c r="W422" s="640"/>
      <c r="X422" s="640"/>
      <c r="Y422" s="553" t="s">
        <v>366</v>
      </c>
      <c r="Z422" s="527">
        <f>IFERROR(INDEX(잔가map!$C$14:$AR$18,MATCH(차량DB!$Z$5,잔가map!$B$14:$B$18,0),MATCH(차량DB!Y422,잔가map!$C$13:$AR$13,0)),"")</f>
        <v>0.66999999999999993</v>
      </c>
      <c r="AA422" s="527">
        <f>IFERROR(INDEX(잔가map!$C$14:$AR$18,MATCH(차량DB!$AA$5,잔가map!$B$14:$B$18,0),MATCH(차량DB!Y422,잔가map!$C$13:$AR$13,0)),"")</f>
        <v>0.59</v>
      </c>
      <c r="AB422" s="527">
        <f>IFERROR(INDEX(잔가map!$C$14:$AR$18,MATCH(차량DB!$AB$5,잔가map!$B$14:$B$18,0),MATCH(차량DB!Y422,잔가map!$C$13:$AR$13,0)),"")</f>
        <v>0.49999999999999989</v>
      </c>
      <c r="AC422" s="527">
        <f>IFERROR(INDEX(잔가map!$C$14:$AR$18,MATCH(차량DB!$AC$5,잔가map!$B$14:$B$18,0),MATCH(차량DB!Y422,잔가map!$C$13:$AR$13,0)),"")</f>
        <v>0.42</v>
      </c>
      <c r="AD422" s="527">
        <f>IFERROR(INDEX(잔가map!$C$14:$AR$18,MATCH(차량DB!$AD$5,잔가map!$B$14:$B$18,0),MATCH(차량DB!Y422,잔가map!$C$13:$AR$13,0)),"")</f>
        <v>0.36</v>
      </c>
      <c r="AE422" s="643"/>
      <c r="AF422" s="644"/>
      <c r="AG422" s="644"/>
      <c r="AH422" s="644"/>
      <c r="AI422" s="644"/>
      <c r="AJ422" s="644"/>
      <c r="AK422" s="547"/>
      <c r="AL422" s="576"/>
    </row>
    <row r="423" spans="1:38" x14ac:dyDescent="0.3">
      <c r="E423" s="293" t="s">
        <v>559</v>
      </c>
      <c r="F423" s="605" t="s">
        <v>986</v>
      </c>
      <c r="G423" s="294">
        <v>3982</v>
      </c>
      <c r="H423" s="295" t="s">
        <v>45</v>
      </c>
      <c r="I423" s="294">
        <v>309600000</v>
      </c>
      <c r="P423" s="295" t="s">
        <v>576</v>
      </c>
      <c r="R423" s="500">
        <v>0</v>
      </c>
      <c r="S423" s="639" t="s">
        <v>1279</v>
      </c>
      <c r="T423" s="640"/>
      <c r="U423" s="640"/>
      <c r="V423" s="640"/>
      <c r="W423" s="640"/>
      <c r="X423" s="640"/>
      <c r="Y423" s="553" t="s">
        <v>366</v>
      </c>
      <c r="Z423" s="527">
        <f>IFERROR(INDEX(잔가map!$C$14:$AR$18,MATCH(차량DB!$Z$5,잔가map!$B$14:$B$18,0),MATCH(차량DB!Y423,잔가map!$C$13:$AR$13,0)),"")</f>
        <v>0.66999999999999993</v>
      </c>
      <c r="AA423" s="527">
        <f>IFERROR(INDEX(잔가map!$C$14:$AR$18,MATCH(차량DB!$AA$5,잔가map!$B$14:$B$18,0),MATCH(차량DB!Y423,잔가map!$C$13:$AR$13,0)),"")</f>
        <v>0.59</v>
      </c>
      <c r="AB423" s="527">
        <f>IFERROR(INDEX(잔가map!$C$14:$AR$18,MATCH(차량DB!$AB$5,잔가map!$B$14:$B$18,0),MATCH(차량DB!Y423,잔가map!$C$13:$AR$13,0)),"")</f>
        <v>0.49999999999999989</v>
      </c>
      <c r="AC423" s="527">
        <f>IFERROR(INDEX(잔가map!$C$14:$AR$18,MATCH(차량DB!$AC$5,잔가map!$B$14:$B$18,0),MATCH(차량DB!Y423,잔가map!$C$13:$AR$13,0)),"")</f>
        <v>0.42</v>
      </c>
      <c r="AD423" s="527">
        <f>IFERROR(INDEX(잔가map!$C$14:$AR$18,MATCH(차량DB!$AD$5,잔가map!$B$14:$B$18,0),MATCH(차량DB!Y423,잔가map!$C$13:$AR$13,0)),"")</f>
        <v>0.36</v>
      </c>
      <c r="AE423" s="643"/>
      <c r="AF423" s="644"/>
      <c r="AG423" s="644"/>
      <c r="AH423" s="644"/>
      <c r="AI423" s="644"/>
      <c r="AJ423" s="644"/>
      <c r="AK423" s="547"/>
      <c r="AL423" s="576"/>
    </row>
    <row r="424" spans="1:38" x14ac:dyDescent="0.3">
      <c r="E424" s="293" t="s">
        <v>607</v>
      </c>
      <c r="F424" s="605" t="s">
        <v>987</v>
      </c>
      <c r="G424" s="294">
        <v>5980</v>
      </c>
      <c r="H424" s="295" t="s">
        <v>45</v>
      </c>
      <c r="I424" s="294">
        <v>393600000</v>
      </c>
      <c r="P424" s="295" t="s">
        <v>576</v>
      </c>
      <c r="R424" s="500">
        <v>0</v>
      </c>
      <c r="S424" s="639" t="s">
        <v>1280</v>
      </c>
      <c r="T424" s="640"/>
      <c r="U424" s="640"/>
      <c r="V424" s="640"/>
      <c r="W424" s="640"/>
      <c r="X424" s="640"/>
      <c r="Y424" s="553" t="s">
        <v>366</v>
      </c>
      <c r="Z424" s="527">
        <f>IFERROR(INDEX(잔가map!$C$14:$AR$18,MATCH(차량DB!$Z$5,잔가map!$B$14:$B$18,0),MATCH(차량DB!Y424,잔가map!$C$13:$AR$13,0)),"")</f>
        <v>0.66999999999999993</v>
      </c>
      <c r="AA424" s="527">
        <f>IFERROR(INDEX(잔가map!$C$14:$AR$18,MATCH(차량DB!$AA$5,잔가map!$B$14:$B$18,0),MATCH(차량DB!Y424,잔가map!$C$13:$AR$13,0)),"")</f>
        <v>0.59</v>
      </c>
      <c r="AB424" s="527">
        <f>IFERROR(INDEX(잔가map!$C$14:$AR$18,MATCH(차량DB!$AB$5,잔가map!$B$14:$B$18,0),MATCH(차량DB!Y424,잔가map!$C$13:$AR$13,0)),"")</f>
        <v>0.49999999999999989</v>
      </c>
      <c r="AC424" s="527">
        <f>IFERROR(INDEX(잔가map!$C$14:$AR$18,MATCH(차량DB!$AC$5,잔가map!$B$14:$B$18,0),MATCH(차량DB!Y424,잔가map!$C$13:$AR$13,0)),"")</f>
        <v>0.42</v>
      </c>
      <c r="AD424" s="527">
        <f>IFERROR(INDEX(잔가map!$C$14:$AR$18,MATCH(차량DB!$AD$5,잔가map!$B$14:$B$18,0),MATCH(차량DB!Y424,잔가map!$C$13:$AR$13,0)),"")</f>
        <v>0.36</v>
      </c>
      <c r="AE424" s="643"/>
      <c r="AF424" s="644"/>
      <c r="AG424" s="644"/>
      <c r="AH424" s="644"/>
      <c r="AI424" s="644"/>
      <c r="AJ424" s="644"/>
      <c r="AK424" s="547"/>
      <c r="AL424" s="576"/>
    </row>
    <row r="425" spans="1:38" x14ac:dyDescent="0.3">
      <c r="E425" s="293" t="s">
        <v>607</v>
      </c>
      <c r="F425" s="605" t="s">
        <v>990</v>
      </c>
      <c r="G425" s="294">
        <v>3982</v>
      </c>
      <c r="H425" s="295" t="s">
        <v>45</v>
      </c>
      <c r="I425" s="294">
        <v>235000000</v>
      </c>
      <c r="P425" s="295" t="s">
        <v>576</v>
      </c>
      <c r="R425" s="500"/>
      <c r="S425" s="639"/>
      <c r="T425" s="640"/>
      <c r="U425" s="640"/>
      <c r="V425" s="640"/>
      <c r="W425" s="640"/>
      <c r="X425" s="640"/>
      <c r="Y425" s="553"/>
      <c r="Z425" s="527" t="str">
        <f>IFERROR(INDEX(잔가map!$C$14:$AR$18,MATCH(차량DB!$Z$5,잔가map!$B$14:$B$18,0),MATCH(차량DB!Y425,잔가map!$C$13:$AR$13,0)),"")</f>
        <v/>
      </c>
      <c r="AA425" s="527" t="str">
        <f>IFERROR(INDEX(잔가map!$C$14:$AR$18,MATCH(차량DB!$AA$5,잔가map!$B$14:$B$18,0),MATCH(차량DB!Y425,잔가map!$C$13:$AR$13,0)),"")</f>
        <v/>
      </c>
      <c r="AB425" s="527" t="str">
        <f>IFERROR(INDEX(잔가map!$C$14:$AR$18,MATCH(차량DB!$AB$5,잔가map!$B$14:$B$18,0),MATCH(차량DB!Y425,잔가map!$C$13:$AR$13,0)),"")</f>
        <v/>
      </c>
      <c r="AC425" s="527" t="str">
        <f>IFERROR(INDEX(잔가map!$C$14:$AR$18,MATCH(차량DB!$AC$5,잔가map!$B$14:$B$18,0),MATCH(차량DB!Y425,잔가map!$C$13:$AR$13,0)),"")</f>
        <v/>
      </c>
      <c r="AD425" s="527" t="str">
        <f>IFERROR(INDEX(잔가map!$C$14:$AR$18,MATCH(차량DB!$AD$5,잔가map!$B$14:$B$18,0),MATCH(차량DB!Y425,잔가map!$C$13:$AR$13,0)),"")</f>
        <v/>
      </c>
      <c r="AE425" s="643"/>
      <c r="AF425" s="644"/>
      <c r="AG425" s="644"/>
      <c r="AH425" s="644"/>
      <c r="AI425" s="644"/>
      <c r="AJ425" s="644"/>
      <c r="AK425" s="547"/>
      <c r="AL425" s="576"/>
    </row>
    <row r="426" spans="1:38" x14ac:dyDescent="0.3">
      <c r="E426" s="293" t="s">
        <v>607</v>
      </c>
      <c r="F426" s="605" t="s">
        <v>991</v>
      </c>
      <c r="G426" s="294">
        <v>3982</v>
      </c>
      <c r="H426" s="295" t="s">
        <v>45</v>
      </c>
      <c r="I426" s="294">
        <v>260000000</v>
      </c>
      <c r="P426" s="295" t="s">
        <v>576</v>
      </c>
      <c r="R426" s="500"/>
      <c r="S426" s="639"/>
      <c r="T426" s="640"/>
      <c r="U426" s="640"/>
      <c r="V426" s="640"/>
      <c r="W426" s="640"/>
      <c r="X426" s="640"/>
      <c r="Y426" s="553"/>
      <c r="Z426" s="527" t="str">
        <f>IFERROR(INDEX(잔가map!$C$14:$AR$18,MATCH(차량DB!$Z$5,잔가map!$B$14:$B$18,0),MATCH(차량DB!Y426,잔가map!$C$13:$AR$13,0)),"")</f>
        <v/>
      </c>
      <c r="AA426" s="527" t="str">
        <f>IFERROR(INDEX(잔가map!$C$14:$AR$18,MATCH(차량DB!$AA$5,잔가map!$B$14:$B$18,0),MATCH(차량DB!Y426,잔가map!$C$13:$AR$13,0)),"")</f>
        <v/>
      </c>
      <c r="AB426" s="527" t="str">
        <f>IFERROR(INDEX(잔가map!$C$14:$AR$18,MATCH(차량DB!$AB$5,잔가map!$B$14:$B$18,0),MATCH(차량DB!Y426,잔가map!$C$13:$AR$13,0)),"")</f>
        <v/>
      </c>
      <c r="AC426" s="527" t="str">
        <f>IFERROR(INDEX(잔가map!$C$14:$AR$18,MATCH(차량DB!$AC$5,잔가map!$B$14:$B$18,0),MATCH(차량DB!Y426,잔가map!$C$13:$AR$13,0)),"")</f>
        <v/>
      </c>
      <c r="AD426" s="527" t="str">
        <f>IFERROR(INDEX(잔가map!$C$14:$AR$18,MATCH(차량DB!$AD$5,잔가map!$B$14:$B$18,0),MATCH(차량DB!Y426,잔가map!$C$13:$AR$13,0)),"")</f>
        <v/>
      </c>
      <c r="AE426" s="643"/>
      <c r="AF426" s="644"/>
      <c r="AG426" s="644"/>
      <c r="AH426" s="644"/>
      <c r="AI426" s="644"/>
      <c r="AJ426" s="644"/>
      <c r="AK426" s="547"/>
      <c r="AL426" s="576"/>
    </row>
    <row r="427" spans="1:38" x14ac:dyDescent="0.3">
      <c r="E427" s="293" t="s">
        <v>559</v>
      </c>
      <c r="F427" s="605" t="s">
        <v>1178</v>
      </c>
      <c r="G427" s="294">
        <v>1991</v>
      </c>
      <c r="H427" s="295" t="s">
        <v>45</v>
      </c>
      <c r="I427" s="294">
        <v>61000000</v>
      </c>
      <c r="P427" s="295" t="s">
        <v>576</v>
      </c>
      <c r="R427" s="500">
        <v>0</v>
      </c>
      <c r="S427" s="639" t="s">
        <v>1238</v>
      </c>
      <c r="T427" s="640"/>
      <c r="U427" s="640"/>
      <c r="V427" s="640"/>
      <c r="W427" s="640"/>
      <c r="X427" s="640"/>
      <c r="Y427" s="553" t="s">
        <v>353</v>
      </c>
      <c r="Z427" s="527">
        <f>IFERROR(INDEX(잔가map!$C$14:$AR$18,MATCH(차량DB!$Z$5,잔가map!$B$14:$B$18,0),MATCH(차량DB!Y427,잔가map!$C$13:$AR$13,0)),"")</f>
        <v>0.78</v>
      </c>
      <c r="AA427" s="527">
        <f>IFERROR(INDEX(잔가map!$C$14:$AR$18,MATCH(차량DB!$AA$5,잔가map!$B$14:$B$18,0),MATCH(차량DB!Y427,잔가map!$C$13:$AR$13,0)),"")</f>
        <v>0.70000000000000007</v>
      </c>
      <c r="AB427" s="527">
        <f>IFERROR(INDEX(잔가map!$C$14:$AR$18,MATCH(차량DB!$AB$5,잔가map!$B$14:$B$18,0),MATCH(차량DB!Y427,잔가map!$C$13:$AR$13,0)),"")</f>
        <v>0.61</v>
      </c>
      <c r="AC427" s="527">
        <f>IFERROR(INDEX(잔가map!$C$14:$AR$18,MATCH(차량DB!$AC$5,잔가map!$B$14:$B$18,0),MATCH(차량DB!Y427,잔가map!$C$13:$AR$13,0)),"")</f>
        <v>0.53</v>
      </c>
      <c r="AD427" s="527">
        <f>IFERROR(INDEX(잔가map!$C$14:$AR$18,MATCH(차량DB!$AD$5,잔가map!$B$14:$B$18,0),MATCH(차량DB!Y427,잔가map!$C$13:$AR$13,0)),"")</f>
        <v>0.47000000000000008</v>
      </c>
      <c r="AE427" s="643"/>
      <c r="AF427" s="644"/>
      <c r="AG427" s="644"/>
      <c r="AH427" s="644"/>
      <c r="AI427" s="644"/>
      <c r="AJ427" s="644"/>
      <c r="AK427" s="547"/>
      <c r="AL427" s="576"/>
    </row>
    <row r="428" spans="1:38" x14ac:dyDescent="0.3">
      <c r="E428" s="293" t="s">
        <v>559</v>
      </c>
      <c r="F428" s="605" t="s">
        <v>1179</v>
      </c>
      <c r="G428" s="294">
        <v>1991</v>
      </c>
      <c r="H428" s="295" t="s">
        <v>45</v>
      </c>
      <c r="I428" s="294">
        <v>63700000</v>
      </c>
      <c r="P428" s="295" t="s">
        <v>1352</v>
      </c>
      <c r="R428" s="500"/>
      <c r="S428" s="639" t="s">
        <v>1233</v>
      </c>
      <c r="T428" s="640"/>
      <c r="U428" s="640"/>
      <c r="V428" s="640"/>
      <c r="W428" s="640"/>
      <c r="X428" s="640"/>
      <c r="Y428" s="553"/>
      <c r="Z428" s="527" t="str">
        <f>IFERROR(INDEX(잔가map!$C$14:$AR$18,MATCH(차량DB!$Z$5,잔가map!$B$14:$B$18,0),MATCH(차량DB!Y428,잔가map!$C$13:$AR$13,0)),"")</f>
        <v/>
      </c>
      <c r="AA428" s="527" t="str">
        <f>IFERROR(INDEX(잔가map!$C$14:$AR$18,MATCH(차량DB!$AA$5,잔가map!$B$14:$B$18,0),MATCH(차량DB!Y428,잔가map!$C$13:$AR$13,0)),"")</f>
        <v/>
      </c>
      <c r="AB428" s="527" t="str">
        <f>IFERROR(INDEX(잔가map!$C$14:$AR$18,MATCH(차량DB!$AB$5,잔가map!$B$14:$B$18,0),MATCH(차량DB!Y428,잔가map!$C$13:$AR$13,0)),"")</f>
        <v/>
      </c>
      <c r="AC428" s="527" t="str">
        <f>IFERROR(INDEX(잔가map!$C$14:$AR$18,MATCH(차량DB!$AC$5,잔가map!$B$14:$B$18,0),MATCH(차량DB!Y428,잔가map!$C$13:$AR$13,0)),"")</f>
        <v/>
      </c>
      <c r="AD428" s="527" t="str">
        <f>IFERROR(INDEX(잔가map!$C$14:$AR$18,MATCH(차량DB!$AD$5,잔가map!$B$14:$B$18,0),MATCH(차량DB!Y428,잔가map!$C$13:$AR$13,0)),"")</f>
        <v/>
      </c>
      <c r="AE428" s="643"/>
      <c r="AF428" s="644"/>
      <c r="AG428" s="644"/>
      <c r="AH428" s="644"/>
      <c r="AI428" s="644"/>
      <c r="AJ428" s="644"/>
      <c r="AK428" s="547"/>
      <c r="AL428" s="576"/>
    </row>
    <row r="429" spans="1:38" ht="16.149999999999999" customHeight="1" x14ac:dyDescent="0.3">
      <c r="E429" s="293" t="s">
        <v>559</v>
      </c>
      <c r="F429" s="605" t="s">
        <v>952</v>
      </c>
      <c r="G429" s="294">
        <v>1991</v>
      </c>
      <c r="H429" s="295" t="s">
        <v>45</v>
      </c>
      <c r="I429" s="294">
        <v>89500000</v>
      </c>
      <c r="P429" s="295" t="s">
        <v>576</v>
      </c>
      <c r="R429" s="500">
        <v>0</v>
      </c>
      <c r="S429" s="639" t="s">
        <v>1295</v>
      </c>
      <c r="T429" s="640"/>
      <c r="U429" s="640"/>
      <c r="V429" s="640"/>
      <c r="W429" s="640"/>
      <c r="X429" s="640"/>
      <c r="Y429" s="553"/>
      <c r="Z429" s="527" t="str">
        <f>IFERROR(INDEX(잔가map!$C$14:$AR$18,MATCH(차량DB!$Z$5,잔가map!$B$14:$B$18,0),MATCH(차량DB!Y429,잔가map!$C$13:$AR$13,0)),"")</f>
        <v/>
      </c>
      <c r="AA429" s="527" t="str">
        <f>IFERROR(INDEX(잔가map!$C$14:$AR$18,MATCH(차량DB!$AA$5,잔가map!$B$14:$B$18,0),MATCH(차량DB!Y429,잔가map!$C$13:$AR$13,0)),"")</f>
        <v/>
      </c>
      <c r="AB429" s="527" t="str">
        <f>IFERROR(INDEX(잔가map!$C$14:$AR$18,MATCH(차량DB!$AB$5,잔가map!$B$14:$B$18,0),MATCH(차량DB!Y429,잔가map!$C$13:$AR$13,0)),"")</f>
        <v/>
      </c>
      <c r="AC429" s="527" t="str">
        <f>IFERROR(INDEX(잔가map!$C$14:$AR$18,MATCH(차량DB!$AC$5,잔가map!$B$14:$B$18,0),MATCH(차량DB!Y429,잔가map!$C$13:$AR$13,0)),"")</f>
        <v/>
      </c>
      <c r="AD429" s="527" t="str">
        <f>IFERROR(INDEX(잔가map!$C$14:$AR$18,MATCH(차량DB!$AD$5,잔가map!$B$14:$B$18,0),MATCH(차량DB!Y429,잔가map!$C$13:$AR$13,0)),"")</f>
        <v/>
      </c>
      <c r="AE429" s="643"/>
      <c r="AF429" s="644"/>
      <c r="AG429" s="644"/>
      <c r="AH429" s="644"/>
      <c r="AI429" s="644"/>
      <c r="AJ429" s="644"/>
      <c r="AK429" s="547"/>
      <c r="AL429" s="576"/>
    </row>
    <row r="430" spans="1:38" x14ac:dyDescent="0.3">
      <c r="E430" s="293" t="s">
        <v>559</v>
      </c>
      <c r="F430" s="605" t="s">
        <v>975</v>
      </c>
      <c r="G430" s="294">
        <v>1991</v>
      </c>
      <c r="H430" s="295" t="s">
        <v>58</v>
      </c>
      <c r="I430" s="294">
        <v>69100000</v>
      </c>
      <c r="P430" s="295" t="s">
        <v>576</v>
      </c>
      <c r="R430" s="500">
        <v>0</v>
      </c>
      <c r="S430" s="639" t="s">
        <v>1233</v>
      </c>
      <c r="T430" s="640"/>
      <c r="U430" s="640"/>
      <c r="V430" s="640"/>
      <c r="W430" s="640"/>
      <c r="X430" s="640"/>
      <c r="Y430" s="553" t="s">
        <v>353</v>
      </c>
      <c r="Z430" s="527">
        <f>IFERROR(INDEX(잔가map!$C$14:$AR$18,MATCH(차량DB!$Z$5,잔가map!$B$14:$B$18,0),MATCH(차량DB!Y430,잔가map!$C$13:$AR$13,0)),"")</f>
        <v>0.78</v>
      </c>
      <c r="AA430" s="527">
        <f>IFERROR(INDEX(잔가map!$C$14:$AR$18,MATCH(차량DB!$AA$5,잔가map!$B$14:$B$18,0),MATCH(차량DB!Y430,잔가map!$C$13:$AR$13,0)),"")</f>
        <v>0.70000000000000007</v>
      </c>
      <c r="AB430" s="527">
        <f>IFERROR(INDEX(잔가map!$C$14:$AR$18,MATCH(차량DB!$AB$5,잔가map!$B$14:$B$18,0),MATCH(차량DB!Y430,잔가map!$C$13:$AR$13,0)),"")</f>
        <v>0.61</v>
      </c>
      <c r="AC430" s="527">
        <f>IFERROR(INDEX(잔가map!$C$14:$AR$18,MATCH(차량DB!$AC$5,잔가map!$B$14:$B$18,0),MATCH(차량DB!Y430,잔가map!$C$13:$AR$13,0)),"")</f>
        <v>0.53</v>
      </c>
      <c r="AD430" s="527">
        <f>IFERROR(INDEX(잔가map!$C$14:$AR$18,MATCH(차량DB!$AD$5,잔가map!$B$14:$B$18,0),MATCH(차량DB!Y430,잔가map!$C$13:$AR$13,0)),"")</f>
        <v>0.47000000000000008</v>
      </c>
      <c r="AE430" s="643"/>
      <c r="AF430" s="644"/>
      <c r="AG430" s="644"/>
      <c r="AH430" s="644"/>
      <c r="AI430" s="644"/>
      <c r="AJ430" s="644"/>
      <c r="AK430" s="547"/>
      <c r="AL430" s="576"/>
    </row>
    <row r="431" spans="1:38" x14ac:dyDescent="0.3">
      <c r="E431" s="293" t="s">
        <v>559</v>
      </c>
      <c r="F431" s="605" t="s">
        <v>976</v>
      </c>
      <c r="G431" s="294">
        <v>1991</v>
      </c>
      <c r="H431" s="295" t="s">
        <v>58</v>
      </c>
      <c r="I431" s="294">
        <v>83200000</v>
      </c>
      <c r="P431" s="295" t="s">
        <v>576</v>
      </c>
      <c r="R431" s="500">
        <v>0</v>
      </c>
      <c r="S431" s="639" t="s">
        <v>1285</v>
      </c>
      <c r="T431" s="640"/>
      <c r="U431" s="640"/>
      <c r="V431" s="640"/>
      <c r="W431" s="640"/>
      <c r="X431" s="640"/>
      <c r="Y431" s="553"/>
      <c r="Z431" s="527" t="str">
        <f>IFERROR(INDEX(잔가map!$C$14:$AR$18,MATCH(차량DB!$Z$5,잔가map!$B$14:$B$18,0),MATCH(차량DB!Y431,잔가map!$C$13:$AR$13,0)),"")</f>
        <v/>
      </c>
      <c r="AA431" s="527" t="str">
        <f>IFERROR(INDEX(잔가map!$C$14:$AR$18,MATCH(차량DB!$AA$5,잔가map!$B$14:$B$18,0),MATCH(차량DB!Y431,잔가map!$C$13:$AR$13,0)),"")</f>
        <v/>
      </c>
      <c r="AB431" s="527" t="str">
        <f>IFERROR(INDEX(잔가map!$C$14:$AR$18,MATCH(차량DB!$AB$5,잔가map!$B$14:$B$18,0),MATCH(차량DB!Y431,잔가map!$C$13:$AR$13,0)),"")</f>
        <v/>
      </c>
      <c r="AC431" s="527" t="str">
        <f>IFERROR(INDEX(잔가map!$C$14:$AR$18,MATCH(차량DB!$AC$5,잔가map!$B$14:$B$18,0),MATCH(차량DB!Y431,잔가map!$C$13:$AR$13,0)),"")</f>
        <v/>
      </c>
      <c r="AD431" s="527" t="str">
        <f>IFERROR(INDEX(잔가map!$C$14:$AR$18,MATCH(차량DB!$AD$5,잔가map!$B$14:$B$18,0),MATCH(차량DB!Y431,잔가map!$C$13:$AR$13,0)),"")</f>
        <v/>
      </c>
      <c r="AE431" s="643"/>
      <c r="AF431" s="644"/>
      <c r="AG431" s="644"/>
      <c r="AH431" s="644"/>
      <c r="AI431" s="644"/>
      <c r="AJ431" s="644"/>
      <c r="AK431" s="547"/>
      <c r="AL431" s="576"/>
    </row>
    <row r="432" spans="1:38" x14ac:dyDescent="0.3">
      <c r="E432" s="293" t="s">
        <v>559</v>
      </c>
      <c r="F432" s="605" t="s">
        <v>977</v>
      </c>
      <c r="G432" s="294">
        <v>1950</v>
      </c>
      <c r="H432" s="295" t="s">
        <v>58</v>
      </c>
      <c r="I432" s="294">
        <v>63300000</v>
      </c>
      <c r="P432" s="295" t="s">
        <v>576</v>
      </c>
      <c r="R432" s="500">
        <v>0</v>
      </c>
      <c r="S432" s="639" t="s">
        <v>1239</v>
      </c>
      <c r="T432" s="640"/>
      <c r="U432" s="640"/>
      <c r="V432" s="640"/>
      <c r="W432" s="640"/>
      <c r="X432" s="640"/>
      <c r="Y432" s="553" t="s">
        <v>353</v>
      </c>
      <c r="Z432" s="527">
        <f>IFERROR(INDEX(잔가map!$C$14:$AR$18,MATCH(차량DB!$Z$5,잔가map!$B$14:$B$18,0),MATCH(차량DB!Y432,잔가map!$C$13:$AR$13,0)),"")</f>
        <v>0.78</v>
      </c>
      <c r="AA432" s="527">
        <f>IFERROR(INDEX(잔가map!$C$14:$AR$18,MATCH(차량DB!$AA$5,잔가map!$B$14:$B$18,0),MATCH(차량DB!Y432,잔가map!$C$13:$AR$13,0)),"")</f>
        <v>0.70000000000000007</v>
      </c>
      <c r="AB432" s="527">
        <f>IFERROR(INDEX(잔가map!$C$14:$AR$18,MATCH(차량DB!$AB$5,잔가map!$B$14:$B$18,0),MATCH(차량DB!Y432,잔가map!$C$13:$AR$13,0)),"")</f>
        <v>0.61</v>
      </c>
      <c r="AC432" s="527">
        <f>IFERROR(INDEX(잔가map!$C$14:$AR$18,MATCH(차량DB!$AC$5,잔가map!$B$14:$B$18,0),MATCH(차량DB!Y432,잔가map!$C$13:$AR$13,0)),"")</f>
        <v>0.53</v>
      </c>
      <c r="AD432" s="527">
        <f>IFERROR(INDEX(잔가map!$C$14:$AR$18,MATCH(차량DB!$AD$5,잔가map!$B$14:$B$18,0),MATCH(차량DB!Y432,잔가map!$C$13:$AR$13,0)),"")</f>
        <v>0.47000000000000008</v>
      </c>
      <c r="AE432" s="643"/>
      <c r="AF432" s="644"/>
      <c r="AG432" s="644"/>
      <c r="AH432" s="644"/>
      <c r="AI432" s="644"/>
      <c r="AJ432" s="644"/>
      <c r="AK432" s="547"/>
      <c r="AL432" s="576"/>
    </row>
    <row r="433" spans="5:38" x14ac:dyDescent="0.3">
      <c r="E433" s="293" t="s">
        <v>559</v>
      </c>
      <c r="F433" s="605" t="s">
        <v>978</v>
      </c>
      <c r="G433" s="294">
        <v>1991</v>
      </c>
      <c r="H433" s="295" t="s">
        <v>58</v>
      </c>
      <c r="I433" s="294">
        <v>71100000</v>
      </c>
      <c r="P433" s="295" t="s">
        <v>576</v>
      </c>
      <c r="R433" s="500">
        <v>0</v>
      </c>
      <c r="S433" s="639" t="s">
        <v>1240</v>
      </c>
      <c r="T433" s="640"/>
      <c r="U433" s="640"/>
      <c r="V433" s="640"/>
      <c r="W433" s="640"/>
      <c r="X433" s="640"/>
      <c r="Y433" s="553" t="s">
        <v>353</v>
      </c>
      <c r="Z433" s="527">
        <f>IFERROR(INDEX(잔가map!$C$14:$AR$18,MATCH(차량DB!$Z$5,잔가map!$B$14:$B$18,0),MATCH(차량DB!Y433,잔가map!$C$13:$AR$13,0)),"")</f>
        <v>0.78</v>
      </c>
      <c r="AA433" s="527">
        <f>IFERROR(INDEX(잔가map!$C$14:$AR$18,MATCH(차량DB!$AA$5,잔가map!$B$14:$B$18,0),MATCH(차량DB!Y433,잔가map!$C$13:$AR$13,0)),"")</f>
        <v>0.70000000000000007</v>
      </c>
      <c r="AB433" s="527">
        <f>IFERROR(INDEX(잔가map!$C$14:$AR$18,MATCH(차량DB!$AB$5,잔가map!$B$14:$B$18,0),MATCH(차량DB!Y433,잔가map!$C$13:$AR$13,0)),"")</f>
        <v>0.61</v>
      </c>
      <c r="AC433" s="527">
        <f>IFERROR(INDEX(잔가map!$C$14:$AR$18,MATCH(차량DB!$AC$5,잔가map!$B$14:$B$18,0),MATCH(차량DB!Y433,잔가map!$C$13:$AR$13,0)),"")</f>
        <v>0.53</v>
      </c>
      <c r="AD433" s="527">
        <f>IFERROR(INDEX(잔가map!$C$14:$AR$18,MATCH(차량DB!$AD$5,잔가map!$B$14:$B$18,0),MATCH(차량DB!Y433,잔가map!$C$13:$AR$13,0)),"")</f>
        <v>0.47000000000000008</v>
      </c>
      <c r="AE433" s="643"/>
      <c r="AF433" s="644"/>
      <c r="AG433" s="644"/>
      <c r="AH433" s="644"/>
      <c r="AI433" s="644"/>
      <c r="AJ433" s="644"/>
      <c r="AK433" s="547"/>
      <c r="AL433" s="576"/>
    </row>
    <row r="434" spans="5:38" x14ac:dyDescent="0.3">
      <c r="E434" s="293" t="s">
        <v>559</v>
      </c>
      <c r="F434" s="605" t="s">
        <v>979</v>
      </c>
      <c r="G434" s="294">
        <v>1991</v>
      </c>
      <c r="H434" s="295" t="s">
        <v>58</v>
      </c>
      <c r="I434" s="294">
        <v>78500000</v>
      </c>
      <c r="P434" s="295" t="s">
        <v>576</v>
      </c>
      <c r="R434" s="500">
        <v>0</v>
      </c>
      <c r="S434" s="639" t="s">
        <v>1297</v>
      </c>
      <c r="T434" s="640"/>
      <c r="U434" s="640"/>
      <c r="V434" s="640"/>
      <c r="W434" s="640"/>
      <c r="X434" s="640"/>
      <c r="Y434" s="553" t="s">
        <v>366</v>
      </c>
      <c r="Z434" s="527">
        <f>IFERROR(INDEX(잔가map!$C$14:$AR$18,MATCH(차량DB!$Z$5,잔가map!$B$14:$B$18,0),MATCH(차량DB!Y434,잔가map!$C$13:$AR$13,0)),"")</f>
        <v>0.66999999999999993</v>
      </c>
      <c r="AA434" s="527">
        <f>IFERROR(INDEX(잔가map!$C$14:$AR$18,MATCH(차량DB!$AA$5,잔가map!$B$14:$B$18,0),MATCH(차량DB!Y434,잔가map!$C$13:$AR$13,0)),"")</f>
        <v>0.59</v>
      </c>
      <c r="AB434" s="527">
        <f>IFERROR(INDEX(잔가map!$C$14:$AR$18,MATCH(차량DB!$AB$5,잔가map!$B$14:$B$18,0),MATCH(차량DB!Y434,잔가map!$C$13:$AR$13,0)),"")</f>
        <v>0.49999999999999989</v>
      </c>
      <c r="AC434" s="527">
        <f>IFERROR(INDEX(잔가map!$C$14:$AR$18,MATCH(차량DB!$AC$5,잔가map!$B$14:$B$18,0),MATCH(차량DB!Y434,잔가map!$C$13:$AR$13,0)),"")</f>
        <v>0.42</v>
      </c>
      <c r="AD434" s="527">
        <f>IFERROR(INDEX(잔가map!$C$14:$AR$18,MATCH(차량DB!$AD$5,잔가map!$B$14:$B$18,0),MATCH(차량DB!Y434,잔가map!$C$13:$AR$13,0)),"")</f>
        <v>0.36</v>
      </c>
      <c r="AE434" s="643"/>
      <c r="AF434" s="644"/>
      <c r="AG434" s="644"/>
      <c r="AH434" s="644"/>
      <c r="AI434" s="644"/>
      <c r="AJ434" s="644"/>
      <c r="AK434" s="547"/>
      <c r="AL434" s="576"/>
    </row>
    <row r="435" spans="5:38" x14ac:dyDescent="0.3">
      <c r="E435" s="293" t="s">
        <v>559</v>
      </c>
      <c r="F435" s="605" t="s">
        <v>1181</v>
      </c>
      <c r="G435" s="294">
        <v>1999</v>
      </c>
      <c r="H435" s="295" t="s">
        <v>58</v>
      </c>
      <c r="I435" s="294">
        <v>80500000</v>
      </c>
      <c r="P435" s="295" t="s">
        <v>1353</v>
      </c>
      <c r="R435" s="500"/>
      <c r="S435" s="639" t="s">
        <v>1224</v>
      </c>
      <c r="T435" s="640"/>
      <c r="U435" s="640"/>
      <c r="V435" s="640"/>
      <c r="W435" s="640"/>
      <c r="X435" s="640"/>
      <c r="Y435" s="553" t="s">
        <v>1332</v>
      </c>
      <c r="Z435" s="527">
        <f>IFERROR(INDEX(잔가map!$C$14:$AR$18,MATCH(차량DB!$Z$5,잔가map!$B$14:$B$18,0),MATCH(차량DB!Y435,잔가map!$C$13:$AR$13,0)),"")</f>
        <v>0.8</v>
      </c>
      <c r="AA435" s="527">
        <f>IFERROR(INDEX(잔가map!$C$14:$AR$18,MATCH(차량DB!$AA$5,잔가map!$B$14:$B$18,0),MATCH(차량DB!Y435,잔가map!$C$13:$AR$13,0)),"")</f>
        <v>0.72</v>
      </c>
      <c r="AB435" s="527">
        <f>IFERROR(INDEX(잔가map!$C$14:$AR$18,MATCH(차량DB!$AB$5,잔가map!$B$14:$B$18,0),MATCH(차량DB!Y435,잔가map!$C$13:$AR$13,0)),"")</f>
        <v>0.63</v>
      </c>
      <c r="AC435" s="527">
        <f>IFERROR(INDEX(잔가map!$C$14:$AR$18,MATCH(차량DB!$AC$5,잔가map!$B$14:$B$18,0),MATCH(차량DB!Y435,잔가map!$C$13:$AR$13,0)),"")</f>
        <v>0.55000000000000004</v>
      </c>
      <c r="AD435" s="527">
        <f>IFERROR(INDEX(잔가map!$C$14:$AR$18,MATCH(차량DB!$AD$5,잔가map!$B$14:$B$18,0),MATCH(차량DB!Y435,잔가map!$C$13:$AR$13,0)),"")</f>
        <v>0.49</v>
      </c>
      <c r="AE435" s="643"/>
      <c r="AF435" s="644"/>
      <c r="AG435" s="644"/>
      <c r="AH435" s="644"/>
      <c r="AI435" s="644"/>
      <c r="AJ435" s="644"/>
      <c r="AK435" s="547"/>
      <c r="AL435" s="576"/>
    </row>
    <row r="436" spans="5:38" x14ac:dyDescent="0.3">
      <c r="E436" s="293" t="s">
        <v>559</v>
      </c>
      <c r="F436" s="605" t="s">
        <v>1183</v>
      </c>
      <c r="G436" s="294">
        <v>1999</v>
      </c>
      <c r="H436" s="295" t="s">
        <v>58</v>
      </c>
      <c r="I436" s="294">
        <v>90400000</v>
      </c>
      <c r="P436" s="295" t="s">
        <v>1353</v>
      </c>
      <c r="R436" s="500"/>
      <c r="S436" s="639" t="s">
        <v>1225</v>
      </c>
      <c r="T436" s="640"/>
      <c r="U436" s="640"/>
      <c r="V436" s="640"/>
      <c r="W436" s="640"/>
      <c r="X436" s="640"/>
      <c r="Y436" s="553"/>
      <c r="Z436" s="527" t="str">
        <f>IFERROR(INDEX(잔가map!$C$14:$AR$18,MATCH(차량DB!$Z$5,잔가map!$B$14:$B$18,0),MATCH(차량DB!Y436,잔가map!$C$13:$AR$13,0)),"")</f>
        <v/>
      </c>
      <c r="AA436" s="527" t="str">
        <f>IFERROR(INDEX(잔가map!$C$14:$AR$18,MATCH(차량DB!$AA$5,잔가map!$B$14:$B$18,0),MATCH(차량DB!Y436,잔가map!$C$13:$AR$13,0)),"")</f>
        <v/>
      </c>
      <c r="AB436" s="527" t="str">
        <f>IFERROR(INDEX(잔가map!$C$14:$AR$18,MATCH(차량DB!$AB$5,잔가map!$B$14:$B$18,0),MATCH(차량DB!Y436,잔가map!$C$13:$AR$13,0)),"")</f>
        <v/>
      </c>
      <c r="AC436" s="527" t="str">
        <f>IFERROR(INDEX(잔가map!$C$14:$AR$18,MATCH(차량DB!$AC$5,잔가map!$B$14:$B$18,0),MATCH(차량DB!Y436,잔가map!$C$13:$AR$13,0)),"")</f>
        <v/>
      </c>
      <c r="AD436" s="527" t="str">
        <f>IFERROR(INDEX(잔가map!$C$14:$AR$18,MATCH(차량DB!$AD$5,잔가map!$B$14:$B$18,0),MATCH(차량DB!Y436,잔가map!$C$13:$AR$13,0)),"")</f>
        <v/>
      </c>
      <c r="AE436" s="643"/>
      <c r="AF436" s="644"/>
      <c r="AG436" s="644"/>
      <c r="AH436" s="644"/>
      <c r="AI436" s="644"/>
      <c r="AJ436" s="644"/>
      <c r="AK436" s="547"/>
      <c r="AL436" s="576"/>
    </row>
    <row r="437" spans="5:38" x14ac:dyDescent="0.3">
      <c r="E437" s="293" t="s">
        <v>559</v>
      </c>
      <c r="F437" s="605" t="s">
        <v>1136</v>
      </c>
      <c r="G437" s="294">
        <v>1993</v>
      </c>
      <c r="H437" s="295" t="s">
        <v>58</v>
      </c>
      <c r="I437" s="294">
        <v>79200000</v>
      </c>
      <c r="P437" s="295" t="s">
        <v>576</v>
      </c>
      <c r="R437" s="500">
        <v>0</v>
      </c>
      <c r="S437" s="639" t="s">
        <v>1225</v>
      </c>
      <c r="T437" s="640"/>
      <c r="U437" s="640"/>
      <c r="V437" s="640"/>
      <c r="W437" s="640"/>
      <c r="X437" s="640"/>
      <c r="Y437" s="553" t="s">
        <v>1332</v>
      </c>
      <c r="Z437" s="527">
        <f>IFERROR(INDEX(잔가map!$C$14:$AR$18,MATCH(차량DB!$Z$5,잔가map!$B$14:$B$18,0),MATCH(차량DB!Y437,잔가map!$C$13:$AR$13,0)),"")</f>
        <v>0.8</v>
      </c>
      <c r="AA437" s="527">
        <f>IFERROR(INDEX(잔가map!$C$14:$AR$18,MATCH(차량DB!$AA$5,잔가map!$B$14:$B$18,0),MATCH(차량DB!Y437,잔가map!$C$13:$AR$13,0)),"")</f>
        <v>0.72</v>
      </c>
      <c r="AB437" s="527">
        <f>IFERROR(INDEX(잔가map!$C$14:$AR$18,MATCH(차량DB!$AB$5,잔가map!$B$14:$B$18,0),MATCH(차량DB!Y437,잔가map!$C$13:$AR$13,0)),"")</f>
        <v>0.63</v>
      </c>
      <c r="AC437" s="527">
        <f>IFERROR(INDEX(잔가map!$C$14:$AR$18,MATCH(차량DB!$AC$5,잔가map!$B$14:$B$18,0),MATCH(차량DB!Y437,잔가map!$C$13:$AR$13,0)),"")</f>
        <v>0.55000000000000004</v>
      </c>
      <c r="AD437" s="527">
        <f>IFERROR(INDEX(잔가map!$C$14:$AR$18,MATCH(차량DB!$AD$5,잔가map!$B$14:$B$18,0),MATCH(차량DB!Y437,잔가map!$C$13:$AR$13,0)),"")</f>
        <v>0.49</v>
      </c>
      <c r="AE437" s="643"/>
      <c r="AF437" s="644"/>
      <c r="AG437" s="644"/>
      <c r="AH437" s="644"/>
      <c r="AI437" s="644"/>
      <c r="AJ437" s="644"/>
      <c r="AK437" s="547"/>
      <c r="AL437" s="576"/>
    </row>
    <row r="438" spans="5:38" x14ac:dyDescent="0.3">
      <c r="E438" s="293" t="s">
        <v>321</v>
      </c>
      <c r="F438" s="605" t="s">
        <v>1180</v>
      </c>
      <c r="G438" s="294">
        <v>1999</v>
      </c>
      <c r="H438" s="295" t="s">
        <v>58</v>
      </c>
      <c r="I438" s="294">
        <v>82800000</v>
      </c>
      <c r="P438" s="295" t="s">
        <v>1123</v>
      </c>
      <c r="R438" s="500"/>
      <c r="S438" s="639" t="s">
        <v>1224</v>
      </c>
      <c r="T438" s="640"/>
      <c r="U438" s="640"/>
      <c r="V438" s="640"/>
      <c r="W438" s="640"/>
      <c r="X438" s="640"/>
      <c r="Y438" s="553" t="s">
        <v>1332</v>
      </c>
      <c r="Z438" s="527">
        <f>IFERROR(INDEX(잔가map!$C$14:$AR$18,MATCH(차량DB!$Z$5,잔가map!$B$14:$B$18,0),MATCH(차량DB!Y438,잔가map!$C$13:$AR$13,0)),"")</f>
        <v>0.8</v>
      </c>
      <c r="AA438" s="527">
        <f>IFERROR(INDEX(잔가map!$C$14:$AR$18,MATCH(차량DB!$AA$5,잔가map!$B$14:$B$18,0),MATCH(차량DB!Y438,잔가map!$C$13:$AR$13,0)),"")</f>
        <v>0.72</v>
      </c>
      <c r="AB438" s="527">
        <f>IFERROR(INDEX(잔가map!$C$14:$AR$18,MATCH(차량DB!$AB$5,잔가map!$B$14:$B$18,0),MATCH(차량DB!Y438,잔가map!$C$13:$AR$13,0)),"")</f>
        <v>0.63</v>
      </c>
      <c r="AC438" s="527">
        <f>IFERROR(INDEX(잔가map!$C$14:$AR$18,MATCH(차량DB!$AC$5,잔가map!$B$14:$B$18,0),MATCH(차량DB!Y438,잔가map!$C$13:$AR$13,0)),"")</f>
        <v>0.55000000000000004</v>
      </c>
      <c r="AD438" s="527">
        <f>IFERROR(INDEX(잔가map!$C$14:$AR$18,MATCH(차량DB!$AD$5,잔가map!$B$14:$B$18,0),MATCH(차량DB!Y438,잔가map!$C$13:$AR$13,0)),"")</f>
        <v>0.49</v>
      </c>
      <c r="AE438" s="643"/>
      <c r="AF438" s="644"/>
      <c r="AG438" s="644"/>
      <c r="AH438" s="644"/>
      <c r="AI438" s="644"/>
      <c r="AJ438" s="644"/>
      <c r="AK438" s="547"/>
      <c r="AL438" s="576"/>
    </row>
    <row r="439" spans="5:38" x14ac:dyDescent="0.3">
      <c r="E439" s="293" t="s">
        <v>559</v>
      </c>
      <c r="F439" s="605" t="s">
        <v>1182</v>
      </c>
      <c r="G439" s="294">
        <v>1999</v>
      </c>
      <c r="H439" s="295" t="s">
        <v>58</v>
      </c>
      <c r="I439" s="294">
        <v>92500000</v>
      </c>
      <c r="P439" s="295" t="s">
        <v>576</v>
      </c>
      <c r="R439" s="500">
        <v>0</v>
      </c>
      <c r="S439" s="639" t="s">
        <v>1226</v>
      </c>
      <c r="T439" s="640"/>
      <c r="U439" s="640"/>
      <c r="V439" s="640"/>
      <c r="W439" s="640"/>
      <c r="X439" s="640"/>
      <c r="Y439" s="553"/>
      <c r="Z439" s="527" t="str">
        <f>IFERROR(INDEX(잔가map!$C$14:$AR$18,MATCH(차량DB!$Z$5,잔가map!$B$14:$B$18,0),MATCH(차량DB!Y439,잔가map!$C$13:$AR$13,0)),"")</f>
        <v/>
      </c>
      <c r="AA439" s="527" t="str">
        <f>IFERROR(INDEX(잔가map!$C$14:$AR$18,MATCH(차량DB!$AA$5,잔가map!$B$14:$B$18,0),MATCH(차량DB!Y439,잔가map!$C$13:$AR$13,0)),"")</f>
        <v/>
      </c>
      <c r="AB439" s="527" t="str">
        <f>IFERROR(INDEX(잔가map!$C$14:$AR$18,MATCH(차량DB!$AB$5,잔가map!$B$14:$B$18,0),MATCH(차량DB!Y439,잔가map!$C$13:$AR$13,0)),"")</f>
        <v/>
      </c>
      <c r="AC439" s="527" t="str">
        <f>IFERROR(INDEX(잔가map!$C$14:$AR$18,MATCH(차량DB!$AC$5,잔가map!$B$14:$B$18,0),MATCH(차량DB!Y439,잔가map!$C$13:$AR$13,0)),"")</f>
        <v/>
      </c>
      <c r="AD439" s="527" t="str">
        <f>IFERROR(INDEX(잔가map!$C$14:$AR$18,MATCH(차량DB!$AD$5,잔가map!$B$14:$B$18,0),MATCH(차량DB!Y439,잔가map!$C$13:$AR$13,0)),"")</f>
        <v/>
      </c>
      <c r="AE439" s="643"/>
      <c r="AF439" s="644"/>
      <c r="AG439" s="644"/>
      <c r="AH439" s="644"/>
      <c r="AI439" s="644"/>
      <c r="AJ439" s="644"/>
      <c r="AK439" s="547"/>
      <c r="AL439" s="576"/>
    </row>
    <row r="440" spans="5:38" x14ac:dyDescent="0.3">
      <c r="E440" s="293" t="s">
        <v>559</v>
      </c>
      <c r="F440" s="605" t="s">
        <v>1135</v>
      </c>
      <c r="G440" s="294">
        <v>1991</v>
      </c>
      <c r="H440" s="295" t="s">
        <v>58</v>
      </c>
      <c r="I440" s="294">
        <v>98900000</v>
      </c>
      <c r="P440" s="295" t="s">
        <v>576</v>
      </c>
      <c r="R440" s="500">
        <v>0</v>
      </c>
      <c r="S440" s="639" t="s">
        <v>1287</v>
      </c>
      <c r="T440" s="640"/>
      <c r="U440" s="640"/>
      <c r="V440" s="640"/>
      <c r="W440" s="640"/>
      <c r="X440" s="640"/>
      <c r="Y440" s="553" t="s">
        <v>366</v>
      </c>
      <c r="Z440" s="527">
        <f>IFERROR(INDEX(잔가map!$C$14:$AR$18,MATCH(차량DB!$Z$5,잔가map!$B$14:$B$18,0),MATCH(차량DB!Y440,잔가map!$C$13:$AR$13,0)),"")</f>
        <v>0.66999999999999993</v>
      </c>
      <c r="AA440" s="527">
        <f>IFERROR(INDEX(잔가map!$C$14:$AR$18,MATCH(차량DB!$AA$5,잔가map!$B$14:$B$18,0),MATCH(차량DB!Y440,잔가map!$C$13:$AR$13,0)),"")</f>
        <v>0.59</v>
      </c>
      <c r="AB440" s="527">
        <f>IFERROR(INDEX(잔가map!$C$14:$AR$18,MATCH(차량DB!$AB$5,잔가map!$B$14:$B$18,0),MATCH(차량DB!Y440,잔가map!$C$13:$AR$13,0)),"")</f>
        <v>0.49999999999999989</v>
      </c>
      <c r="AC440" s="527">
        <f>IFERROR(INDEX(잔가map!$C$14:$AR$18,MATCH(차량DB!$AC$5,잔가map!$B$14:$B$18,0),MATCH(차량DB!Y440,잔가map!$C$13:$AR$13,0)),"")</f>
        <v>0.42</v>
      </c>
      <c r="AD440" s="527">
        <f>IFERROR(INDEX(잔가map!$C$14:$AR$18,MATCH(차량DB!$AD$5,잔가map!$B$14:$B$18,0),MATCH(차량DB!Y440,잔가map!$C$13:$AR$13,0)),"")</f>
        <v>0.36</v>
      </c>
      <c r="AE440" s="643"/>
      <c r="AF440" s="644"/>
      <c r="AG440" s="644"/>
      <c r="AH440" s="644"/>
      <c r="AI440" s="644"/>
      <c r="AJ440" s="644"/>
      <c r="AK440" s="547"/>
      <c r="AL440" s="576"/>
    </row>
    <row r="441" spans="5:38" x14ac:dyDescent="0.3">
      <c r="E441" s="293" t="s">
        <v>321</v>
      </c>
      <c r="F441" s="605" t="s">
        <v>980</v>
      </c>
      <c r="G441" s="294">
        <v>1991</v>
      </c>
      <c r="H441" s="295" t="s">
        <v>58</v>
      </c>
      <c r="I441" s="294">
        <v>103400000</v>
      </c>
      <c r="P441" s="295" t="s">
        <v>576</v>
      </c>
      <c r="R441" s="500">
        <v>0</v>
      </c>
      <c r="S441" s="639" t="s">
        <v>1287</v>
      </c>
      <c r="T441" s="640"/>
      <c r="U441" s="640"/>
      <c r="V441" s="640"/>
      <c r="W441" s="640"/>
      <c r="X441" s="640"/>
      <c r="Y441" s="553" t="s">
        <v>366</v>
      </c>
      <c r="Z441" s="527">
        <f>IFERROR(INDEX(잔가map!$C$14:$AR$18,MATCH(차량DB!$Z$5,잔가map!$B$14:$B$18,0),MATCH(차량DB!Y441,잔가map!$C$13:$AR$13,0)),"")</f>
        <v>0.66999999999999993</v>
      </c>
      <c r="AA441" s="527">
        <f>IFERROR(INDEX(잔가map!$C$14:$AR$18,MATCH(차량DB!$AA$5,잔가map!$B$14:$B$18,0),MATCH(차량DB!Y441,잔가map!$C$13:$AR$13,0)),"")</f>
        <v>0.59</v>
      </c>
      <c r="AB441" s="527">
        <f>IFERROR(INDEX(잔가map!$C$14:$AR$18,MATCH(차량DB!$AB$5,잔가map!$B$14:$B$18,0),MATCH(차량DB!Y441,잔가map!$C$13:$AR$13,0)),"")</f>
        <v>0.49999999999999989</v>
      </c>
      <c r="AC441" s="527">
        <f>IFERROR(INDEX(잔가map!$C$14:$AR$18,MATCH(차량DB!$AC$5,잔가map!$B$14:$B$18,0),MATCH(차량DB!Y441,잔가map!$C$13:$AR$13,0)),"")</f>
        <v>0.42</v>
      </c>
      <c r="AD441" s="527">
        <f>IFERROR(INDEX(잔가map!$C$14:$AR$18,MATCH(차량DB!$AD$5,잔가map!$B$14:$B$18,0),MATCH(차량DB!Y441,잔가map!$C$13:$AR$13,0)),"")</f>
        <v>0.36</v>
      </c>
      <c r="AE441" s="643"/>
      <c r="AF441" s="644"/>
      <c r="AG441" s="644"/>
      <c r="AH441" s="644"/>
      <c r="AI441" s="644"/>
      <c r="AJ441" s="644"/>
      <c r="AK441" s="547"/>
      <c r="AL441" s="576"/>
    </row>
    <row r="442" spans="5:38" x14ac:dyDescent="0.3">
      <c r="E442" s="293" t="s">
        <v>559</v>
      </c>
      <c r="F442" s="605" t="s">
        <v>1184</v>
      </c>
      <c r="G442" s="294">
        <v>1999</v>
      </c>
      <c r="H442" s="295" t="s">
        <v>58</v>
      </c>
      <c r="I442" s="294">
        <v>116600000</v>
      </c>
      <c r="P442" s="295" t="s">
        <v>1354</v>
      </c>
      <c r="R442" s="500"/>
      <c r="S442" s="639" t="s">
        <v>1224</v>
      </c>
      <c r="T442" s="640"/>
      <c r="U442" s="640"/>
      <c r="V442" s="640"/>
      <c r="W442" s="640"/>
      <c r="X442" s="640"/>
      <c r="Y442" s="553" t="s">
        <v>1332</v>
      </c>
      <c r="Z442" s="527">
        <f>IFERROR(INDEX(잔가map!$C$14:$AR$18,MATCH(차량DB!$Z$5,잔가map!$B$14:$B$18,0),MATCH(차량DB!Y442,잔가map!$C$13:$AR$13,0)),"")</f>
        <v>0.8</v>
      </c>
      <c r="AA442" s="527">
        <f>IFERROR(INDEX(잔가map!$C$14:$AR$18,MATCH(차량DB!$AA$5,잔가map!$B$14:$B$18,0),MATCH(차량DB!Y442,잔가map!$C$13:$AR$13,0)),"")</f>
        <v>0.72</v>
      </c>
      <c r="AB442" s="527">
        <f>IFERROR(INDEX(잔가map!$C$14:$AR$18,MATCH(차량DB!$AB$5,잔가map!$B$14:$B$18,0),MATCH(차량DB!Y442,잔가map!$C$13:$AR$13,0)),"")</f>
        <v>0.63</v>
      </c>
      <c r="AC442" s="527">
        <f>IFERROR(INDEX(잔가map!$C$14:$AR$18,MATCH(차량DB!$AC$5,잔가map!$B$14:$B$18,0),MATCH(차량DB!Y442,잔가map!$C$13:$AR$13,0)),"")</f>
        <v>0.55000000000000004</v>
      </c>
      <c r="AD442" s="527">
        <f>IFERROR(INDEX(잔가map!$C$14:$AR$18,MATCH(차량DB!$AD$5,잔가map!$B$14:$B$18,0),MATCH(차량DB!Y442,잔가map!$C$13:$AR$13,0)),"")</f>
        <v>0.49</v>
      </c>
      <c r="AE442" s="643"/>
      <c r="AF442" s="644"/>
      <c r="AG442" s="644"/>
      <c r="AH442" s="644"/>
      <c r="AI442" s="644"/>
      <c r="AJ442" s="644"/>
      <c r="AK442" s="547"/>
      <c r="AL442" s="576"/>
    </row>
    <row r="443" spans="5:38" x14ac:dyDescent="0.3">
      <c r="E443" s="293" t="s">
        <v>559</v>
      </c>
      <c r="F443" s="605" t="s">
        <v>981</v>
      </c>
      <c r="G443" s="294">
        <v>1993</v>
      </c>
      <c r="H443" s="295" t="s">
        <v>58</v>
      </c>
      <c r="I443" s="294">
        <v>112600000</v>
      </c>
      <c r="P443" s="295" t="s">
        <v>576</v>
      </c>
      <c r="R443" s="500">
        <v>0</v>
      </c>
      <c r="S443" s="639" t="s">
        <v>1225</v>
      </c>
      <c r="T443" s="640"/>
      <c r="U443" s="640"/>
      <c r="V443" s="640"/>
      <c r="W443" s="640"/>
      <c r="X443" s="640"/>
      <c r="Y443" s="553" t="s">
        <v>1332</v>
      </c>
      <c r="Z443" s="527">
        <f>IFERROR(INDEX(잔가map!$C$14:$AR$18,MATCH(차량DB!$Z$5,잔가map!$B$14:$B$18,0),MATCH(차량DB!Y443,잔가map!$C$13:$AR$13,0)),"")</f>
        <v>0.8</v>
      </c>
      <c r="AA443" s="527">
        <f>IFERROR(INDEX(잔가map!$C$14:$AR$18,MATCH(차량DB!$AA$5,잔가map!$B$14:$B$18,0),MATCH(차량DB!Y443,잔가map!$C$13:$AR$13,0)),"")</f>
        <v>0.72</v>
      </c>
      <c r="AB443" s="527">
        <f>IFERROR(INDEX(잔가map!$C$14:$AR$18,MATCH(차량DB!$AB$5,잔가map!$B$14:$B$18,0),MATCH(차량DB!Y443,잔가map!$C$13:$AR$13,0)),"")</f>
        <v>0.63</v>
      </c>
      <c r="AC443" s="527">
        <f>IFERROR(INDEX(잔가map!$C$14:$AR$18,MATCH(차량DB!$AC$5,잔가map!$B$14:$B$18,0),MATCH(차량DB!Y443,잔가map!$C$13:$AR$13,0)),"")</f>
        <v>0.55000000000000004</v>
      </c>
      <c r="AD443" s="527">
        <f>IFERROR(INDEX(잔가map!$C$14:$AR$18,MATCH(차량DB!$AD$5,잔가map!$B$14:$B$18,0),MATCH(차량DB!Y443,잔가map!$C$13:$AR$13,0)),"")</f>
        <v>0.49</v>
      </c>
      <c r="AE443" s="643"/>
      <c r="AF443" s="644"/>
      <c r="AG443" s="644"/>
      <c r="AH443" s="644"/>
      <c r="AI443" s="644"/>
      <c r="AJ443" s="644"/>
      <c r="AK443" s="547"/>
      <c r="AL443" s="575"/>
    </row>
    <row r="444" spans="5:38" x14ac:dyDescent="0.3">
      <c r="E444" s="293" t="s">
        <v>559</v>
      </c>
      <c r="F444" s="605" t="s">
        <v>1137</v>
      </c>
      <c r="G444" s="294">
        <v>2989</v>
      </c>
      <c r="H444" s="295" t="s">
        <v>58</v>
      </c>
      <c r="I444" s="294">
        <v>137000000</v>
      </c>
      <c r="P444" s="295" t="s">
        <v>576</v>
      </c>
      <c r="R444" s="500">
        <v>0</v>
      </c>
      <c r="S444" s="639" t="s">
        <v>1224</v>
      </c>
      <c r="T444" s="640"/>
      <c r="U444" s="640"/>
      <c r="V444" s="640"/>
      <c r="W444" s="640"/>
      <c r="X444" s="640"/>
      <c r="Y444" s="553" t="s">
        <v>1332</v>
      </c>
      <c r="Z444" s="527">
        <f>IFERROR(INDEX(잔가map!$C$14:$AR$18,MATCH(차량DB!$Z$5,잔가map!$B$14:$B$18,0),MATCH(차량DB!Y444,잔가map!$C$13:$AR$13,0)),"")</f>
        <v>0.8</v>
      </c>
      <c r="AA444" s="527">
        <f>IFERROR(INDEX(잔가map!$C$14:$AR$18,MATCH(차량DB!$AA$5,잔가map!$B$14:$B$18,0),MATCH(차량DB!Y444,잔가map!$C$13:$AR$13,0)),"")</f>
        <v>0.72</v>
      </c>
      <c r="AB444" s="527">
        <f>IFERROR(INDEX(잔가map!$C$14:$AR$18,MATCH(차량DB!$AB$5,잔가map!$B$14:$B$18,0),MATCH(차량DB!Y444,잔가map!$C$13:$AR$13,0)),"")</f>
        <v>0.63</v>
      </c>
      <c r="AC444" s="527">
        <f>IFERROR(INDEX(잔가map!$C$14:$AR$18,MATCH(차량DB!$AC$5,잔가map!$B$14:$B$18,0),MATCH(차량DB!Y444,잔가map!$C$13:$AR$13,0)),"")</f>
        <v>0.55000000000000004</v>
      </c>
      <c r="AD444" s="527">
        <f>IFERROR(INDEX(잔가map!$C$14:$AR$18,MATCH(차량DB!$AD$5,잔가map!$B$14:$B$18,0),MATCH(차량DB!Y444,잔가map!$C$13:$AR$13,0)),"")</f>
        <v>0.49</v>
      </c>
      <c r="AE444" s="643"/>
      <c r="AF444" s="644"/>
      <c r="AG444" s="644"/>
      <c r="AH444" s="644"/>
      <c r="AI444" s="644"/>
      <c r="AJ444" s="644"/>
      <c r="AK444" s="547"/>
      <c r="AL444" s="575"/>
    </row>
    <row r="445" spans="5:38" x14ac:dyDescent="0.3">
      <c r="E445" s="293" t="s">
        <v>321</v>
      </c>
      <c r="F445" s="605" t="s">
        <v>1140</v>
      </c>
      <c r="G445" s="294">
        <v>2998</v>
      </c>
      <c r="H445" s="295" t="s">
        <v>58</v>
      </c>
      <c r="I445" s="294">
        <v>134400000</v>
      </c>
      <c r="P445" s="295" t="s">
        <v>1123</v>
      </c>
      <c r="R445" s="500"/>
      <c r="S445" s="639" t="s">
        <v>1227</v>
      </c>
      <c r="T445" s="640"/>
      <c r="U445" s="640"/>
      <c r="V445" s="640"/>
      <c r="W445" s="640"/>
      <c r="X445" s="640"/>
      <c r="Y445" s="553" t="s">
        <v>1332</v>
      </c>
      <c r="Z445" s="527">
        <f>IFERROR(INDEX(잔가map!$C$14:$AR$18,MATCH(차량DB!$Z$5,잔가map!$B$14:$B$18,0),MATCH(차량DB!Y445,잔가map!$C$13:$AR$13,0)),"")</f>
        <v>0.8</v>
      </c>
      <c r="AA445" s="527">
        <f>IFERROR(INDEX(잔가map!$C$14:$AR$18,MATCH(차량DB!$AA$5,잔가map!$B$14:$B$18,0),MATCH(차량DB!Y445,잔가map!$C$13:$AR$13,0)),"")</f>
        <v>0.72</v>
      </c>
      <c r="AB445" s="527">
        <f>IFERROR(INDEX(잔가map!$C$14:$AR$18,MATCH(차량DB!$AB$5,잔가map!$B$14:$B$18,0),MATCH(차량DB!Y445,잔가map!$C$13:$AR$13,0)),"")</f>
        <v>0.63</v>
      </c>
      <c r="AC445" s="527">
        <f>IFERROR(INDEX(잔가map!$C$14:$AR$18,MATCH(차량DB!$AC$5,잔가map!$B$14:$B$18,0),MATCH(차량DB!Y445,잔가map!$C$13:$AR$13,0)),"")</f>
        <v>0.55000000000000004</v>
      </c>
      <c r="AD445" s="527">
        <f>IFERROR(INDEX(잔가map!$C$14:$AR$18,MATCH(차량DB!$AD$5,잔가map!$B$14:$B$18,0),MATCH(차량DB!Y445,잔가map!$C$13:$AR$13,0)),"")</f>
        <v>0.49</v>
      </c>
      <c r="AE445" s="643"/>
      <c r="AF445" s="644"/>
      <c r="AG445" s="644"/>
      <c r="AH445" s="644"/>
      <c r="AI445" s="644"/>
      <c r="AJ445" s="644"/>
      <c r="AK445" s="547"/>
      <c r="AL445" s="575"/>
    </row>
    <row r="446" spans="5:38" x14ac:dyDescent="0.3">
      <c r="E446" s="293" t="s">
        <v>559</v>
      </c>
      <c r="F446" s="605" t="s">
        <v>1139</v>
      </c>
      <c r="G446" s="294">
        <v>2998</v>
      </c>
      <c r="H446" s="295" t="s">
        <v>58</v>
      </c>
      <c r="I446" s="294">
        <v>134400000</v>
      </c>
      <c r="P446" s="295" t="s">
        <v>576</v>
      </c>
      <c r="R446" s="500">
        <v>0</v>
      </c>
      <c r="S446" s="639" t="s">
        <v>1227</v>
      </c>
      <c r="T446" s="640"/>
      <c r="U446" s="640"/>
      <c r="V446" s="640"/>
      <c r="W446" s="640"/>
      <c r="X446" s="640"/>
      <c r="Y446" s="553" t="s">
        <v>1332</v>
      </c>
      <c r="Z446" s="527">
        <f>IFERROR(INDEX(잔가map!$C$14:$AR$18,MATCH(차량DB!$Z$5,잔가map!$B$14:$B$18,0),MATCH(차량DB!Y446,잔가map!$C$13:$AR$13,0)),"")</f>
        <v>0.8</v>
      </c>
      <c r="AA446" s="527">
        <f>IFERROR(INDEX(잔가map!$C$14:$AR$18,MATCH(차량DB!$AA$5,잔가map!$B$14:$B$18,0),MATCH(차량DB!Y446,잔가map!$C$13:$AR$13,0)),"")</f>
        <v>0.72</v>
      </c>
      <c r="AB446" s="527">
        <f>IFERROR(INDEX(잔가map!$C$14:$AR$18,MATCH(차량DB!$AB$5,잔가map!$B$14:$B$18,0),MATCH(차량DB!Y446,잔가map!$C$13:$AR$13,0)),"")</f>
        <v>0.63</v>
      </c>
      <c r="AC446" s="527">
        <f>IFERROR(INDEX(잔가map!$C$14:$AR$18,MATCH(차량DB!$AC$5,잔가map!$B$14:$B$18,0),MATCH(차량DB!Y446,잔가map!$C$13:$AR$13,0)),"")</f>
        <v>0.55000000000000004</v>
      </c>
      <c r="AD446" s="527">
        <f>IFERROR(INDEX(잔가map!$C$14:$AR$18,MATCH(차량DB!$AD$5,잔가map!$B$14:$B$18,0),MATCH(차량DB!Y446,잔가map!$C$13:$AR$13,0)),"")</f>
        <v>0.49</v>
      </c>
      <c r="AE446" s="643"/>
      <c r="AF446" s="644"/>
      <c r="AG446" s="644"/>
      <c r="AH446" s="644"/>
      <c r="AI446" s="644"/>
      <c r="AJ446" s="644"/>
      <c r="AK446" s="547"/>
      <c r="AL446" s="575"/>
    </row>
    <row r="447" spans="5:38" x14ac:dyDescent="0.3">
      <c r="E447" s="293" t="s">
        <v>321</v>
      </c>
      <c r="F447" s="605" t="s">
        <v>982</v>
      </c>
      <c r="G447" s="294">
        <v>2998</v>
      </c>
      <c r="H447" s="295" t="s">
        <v>58</v>
      </c>
      <c r="I447" s="294">
        <v>151500000</v>
      </c>
      <c r="P447" s="295" t="s">
        <v>576</v>
      </c>
      <c r="R447" s="500">
        <v>0</v>
      </c>
      <c r="S447" s="639" t="s">
        <v>1287</v>
      </c>
      <c r="T447" s="640"/>
      <c r="U447" s="640"/>
      <c r="V447" s="640"/>
      <c r="W447" s="640"/>
      <c r="X447" s="640"/>
      <c r="Y447" s="553" t="s">
        <v>366</v>
      </c>
      <c r="Z447" s="527">
        <f>IFERROR(INDEX(잔가map!$C$14:$AR$18,MATCH(차량DB!$Z$5,잔가map!$B$14:$B$18,0),MATCH(차량DB!Y447,잔가map!$C$13:$AR$13,0)),"")</f>
        <v>0.66999999999999993</v>
      </c>
      <c r="AA447" s="527">
        <f>IFERROR(INDEX(잔가map!$C$14:$AR$18,MATCH(차량DB!$AA$5,잔가map!$B$14:$B$18,0),MATCH(차량DB!Y447,잔가map!$C$13:$AR$13,0)),"")</f>
        <v>0.59</v>
      </c>
      <c r="AB447" s="527">
        <f>IFERROR(INDEX(잔가map!$C$14:$AR$18,MATCH(차량DB!$AB$5,잔가map!$B$14:$B$18,0),MATCH(차량DB!Y447,잔가map!$C$13:$AR$13,0)),"")</f>
        <v>0.49999999999999989</v>
      </c>
      <c r="AC447" s="527">
        <f>IFERROR(INDEX(잔가map!$C$14:$AR$18,MATCH(차량DB!$AC$5,잔가map!$B$14:$B$18,0),MATCH(차량DB!Y447,잔가map!$C$13:$AR$13,0)),"")</f>
        <v>0.42</v>
      </c>
      <c r="AD447" s="527">
        <f>IFERROR(INDEX(잔가map!$C$14:$AR$18,MATCH(차량DB!$AD$5,잔가map!$B$14:$B$18,0),MATCH(차량DB!Y447,잔가map!$C$13:$AR$13,0)),"")</f>
        <v>0.36</v>
      </c>
      <c r="AE447" s="643"/>
      <c r="AF447" s="644"/>
      <c r="AG447" s="644"/>
      <c r="AH447" s="644"/>
      <c r="AI447" s="644"/>
      <c r="AJ447" s="644"/>
      <c r="AK447" s="547"/>
      <c r="AL447" s="575"/>
    </row>
    <row r="448" spans="5:38" x14ac:dyDescent="0.3">
      <c r="E448" s="293" t="s">
        <v>321</v>
      </c>
      <c r="F448" s="605" t="s">
        <v>1138</v>
      </c>
      <c r="G448" s="294">
        <v>2998</v>
      </c>
      <c r="H448" s="295" t="s">
        <v>58</v>
      </c>
      <c r="I448" s="294">
        <v>155400000</v>
      </c>
      <c r="P448" s="295" t="s">
        <v>576</v>
      </c>
      <c r="R448" s="500">
        <v>0</v>
      </c>
      <c r="S448" s="639" t="s">
        <v>1298</v>
      </c>
      <c r="T448" s="640"/>
      <c r="U448" s="640"/>
      <c r="V448" s="640"/>
      <c r="W448" s="640"/>
      <c r="X448" s="640"/>
      <c r="Y448" s="553" t="s">
        <v>366</v>
      </c>
      <c r="Z448" s="527">
        <f>IFERROR(INDEX(잔가map!$C$14:$AR$18,MATCH(차량DB!$Z$5,잔가map!$B$14:$B$18,0),MATCH(차량DB!Y448,잔가map!$C$13:$AR$13,0)),"")</f>
        <v>0.66999999999999993</v>
      </c>
      <c r="AA448" s="527">
        <f>IFERROR(INDEX(잔가map!$C$14:$AR$18,MATCH(차량DB!$AA$5,잔가map!$B$14:$B$18,0),MATCH(차량DB!Y448,잔가map!$C$13:$AR$13,0)),"")</f>
        <v>0.59</v>
      </c>
      <c r="AB448" s="527">
        <f>IFERROR(INDEX(잔가map!$C$14:$AR$18,MATCH(차량DB!$AB$5,잔가map!$B$14:$B$18,0),MATCH(차량DB!Y448,잔가map!$C$13:$AR$13,0)),"")</f>
        <v>0.49999999999999989</v>
      </c>
      <c r="AC448" s="527">
        <f>IFERROR(INDEX(잔가map!$C$14:$AR$18,MATCH(차량DB!$AC$5,잔가map!$B$14:$B$18,0),MATCH(차량DB!Y448,잔가map!$C$13:$AR$13,0)),"")</f>
        <v>0.42</v>
      </c>
      <c r="AD448" s="527">
        <f>IFERROR(INDEX(잔가map!$C$14:$AR$18,MATCH(차량DB!$AD$5,잔가map!$B$14:$B$18,0),MATCH(차량DB!Y448,잔가map!$C$13:$AR$13,0)),"")</f>
        <v>0.36</v>
      </c>
      <c r="AE448" s="643"/>
      <c r="AF448" s="644"/>
      <c r="AG448" s="644"/>
      <c r="AH448" s="644"/>
      <c r="AI448" s="644"/>
      <c r="AJ448" s="644"/>
      <c r="AK448" s="547"/>
      <c r="AL448" s="575"/>
    </row>
    <row r="449" spans="5:38" x14ac:dyDescent="0.3">
      <c r="E449" s="293" t="s">
        <v>321</v>
      </c>
      <c r="F449" s="605" t="s">
        <v>1141</v>
      </c>
      <c r="G449" s="294">
        <v>2989</v>
      </c>
      <c r="H449" s="295" t="s">
        <v>305</v>
      </c>
      <c r="I449" s="294">
        <v>160200000</v>
      </c>
      <c r="P449" s="295" t="s">
        <v>576</v>
      </c>
      <c r="R449" s="500">
        <v>0</v>
      </c>
      <c r="S449" s="639" t="s">
        <v>1247</v>
      </c>
      <c r="T449" s="640"/>
      <c r="U449" s="640"/>
      <c r="V449" s="640"/>
      <c r="W449" s="640"/>
      <c r="X449" s="640"/>
      <c r="Y449" s="553" t="s">
        <v>359</v>
      </c>
      <c r="Z449" s="527">
        <f>IFERROR(INDEX(잔가map!$C$14:$AR$18,MATCH(차량DB!$Z$5,잔가map!$B$14:$B$18,0),MATCH(차량DB!Y449,잔가map!$C$13:$AR$13,0)),"")</f>
        <v>0.72</v>
      </c>
      <c r="AA449" s="527">
        <f>IFERROR(INDEX(잔가map!$C$14:$AR$18,MATCH(차량DB!$AA$5,잔가map!$B$14:$B$18,0),MATCH(차량DB!Y449,잔가map!$C$13:$AR$13,0)),"")</f>
        <v>0.64</v>
      </c>
      <c r="AB449" s="527">
        <f>IFERROR(INDEX(잔가map!$C$14:$AR$18,MATCH(차량DB!$AB$5,잔가map!$B$14:$B$18,0),MATCH(차량DB!Y449,잔가map!$C$13:$AR$13,0)),"")</f>
        <v>0.54999999999999993</v>
      </c>
      <c r="AC449" s="527">
        <f>IFERROR(INDEX(잔가map!$C$14:$AR$18,MATCH(차량DB!$AC$5,잔가map!$B$14:$B$18,0),MATCH(차량DB!Y449,잔가map!$C$13:$AR$13,0)),"")</f>
        <v>0.47000000000000003</v>
      </c>
      <c r="AD449" s="527">
        <f>IFERROR(INDEX(잔가map!$C$14:$AR$18,MATCH(차량DB!$AD$5,잔가map!$B$14:$B$18,0),MATCH(차량DB!Y449,잔가map!$C$13:$AR$13,0)),"")</f>
        <v>0.41000000000000003</v>
      </c>
      <c r="AE449" s="643"/>
      <c r="AF449" s="644"/>
      <c r="AG449" s="644"/>
      <c r="AH449" s="644"/>
      <c r="AI449" s="644"/>
      <c r="AJ449" s="644"/>
      <c r="AK449" s="547"/>
      <c r="AL449" s="576"/>
    </row>
    <row r="450" spans="5:38" x14ac:dyDescent="0.3">
      <c r="E450" s="293" t="s">
        <v>321</v>
      </c>
      <c r="F450" s="605" t="s">
        <v>1142</v>
      </c>
      <c r="G450" s="294">
        <v>2998</v>
      </c>
      <c r="H450" s="295" t="s">
        <v>305</v>
      </c>
      <c r="I450" s="294">
        <v>153600000</v>
      </c>
      <c r="P450" s="295" t="s">
        <v>1143</v>
      </c>
      <c r="R450" s="500"/>
      <c r="S450" s="639" t="s">
        <v>1248</v>
      </c>
      <c r="T450" s="640"/>
      <c r="U450" s="640"/>
      <c r="V450" s="640"/>
      <c r="W450" s="640"/>
      <c r="X450" s="640"/>
      <c r="Y450" s="553" t="s">
        <v>359</v>
      </c>
      <c r="Z450" s="527">
        <f>IFERROR(INDEX(잔가map!$C$14:$AR$18,MATCH(차량DB!$Z$5,잔가map!$B$14:$B$18,0),MATCH(차량DB!Y450,잔가map!$C$13:$AR$13,0)),"")</f>
        <v>0.72</v>
      </c>
      <c r="AA450" s="527">
        <f>IFERROR(INDEX(잔가map!$C$14:$AR$18,MATCH(차량DB!$AA$5,잔가map!$B$14:$B$18,0),MATCH(차량DB!Y450,잔가map!$C$13:$AR$13,0)),"")</f>
        <v>0.64</v>
      </c>
      <c r="AB450" s="527">
        <f>IFERROR(INDEX(잔가map!$C$14:$AR$18,MATCH(차량DB!$AB$5,잔가map!$B$14:$B$18,0),MATCH(차량DB!Y450,잔가map!$C$13:$AR$13,0)),"")</f>
        <v>0.54999999999999993</v>
      </c>
      <c r="AC450" s="527">
        <f>IFERROR(INDEX(잔가map!$C$14:$AR$18,MATCH(차량DB!$AC$5,잔가map!$B$14:$B$18,0),MATCH(차량DB!Y450,잔가map!$C$13:$AR$13,0)),"")</f>
        <v>0.47000000000000003</v>
      </c>
      <c r="AD450" s="527">
        <f>IFERROR(INDEX(잔가map!$C$14:$AR$18,MATCH(차량DB!$AD$5,잔가map!$B$14:$B$18,0),MATCH(차량DB!Y450,잔가map!$C$13:$AR$13,0)),"")</f>
        <v>0.41000000000000003</v>
      </c>
      <c r="AE450" s="643"/>
      <c r="AF450" s="644"/>
      <c r="AG450" s="644"/>
      <c r="AH450" s="644"/>
      <c r="AI450" s="644"/>
      <c r="AJ450" s="644"/>
      <c r="AK450" s="547"/>
      <c r="AL450" s="576"/>
    </row>
    <row r="451" spans="5:38" x14ac:dyDescent="0.3">
      <c r="E451" s="293" t="s">
        <v>559</v>
      </c>
      <c r="F451" s="605" t="s">
        <v>983</v>
      </c>
      <c r="G451" s="294">
        <v>3982</v>
      </c>
      <c r="H451" s="295" t="s">
        <v>305</v>
      </c>
      <c r="I451" s="294">
        <v>180100000</v>
      </c>
      <c r="P451" s="295" t="s">
        <v>576</v>
      </c>
      <c r="R451" s="500">
        <v>0</v>
      </c>
      <c r="S451" s="639" t="s">
        <v>1248</v>
      </c>
      <c r="T451" s="640"/>
      <c r="U451" s="640"/>
      <c r="V451" s="640"/>
      <c r="W451" s="640"/>
      <c r="X451" s="640"/>
      <c r="Y451" s="553" t="s">
        <v>359</v>
      </c>
      <c r="Z451" s="527">
        <f>IFERROR(INDEX(잔가map!$C$14:$AR$18,MATCH(차량DB!$Z$5,잔가map!$B$14:$B$18,0),MATCH(차량DB!Y451,잔가map!$C$13:$AR$13,0)),"")</f>
        <v>0.72</v>
      </c>
      <c r="AA451" s="527">
        <f>IFERROR(INDEX(잔가map!$C$14:$AR$18,MATCH(차량DB!$AA$5,잔가map!$B$14:$B$18,0),MATCH(차량DB!Y451,잔가map!$C$13:$AR$13,0)),"")</f>
        <v>0.64</v>
      </c>
      <c r="AB451" s="527">
        <f>IFERROR(INDEX(잔가map!$C$14:$AR$18,MATCH(차량DB!$AB$5,잔가map!$B$14:$B$18,0),MATCH(차량DB!Y451,잔가map!$C$13:$AR$13,0)),"")</f>
        <v>0.54999999999999993</v>
      </c>
      <c r="AC451" s="527">
        <f>IFERROR(INDEX(잔가map!$C$14:$AR$18,MATCH(차량DB!$AC$5,잔가map!$B$14:$B$18,0),MATCH(차량DB!Y451,잔가map!$C$13:$AR$13,0)),"")</f>
        <v>0.47000000000000003</v>
      </c>
      <c r="AD451" s="527">
        <f>IFERROR(INDEX(잔가map!$C$14:$AR$18,MATCH(차량DB!$AD$5,잔가map!$B$14:$B$18,0),MATCH(차량DB!Y451,잔가map!$C$13:$AR$13,0)),"")</f>
        <v>0.41000000000000003</v>
      </c>
      <c r="AE451" s="643"/>
      <c r="AF451" s="644"/>
      <c r="AG451" s="644"/>
      <c r="AH451" s="644"/>
      <c r="AI451" s="644"/>
      <c r="AJ451" s="644"/>
      <c r="AK451" s="574"/>
      <c r="AL451" s="576"/>
    </row>
    <row r="452" spans="5:38" x14ac:dyDescent="0.3">
      <c r="E452" s="293" t="s">
        <v>559</v>
      </c>
      <c r="F452" s="605" t="s">
        <v>984</v>
      </c>
      <c r="G452" s="294">
        <v>3982</v>
      </c>
      <c r="H452" s="295" t="s">
        <v>305</v>
      </c>
      <c r="I452" s="294">
        <v>280700000</v>
      </c>
      <c r="P452" s="295" t="s">
        <v>576</v>
      </c>
      <c r="R452" s="500">
        <v>0</v>
      </c>
      <c r="S452" s="639" t="s">
        <v>1249</v>
      </c>
      <c r="T452" s="640"/>
      <c r="U452" s="640"/>
      <c r="V452" s="640"/>
      <c r="W452" s="640"/>
      <c r="X452" s="640"/>
      <c r="Y452" s="553" t="s">
        <v>366</v>
      </c>
      <c r="Z452" s="527">
        <f>IFERROR(INDEX(잔가map!$C$14:$AR$18,MATCH(차량DB!$Z$5,잔가map!$B$14:$B$18,0),MATCH(차량DB!Y452,잔가map!$C$13:$AR$13,0)),"")</f>
        <v>0.66999999999999993</v>
      </c>
      <c r="AA452" s="527">
        <f>IFERROR(INDEX(잔가map!$C$14:$AR$18,MATCH(차량DB!$AA$5,잔가map!$B$14:$B$18,0),MATCH(차량DB!Y452,잔가map!$C$13:$AR$13,0)),"")</f>
        <v>0.59</v>
      </c>
      <c r="AB452" s="527">
        <f>IFERROR(INDEX(잔가map!$C$14:$AR$18,MATCH(차량DB!$AB$5,잔가map!$B$14:$B$18,0),MATCH(차량DB!Y452,잔가map!$C$13:$AR$13,0)),"")</f>
        <v>0.49999999999999989</v>
      </c>
      <c r="AC452" s="527">
        <f>IFERROR(INDEX(잔가map!$C$14:$AR$18,MATCH(차량DB!$AC$5,잔가map!$B$14:$B$18,0),MATCH(차량DB!Y452,잔가map!$C$13:$AR$13,0)),"")</f>
        <v>0.42</v>
      </c>
      <c r="AD452" s="527">
        <f>IFERROR(INDEX(잔가map!$C$14:$AR$18,MATCH(차량DB!$AD$5,잔가map!$B$14:$B$18,0),MATCH(차량DB!Y452,잔가map!$C$13:$AR$13,0)),"")</f>
        <v>0.36</v>
      </c>
      <c r="AE452" s="643"/>
      <c r="AF452" s="644"/>
      <c r="AG452" s="644"/>
      <c r="AH452" s="644"/>
      <c r="AI452" s="644"/>
      <c r="AJ452" s="644"/>
      <c r="AK452" s="547"/>
      <c r="AL452" s="576"/>
    </row>
    <row r="453" spans="5:38" x14ac:dyDescent="0.3">
      <c r="E453" s="293" t="s">
        <v>559</v>
      </c>
      <c r="F453" s="605" t="s">
        <v>985</v>
      </c>
      <c r="G453" s="294">
        <v>3982</v>
      </c>
      <c r="H453" s="295" t="s">
        <v>305</v>
      </c>
      <c r="I453" s="294">
        <v>317600000</v>
      </c>
      <c r="P453" s="295" t="s">
        <v>576</v>
      </c>
      <c r="R453" s="500">
        <v>0</v>
      </c>
      <c r="S453" s="639" t="s">
        <v>1249</v>
      </c>
      <c r="T453" s="640"/>
      <c r="U453" s="640"/>
      <c r="V453" s="640"/>
      <c r="W453" s="640"/>
      <c r="X453" s="640"/>
      <c r="Y453" s="553" t="s">
        <v>366</v>
      </c>
      <c r="Z453" s="527">
        <f>IFERROR(INDEX(잔가map!$C$14:$AR$18,MATCH(차량DB!$Z$5,잔가map!$B$14:$B$18,0),MATCH(차량DB!Y453,잔가map!$C$13:$AR$13,0)),"")</f>
        <v>0.66999999999999993</v>
      </c>
      <c r="AA453" s="527">
        <f>IFERROR(INDEX(잔가map!$C$14:$AR$18,MATCH(차량DB!$AA$5,잔가map!$B$14:$B$18,0),MATCH(차량DB!Y453,잔가map!$C$13:$AR$13,0)),"")</f>
        <v>0.59</v>
      </c>
      <c r="AB453" s="527">
        <f>IFERROR(INDEX(잔가map!$C$14:$AR$18,MATCH(차량DB!$AB$5,잔가map!$B$14:$B$18,0),MATCH(차량DB!Y453,잔가map!$C$13:$AR$13,0)),"")</f>
        <v>0.49999999999999989</v>
      </c>
      <c r="AC453" s="527">
        <f>IFERROR(INDEX(잔가map!$C$14:$AR$18,MATCH(차량DB!$AC$5,잔가map!$B$14:$B$18,0),MATCH(차량DB!Y453,잔가map!$C$13:$AR$13,0)),"")</f>
        <v>0.42</v>
      </c>
      <c r="AD453" s="527">
        <f>IFERROR(INDEX(잔가map!$C$14:$AR$18,MATCH(차량DB!$AD$5,잔가map!$B$14:$B$18,0),MATCH(차량DB!Y453,잔가map!$C$13:$AR$13,0)),"")</f>
        <v>0.36</v>
      </c>
      <c r="AE453" s="643"/>
      <c r="AF453" s="644"/>
      <c r="AG453" s="644"/>
      <c r="AH453" s="644"/>
      <c r="AI453" s="644"/>
      <c r="AJ453" s="644"/>
      <c r="AK453" s="547"/>
      <c r="AL453" s="576"/>
    </row>
    <row r="454" spans="5:38" x14ac:dyDescent="0.3">
      <c r="E454" s="293" t="s">
        <v>559</v>
      </c>
      <c r="F454" s="605" t="s">
        <v>1156</v>
      </c>
      <c r="G454" s="294">
        <v>2989</v>
      </c>
      <c r="H454" s="295" t="s">
        <v>58</v>
      </c>
      <c r="I454" s="294">
        <v>187600000</v>
      </c>
      <c r="P454" s="295" t="s">
        <v>576</v>
      </c>
      <c r="R454" s="500">
        <v>0</v>
      </c>
      <c r="S454" s="639" t="s">
        <v>1262</v>
      </c>
      <c r="T454" s="640"/>
      <c r="U454" s="640"/>
      <c r="V454" s="640"/>
      <c r="W454" s="640"/>
      <c r="X454" s="640"/>
      <c r="Y454" s="553" t="s">
        <v>364</v>
      </c>
      <c r="Z454" s="527">
        <f>IFERROR(INDEX(잔가map!$C$14:$AR$18,MATCH(차량DB!$Z$5,잔가map!$B$14:$B$18,0),MATCH(차량DB!Y454,잔가map!$C$13:$AR$13,0)),"")</f>
        <v>0.73</v>
      </c>
      <c r="AA454" s="527">
        <f>IFERROR(INDEX(잔가map!$C$14:$AR$18,MATCH(차량DB!$AA$5,잔가map!$B$14:$B$18,0),MATCH(차량DB!Y454,잔가map!$C$13:$AR$13,0)),"")</f>
        <v>0.65</v>
      </c>
      <c r="AB454" s="527">
        <f>IFERROR(INDEX(잔가map!$C$14:$AR$18,MATCH(차량DB!$AB$5,잔가map!$B$14:$B$18,0),MATCH(차량DB!Y454,잔가map!$C$13:$AR$13,0)),"")</f>
        <v>0.55999999999999994</v>
      </c>
      <c r="AC454" s="527">
        <f>IFERROR(INDEX(잔가map!$C$14:$AR$18,MATCH(차량DB!$AC$5,잔가map!$B$14:$B$18,0),MATCH(차량DB!Y454,잔가map!$C$13:$AR$13,0)),"")</f>
        <v>0.48000000000000004</v>
      </c>
      <c r="AD454" s="527">
        <f>IFERROR(INDEX(잔가map!$C$14:$AR$18,MATCH(차량DB!$AD$5,잔가map!$B$14:$B$18,0),MATCH(차량DB!Y454,잔가map!$C$13:$AR$13,0)),"")</f>
        <v>0.42000000000000004</v>
      </c>
      <c r="AE454" s="643"/>
      <c r="AF454" s="644"/>
      <c r="AG454" s="644"/>
      <c r="AH454" s="644"/>
      <c r="AI454" s="644"/>
      <c r="AJ454" s="644"/>
      <c r="AK454" s="547"/>
      <c r="AL454" s="576"/>
    </row>
    <row r="455" spans="5:38" x14ac:dyDescent="0.3">
      <c r="E455" s="293" t="s">
        <v>559</v>
      </c>
      <c r="F455" s="605" t="s">
        <v>510</v>
      </c>
      <c r="G455" s="294">
        <v>3982</v>
      </c>
      <c r="H455" s="295" t="s">
        <v>58</v>
      </c>
      <c r="I455" s="294">
        <v>238000000</v>
      </c>
      <c r="P455" s="295" t="s">
        <v>576</v>
      </c>
      <c r="R455" s="500">
        <v>0</v>
      </c>
      <c r="S455" s="639" t="s">
        <v>1262</v>
      </c>
      <c r="T455" s="640"/>
      <c r="U455" s="640"/>
      <c r="V455" s="640"/>
      <c r="W455" s="640"/>
      <c r="X455" s="640"/>
      <c r="Y455" s="553" t="s">
        <v>364</v>
      </c>
      <c r="Z455" s="527">
        <f>IFERROR(INDEX(잔가map!$C$14:$AR$18,MATCH(차량DB!$Z$5,잔가map!$B$14:$B$18,0),MATCH(차량DB!Y455,잔가map!$C$13:$AR$13,0)),"")</f>
        <v>0.73</v>
      </c>
      <c r="AA455" s="527">
        <f>IFERROR(INDEX(잔가map!$C$14:$AR$18,MATCH(차량DB!$AA$5,잔가map!$B$14:$B$18,0),MATCH(차량DB!Y455,잔가map!$C$13:$AR$13,0)),"")</f>
        <v>0.65</v>
      </c>
      <c r="AB455" s="527">
        <f>IFERROR(INDEX(잔가map!$C$14:$AR$18,MATCH(차량DB!$AB$5,잔가map!$B$14:$B$18,0),MATCH(차량DB!Y455,잔가map!$C$13:$AR$13,0)),"")</f>
        <v>0.55999999999999994</v>
      </c>
      <c r="AC455" s="527">
        <f>IFERROR(INDEX(잔가map!$C$14:$AR$18,MATCH(차량DB!$AC$5,잔가map!$B$14:$B$18,0),MATCH(차량DB!Y455,잔가map!$C$13:$AR$13,0)),"")</f>
        <v>0.48000000000000004</v>
      </c>
      <c r="AD455" s="527">
        <f>IFERROR(INDEX(잔가map!$C$14:$AR$18,MATCH(차량DB!$AD$5,잔가map!$B$14:$B$18,0),MATCH(차량DB!Y455,잔가map!$C$13:$AR$13,0)),"")</f>
        <v>0.42000000000000004</v>
      </c>
      <c r="AE455" s="643"/>
      <c r="AF455" s="644"/>
      <c r="AG455" s="644"/>
      <c r="AH455" s="644"/>
      <c r="AI455" s="644"/>
      <c r="AJ455" s="644"/>
      <c r="AK455" s="547"/>
      <c r="AL455" s="576"/>
    </row>
    <row r="456" spans="5:38" x14ac:dyDescent="0.3">
      <c r="E456" s="293" t="s">
        <v>559</v>
      </c>
      <c r="F456" s="605" t="s">
        <v>974</v>
      </c>
      <c r="G456" s="294">
        <v>3982</v>
      </c>
      <c r="H456" s="295" t="s">
        <v>58</v>
      </c>
      <c r="I456" s="294">
        <v>259000000</v>
      </c>
      <c r="P456" s="295" t="s">
        <v>576</v>
      </c>
      <c r="R456" s="500">
        <v>0</v>
      </c>
      <c r="S456" s="639" t="s">
        <v>1262</v>
      </c>
      <c r="T456" s="640"/>
      <c r="U456" s="640"/>
      <c r="V456" s="640"/>
      <c r="W456" s="640"/>
      <c r="X456" s="640"/>
      <c r="Y456" s="553" t="s">
        <v>364</v>
      </c>
      <c r="Z456" s="527">
        <f>IFERROR(INDEX(잔가map!$C$14:$AR$18,MATCH(차량DB!$Z$5,잔가map!$B$14:$B$18,0),MATCH(차량DB!Y456,잔가map!$C$13:$AR$13,0)),"")</f>
        <v>0.73</v>
      </c>
      <c r="AA456" s="527">
        <f>IFERROR(INDEX(잔가map!$C$14:$AR$18,MATCH(차량DB!$AA$5,잔가map!$B$14:$B$18,0),MATCH(차량DB!Y456,잔가map!$C$13:$AR$13,0)),"")</f>
        <v>0.65</v>
      </c>
      <c r="AB456" s="527">
        <f>IFERROR(INDEX(잔가map!$C$14:$AR$18,MATCH(차량DB!$AB$5,잔가map!$B$14:$B$18,0),MATCH(차량DB!Y456,잔가map!$C$13:$AR$13,0)),"")</f>
        <v>0.55999999999999994</v>
      </c>
      <c r="AC456" s="527">
        <f>IFERROR(INDEX(잔가map!$C$14:$AR$18,MATCH(차량DB!$AC$5,잔가map!$B$14:$B$18,0),MATCH(차량DB!Y456,잔가map!$C$13:$AR$13,0)),"")</f>
        <v>0.48000000000000004</v>
      </c>
      <c r="AD456" s="527">
        <f>IFERROR(INDEX(잔가map!$C$14:$AR$18,MATCH(차량DB!$AD$5,잔가map!$B$14:$B$18,0),MATCH(차량DB!Y456,잔가map!$C$13:$AR$13,0)),"")</f>
        <v>0.42000000000000004</v>
      </c>
      <c r="AE456" s="643"/>
      <c r="AF456" s="644"/>
      <c r="AG456" s="644"/>
      <c r="AH456" s="644"/>
      <c r="AI456" s="644"/>
      <c r="AJ456" s="644"/>
      <c r="AK456" s="547"/>
      <c r="AL456" s="576"/>
    </row>
    <row r="457" spans="5:38" x14ac:dyDescent="0.3">
      <c r="E457" s="293" t="s">
        <v>559</v>
      </c>
      <c r="F457" s="605" t="s">
        <v>946</v>
      </c>
      <c r="G457" s="294">
        <v>2999</v>
      </c>
      <c r="H457" s="295" t="s">
        <v>45</v>
      </c>
      <c r="I457" s="294">
        <v>155600000</v>
      </c>
      <c r="P457" s="295" t="s">
        <v>576</v>
      </c>
      <c r="R457" s="500">
        <v>0</v>
      </c>
      <c r="S457" s="639" t="s">
        <v>1248</v>
      </c>
      <c r="T457" s="640"/>
      <c r="U457" s="640"/>
      <c r="V457" s="640"/>
      <c r="W457" s="640"/>
      <c r="X457" s="640"/>
      <c r="Y457" s="553"/>
      <c r="Z457" s="527" t="str">
        <f>IFERROR(INDEX(잔가map!$C$14:$AR$18,MATCH(차량DB!$Z$5,잔가map!$B$14:$B$18,0),MATCH(차량DB!Y457,잔가map!$C$13:$AR$13,0)),"")</f>
        <v/>
      </c>
      <c r="AA457" s="527" t="str">
        <f>IFERROR(INDEX(잔가map!$C$14:$AR$18,MATCH(차량DB!$AA$5,잔가map!$B$14:$B$18,0),MATCH(차량DB!Y457,잔가map!$C$13:$AR$13,0)),"")</f>
        <v/>
      </c>
      <c r="AB457" s="527" t="str">
        <f>IFERROR(INDEX(잔가map!$C$14:$AR$18,MATCH(차량DB!$AB$5,잔가map!$B$14:$B$18,0),MATCH(차량DB!Y457,잔가map!$C$13:$AR$13,0)),"")</f>
        <v/>
      </c>
      <c r="AC457" s="527" t="str">
        <f>IFERROR(INDEX(잔가map!$C$14:$AR$18,MATCH(차량DB!$AC$5,잔가map!$B$14:$B$18,0),MATCH(차량DB!Y457,잔가map!$C$13:$AR$13,0)),"")</f>
        <v/>
      </c>
      <c r="AD457" s="527" t="str">
        <f>IFERROR(INDEX(잔가map!$C$14:$AR$18,MATCH(차량DB!$AD$5,잔가map!$B$14:$B$18,0),MATCH(차량DB!Y457,잔가map!$C$13:$AR$13,0)),"")</f>
        <v/>
      </c>
      <c r="AE457" s="643"/>
      <c r="AF457" s="644"/>
      <c r="AG457" s="644"/>
      <c r="AH457" s="644"/>
      <c r="AI457" s="644"/>
      <c r="AJ457" s="644"/>
      <c r="AK457" s="547"/>
      <c r="AL457" s="576"/>
    </row>
    <row r="458" spans="5:38" x14ac:dyDescent="0.3">
      <c r="E458" s="293" t="s">
        <v>321</v>
      </c>
      <c r="F458" s="605" t="s">
        <v>947</v>
      </c>
      <c r="G458" s="294">
        <v>2999</v>
      </c>
      <c r="H458" s="295" t="s">
        <v>45</v>
      </c>
      <c r="I458" s="294">
        <v>170600000</v>
      </c>
      <c r="P458" s="295" t="s">
        <v>576</v>
      </c>
      <c r="R458" s="500">
        <v>0</v>
      </c>
      <c r="S458" s="639" t="s">
        <v>1248</v>
      </c>
      <c r="T458" s="640"/>
      <c r="U458" s="640"/>
      <c r="V458" s="640"/>
      <c r="W458" s="640"/>
      <c r="X458" s="640"/>
      <c r="Y458" s="553"/>
      <c r="Z458" s="527" t="str">
        <f>IFERROR(INDEX(잔가map!$C$14:$AR$18,MATCH(차량DB!$Z$5,잔가map!$B$14:$B$18,0),MATCH(차량DB!Y458,잔가map!$C$13:$AR$13,0)),"")</f>
        <v/>
      </c>
      <c r="AA458" s="527" t="str">
        <f>IFERROR(INDEX(잔가map!$C$14:$AR$18,MATCH(차량DB!$AA$5,잔가map!$B$14:$B$18,0),MATCH(차량DB!Y458,잔가map!$C$13:$AR$13,0)),"")</f>
        <v/>
      </c>
      <c r="AB458" s="527" t="str">
        <f>IFERROR(INDEX(잔가map!$C$14:$AR$18,MATCH(차량DB!$AB$5,잔가map!$B$14:$B$18,0),MATCH(차량DB!Y458,잔가map!$C$13:$AR$13,0)),"")</f>
        <v/>
      </c>
      <c r="AC458" s="527" t="str">
        <f>IFERROR(INDEX(잔가map!$C$14:$AR$18,MATCH(차량DB!$AC$5,잔가map!$B$14:$B$18,0),MATCH(차량DB!Y458,잔가map!$C$13:$AR$13,0)),"")</f>
        <v/>
      </c>
      <c r="AD458" s="527" t="str">
        <f>IFERROR(INDEX(잔가map!$C$14:$AR$18,MATCH(차량DB!$AD$5,잔가map!$B$14:$B$18,0),MATCH(차량DB!Y458,잔가map!$C$13:$AR$13,0)),"")</f>
        <v/>
      </c>
      <c r="AE458" s="643"/>
      <c r="AF458" s="644"/>
      <c r="AG458" s="644"/>
      <c r="AH458" s="644"/>
      <c r="AI458" s="644"/>
      <c r="AJ458" s="644"/>
      <c r="AK458" s="547"/>
      <c r="AL458" s="576"/>
    </row>
    <row r="459" spans="5:38" x14ac:dyDescent="0.3">
      <c r="E459" s="293" t="s">
        <v>559</v>
      </c>
      <c r="F459" s="605" t="s">
        <v>948</v>
      </c>
      <c r="G459" s="294">
        <v>3982</v>
      </c>
      <c r="H459" s="295" t="s">
        <v>45</v>
      </c>
      <c r="I459" s="294">
        <v>247400000</v>
      </c>
      <c r="P459" s="295" t="s">
        <v>576</v>
      </c>
      <c r="R459" s="500">
        <v>0</v>
      </c>
      <c r="S459" s="639" t="s">
        <v>1269</v>
      </c>
      <c r="T459" s="640"/>
      <c r="U459" s="640"/>
      <c r="V459" s="640"/>
      <c r="W459" s="640"/>
      <c r="X459" s="640"/>
      <c r="Y459" s="553"/>
      <c r="Z459" s="527" t="str">
        <f>IFERROR(INDEX(잔가map!$C$14:$AR$18,MATCH(차량DB!$Z$5,잔가map!$B$14:$B$18,0),MATCH(차량DB!Y459,잔가map!$C$13:$AR$13,0)),"")</f>
        <v/>
      </c>
      <c r="AA459" s="527" t="str">
        <f>IFERROR(INDEX(잔가map!$C$14:$AR$18,MATCH(차량DB!$AA$5,잔가map!$B$14:$B$18,0),MATCH(차량DB!Y459,잔가map!$C$13:$AR$13,0)),"")</f>
        <v/>
      </c>
      <c r="AB459" s="527" t="str">
        <f>IFERROR(INDEX(잔가map!$C$14:$AR$18,MATCH(차량DB!$AB$5,잔가map!$B$14:$B$18,0),MATCH(차량DB!Y459,잔가map!$C$13:$AR$13,0)),"")</f>
        <v/>
      </c>
      <c r="AC459" s="527" t="str">
        <f>IFERROR(INDEX(잔가map!$C$14:$AR$18,MATCH(차량DB!$AC$5,잔가map!$B$14:$B$18,0),MATCH(차량DB!Y459,잔가map!$C$13:$AR$13,0)),"")</f>
        <v/>
      </c>
      <c r="AD459" s="527" t="str">
        <f>IFERROR(INDEX(잔가map!$C$14:$AR$18,MATCH(차량DB!$AD$5,잔가map!$B$14:$B$18,0),MATCH(차량DB!Y459,잔가map!$C$13:$AR$13,0)),"")</f>
        <v/>
      </c>
      <c r="AE459" s="643"/>
      <c r="AF459" s="644"/>
      <c r="AG459" s="644"/>
      <c r="AH459" s="644"/>
      <c r="AI459" s="644"/>
      <c r="AJ459" s="644"/>
      <c r="AK459" s="547"/>
      <c r="AL459" s="576"/>
    </row>
    <row r="460" spans="5:38" x14ac:dyDescent="0.3">
      <c r="E460" s="293" t="s">
        <v>559</v>
      </c>
      <c r="F460" s="605" t="s">
        <v>956</v>
      </c>
      <c r="G460" s="294">
        <v>1</v>
      </c>
      <c r="H460" s="295" t="s">
        <v>58</v>
      </c>
      <c r="I460" s="294">
        <v>67500000</v>
      </c>
      <c r="P460" s="295" t="s">
        <v>576</v>
      </c>
      <c r="R460" s="500"/>
      <c r="S460" s="639"/>
      <c r="T460" s="640"/>
      <c r="U460" s="640"/>
      <c r="V460" s="640"/>
      <c r="W460" s="640"/>
      <c r="X460" s="640"/>
      <c r="Y460" s="553"/>
      <c r="Z460" s="527" t="str">
        <f>IFERROR(INDEX(잔가map!$C$14:$AR$18,MATCH(차량DB!$Z$5,잔가map!$B$14:$B$18,0),MATCH(차량DB!Y460,잔가map!$C$13:$AR$13,0)),"")</f>
        <v/>
      </c>
      <c r="AA460" s="527" t="str">
        <f>IFERROR(INDEX(잔가map!$C$14:$AR$18,MATCH(차량DB!$AA$5,잔가map!$B$14:$B$18,0),MATCH(차량DB!Y460,잔가map!$C$13:$AR$13,0)),"")</f>
        <v/>
      </c>
      <c r="AB460" s="527" t="str">
        <f>IFERROR(INDEX(잔가map!$C$14:$AR$18,MATCH(차량DB!$AB$5,잔가map!$B$14:$B$18,0),MATCH(차량DB!Y460,잔가map!$C$13:$AR$13,0)),"")</f>
        <v/>
      </c>
      <c r="AC460" s="527" t="str">
        <f>IFERROR(INDEX(잔가map!$C$14:$AR$18,MATCH(차량DB!$AC$5,잔가map!$B$14:$B$18,0),MATCH(차량DB!Y460,잔가map!$C$13:$AR$13,0)),"")</f>
        <v/>
      </c>
      <c r="AD460" s="527" t="str">
        <f>IFERROR(INDEX(잔가map!$C$14:$AR$18,MATCH(차량DB!$AD$5,잔가map!$B$14:$B$18,0),MATCH(차량DB!Y460,잔가map!$C$13:$AR$13,0)),"")</f>
        <v/>
      </c>
      <c r="AE460" s="643"/>
      <c r="AF460" s="644"/>
      <c r="AG460" s="644"/>
      <c r="AH460" s="644"/>
      <c r="AI460" s="644"/>
      <c r="AJ460" s="644"/>
      <c r="AK460" s="547"/>
      <c r="AL460" s="576"/>
    </row>
    <row r="461" spans="5:38" x14ac:dyDescent="0.3">
      <c r="E461" s="293" t="s">
        <v>559</v>
      </c>
      <c r="F461" s="605" t="s">
        <v>957</v>
      </c>
      <c r="G461" s="294">
        <v>1</v>
      </c>
      <c r="H461" s="295" t="s">
        <v>58</v>
      </c>
      <c r="I461" s="294">
        <v>74500000</v>
      </c>
      <c r="P461" s="295" t="s">
        <v>576</v>
      </c>
      <c r="R461" s="500"/>
      <c r="S461" s="639"/>
      <c r="T461" s="640"/>
      <c r="U461" s="640"/>
      <c r="V461" s="640"/>
      <c r="W461" s="640"/>
      <c r="X461" s="640"/>
      <c r="Y461" s="553"/>
      <c r="Z461" s="527" t="str">
        <f>IFERROR(INDEX(잔가map!$C$14:$AR$18,MATCH(차량DB!$Z$5,잔가map!$B$14:$B$18,0),MATCH(차량DB!Y461,잔가map!$C$13:$AR$13,0)),"")</f>
        <v/>
      </c>
      <c r="AA461" s="527" t="str">
        <f>IFERROR(INDEX(잔가map!$C$14:$AR$18,MATCH(차량DB!$AA$5,잔가map!$B$14:$B$18,0),MATCH(차량DB!Y461,잔가map!$C$13:$AR$13,0)),"")</f>
        <v/>
      </c>
      <c r="AB461" s="527" t="str">
        <f>IFERROR(INDEX(잔가map!$C$14:$AR$18,MATCH(차량DB!$AB$5,잔가map!$B$14:$B$18,0),MATCH(차량DB!Y461,잔가map!$C$13:$AR$13,0)),"")</f>
        <v/>
      </c>
      <c r="AC461" s="527" t="str">
        <f>IFERROR(INDEX(잔가map!$C$14:$AR$18,MATCH(차량DB!$AC$5,잔가map!$B$14:$B$18,0),MATCH(차량DB!Y461,잔가map!$C$13:$AR$13,0)),"")</f>
        <v/>
      </c>
      <c r="AD461" s="527" t="str">
        <f>IFERROR(INDEX(잔가map!$C$14:$AR$18,MATCH(차량DB!$AD$5,잔가map!$B$14:$B$18,0),MATCH(차량DB!Y461,잔가map!$C$13:$AR$13,0)),"")</f>
        <v/>
      </c>
      <c r="AE461" s="643"/>
      <c r="AF461" s="644"/>
      <c r="AG461" s="644"/>
      <c r="AH461" s="644"/>
      <c r="AI461" s="644"/>
      <c r="AJ461" s="644"/>
      <c r="AK461" s="547"/>
      <c r="AL461" s="576"/>
    </row>
    <row r="462" spans="5:38" x14ac:dyDescent="0.3">
      <c r="E462" s="293" t="s">
        <v>559</v>
      </c>
      <c r="F462" s="605" t="s">
        <v>958</v>
      </c>
      <c r="G462" s="294">
        <v>1</v>
      </c>
      <c r="H462" s="295" t="s">
        <v>58</v>
      </c>
      <c r="I462" s="294">
        <v>76000000</v>
      </c>
      <c r="P462" s="295" t="s">
        <v>576</v>
      </c>
      <c r="R462" s="500"/>
      <c r="S462" s="639"/>
      <c r="T462" s="640"/>
      <c r="U462" s="640"/>
      <c r="V462" s="640"/>
      <c r="W462" s="640"/>
      <c r="X462" s="640"/>
      <c r="Y462" s="553"/>
      <c r="Z462" s="527" t="str">
        <f>IFERROR(INDEX(잔가map!$C$14:$AR$18,MATCH(차량DB!$Z$5,잔가map!$B$14:$B$18,0),MATCH(차량DB!Y462,잔가map!$C$13:$AR$13,0)),"")</f>
        <v/>
      </c>
      <c r="AA462" s="527" t="str">
        <f>IFERROR(INDEX(잔가map!$C$14:$AR$18,MATCH(차량DB!$AA$5,잔가map!$B$14:$B$18,0),MATCH(차량DB!Y462,잔가map!$C$13:$AR$13,0)),"")</f>
        <v/>
      </c>
      <c r="AB462" s="527" t="str">
        <f>IFERROR(INDEX(잔가map!$C$14:$AR$18,MATCH(차량DB!$AB$5,잔가map!$B$14:$B$18,0),MATCH(차량DB!Y462,잔가map!$C$13:$AR$13,0)),"")</f>
        <v/>
      </c>
      <c r="AC462" s="527" t="str">
        <f>IFERROR(INDEX(잔가map!$C$14:$AR$18,MATCH(차량DB!$AC$5,잔가map!$B$14:$B$18,0),MATCH(차량DB!Y462,잔가map!$C$13:$AR$13,0)),"")</f>
        <v/>
      </c>
      <c r="AD462" s="527" t="str">
        <f>IFERROR(INDEX(잔가map!$C$14:$AR$18,MATCH(차량DB!$AD$5,잔가map!$B$14:$B$18,0),MATCH(차량DB!Y462,잔가map!$C$13:$AR$13,0)),"")</f>
        <v/>
      </c>
      <c r="AE462" s="643"/>
      <c r="AF462" s="644"/>
      <c r="AG462" s="644"/>
      <c r="AH462" s="644"/>
      <c r="AI462" s="644"/>
      <c r="AJ462" s="644"/>
      <c r="AK462" s="547"/>
      <c r="AL462" s="576"/>
    </row>
    <row r="463" spans="5:38" x14ac:dyDescent="0.3">
      <c r="E463" s="293" t="s">
        <v>559</v>
      </c>
      <c r="F463" s="605" t="s">
        <v>959</v>
      </c>
      <c r="G463" s="294">
        <v>1</v>
      </c>
      <c r="H463" s="295" t="s">
        <v>58</v>
      </c>
      <c r="I463" s="294">
        <v>81900000</v>
      </c>
      <c r="P463" s="295" t="s">
        <v>576</v>
      </c>
      <c r="R463" s="500"/>
      <c r="S463" s="639"/>
      <c r="T463" s="640"/>
      <c r="U463" s="640"/>
      <c r="V463" s="640"/>
      <c r="W463" s="640"/>
      <c r="X463" s="640"/>
      <c r="Y463" s="553"/>
      <c r="Z463" s="527" t="str">
        <f>IFERROR(INDEX(잔가map!$C$14:$AR$18,MATCH(차량DB!$Z$5,잔가map!$B$14:$B$18,0),MATCH(차량DB!Y463,잔가map!$C$13:$AR$13,0)),"")</f>
        <v/>
      </c>
      <c r="AA463" s="527" t="str">
        <f>IFERROR(INDEX(잔가map!$C$14:$AR$18,MATCH(차량DB!$AA$5,잔가map!$B$14:$B$18,0),MATCH(차량DB!Y463,잔가map!$C$13:$AR$13,0)),"")</f>
        <v/>
      </c>
      <c r="AB463" s="527" t="str">
        <f>IFERROR(INDEX(잔가map!$C$14:$AR$18,MATCH(차량DB!$AB$5,잔가map!$B$14:$B$18,0),MATCH(차량DB!Y463,잔가map!$C$13:$AR$13,0)),"")</f>
        <v/>
      </c>
      <c r="AC463" s="527" t="str">
        <f>IFERROR(INDEX(잔가map!$C$14:$AR$18,MATCH(차량DB!$AC$5,잔가map!$B$14:$B$18,0),MATCH(차량DB!Y463,잔가map!$C$13:$AR$13,0)),"")</f>
        <v/>
      </c>
      <c r="AD463" s="527" t="str">
        <f>IFERROR(INDEX(잔가map!$C$14:$AR$18,MATCH(차량DB!$AD$5,잔가map!$B$14:$B$18,0),MATCH(차량DB!Y463,잔가map!$C$13:$AR$13,0)),"")</f>
        <v/>
      </c>
      <c r="AE463" s="643"/>
      <c r="AF463" s="644"/>
      <c r="AG463" s="644"/>
      <c r="AH463" s="644"/>
      <c r="AI463" s="644"/>
      <c r="AJ463" s="644"/>
      <c r="AK463" s="547"/>
      <c r="AL463" s="576"/>
    </row>
    <row r="464" spans="5:38" x14ac:dyDescent="0.3">
      <c r="E464" s="293" t="s">
        <v>559</v>
      </c>
      <c r="F464" s="605" t="s">
        <v>960</v>
      </c>
      <c r="G464" s="294">
        <v>1</v>
      </c>
      <c r="H464" s="295" t="s">
        <v>58</v>
      </c>
      <c r="I464" s="294">
        <v>82500000</v>
      </c>
      <c r="P464" s="295" t="s">
        <v>576</v>
      </c>
      <c r="R464" s="500"/>
      <c r="S464" s="639"/>
      <c r="T464" s="640"/>
      <c r="U464" s="640"/>
      <c r="V464" s="640"/>
      <c r="W464" s="640"/>
      <c r="X464" s="640"/>
      <c r="Y464" s="553"/>
      <c r="Z464" s="527" t="str">
        <f>IFERROR(INDEX(잔가map!$C$14:$AR$18,MATCH(차량DB!$Z$5,잔가map!$B$14:$B$18,0),MATCH(차량DB!Y464,잔가map!$C$13:$AR$13,0)),"")</f>
        <v/>
      </c>
      <c r="AA464" s="527" t="str">
        <f>IFERROR(INDEX(잔가map!$C$14:$AR$18,MATCH(차량DB!$AA$5,잔가map!$B$14:$B$18,0),MATCH(차량DB!Y464,잔가map!$C$13:$AR$13,0)),"")</f>
        <v/>
      </c>
      <c r="AB464" s="527" t="str">
        <f>IFERROR(INDEX(잔가map!$C$14:$AR$18,MATCH(차량DB!$AB$5,잔가map!$B$14:$B$18,0),MATCH(차량DB!Y464,잔가map!$C$13:$AR$13,0)),"")</f>
        <v/>
      </c>
      <c r="AC464" s="527" t="str">
        <f>IFERROR(INDEX(잔가map!$C$14:$AR$18,MATCH(차량DB!$AC$5,잔가map!$B$14:$B$18,0),MATCH(차량DB!Y464,잔가map!$C$13:$AR$13,0)),"")</f>
        <v/>
      </c>
      <c r="AD464" s="527" t="str">
        <f>IFERROR(INDEX(잔가map!$C$14:$AR$18,MATCH(차량DB!$AD$5,잔가map!$B$14:$B$18,0),MATCH(차량DB!Y464,잔가map!$C$13:$AR$13,0)),"")</f>
        <v/>
      </c>
      <c r="AE464" s="643"/>
      <c r="AF464" s="644"/>
      <c r="AG464" s="644"/>
      <c r="AH464" s="644"/>
      <c r="AI464" s="644"/>
      <c r="AJ464" s="644"/>
      <c r="AK464" s="547"/>
      <c r="AL464" s="576"/>
    </row>
    <row r="465" spans="5:38" x14ac:dyDescent="0.3">
      <c r="E465" s="293" t="s">
        <v>559</v>
      </c>
      <c r="F465" s="605" t="s">
        <v>961</v>
      </c>
      <c r="G465" s="294">
        <v>1</v>
      </c>
      <c r="H465" s="295" t="s">
        <v>58</v>
      </c>
      <c r="I465" s="294">
        <v>95900000</v>
      </c>
      <c r="P465" s="295" t="s">
        <v>576</v>
      </c>
      <c r="R465" s="500"/>
      <c r="S465" s="639"/>
      <c r="T465" s="640"/>
      <c r="U465" s="640"/>
      <c r="V465" s="640"/>
      <c r="W465" s="640"/>
      <c r="X465" s="640"/>
      <c r="Y465" s="553"/>
      <c r="Z465" s="527" t="str">
        <f>IFERROR(INDEX(잔가map!$C$14:$AR$18,MATCH(차량DB!$Z$5,잔가map!$B$14:$B$18,0),MATCH(차량DB!Y465,잔가map!$C$13:$AR$13,0)),"")</f>
        <v/>
      </c>
      <c r="AA465" s="527" t="str">
        <f>IFERROR(INDEX(잔가map!$C$14:$AR$18,MATCH(차량DB!$AA$5,잔가map!$B$14:$B$18,0),MATCH(차량DB!Y465,잔가map!$C$13:$AR$13,0)),"")</f>
        <v/>
      </c>
      <c r="AB465" s="527" t="str">
        <f>IFERROR(INDEX(잔가map!$C$14:$AR$18,MATCH(차량DB!$AB$5,잔가map!$B$14:$B$18,0),MATCH(차량DB!Y465,잔가map!$C$13:$AR$13,0)),"")</f>
        <v/>
      </c>
      <c r="AC465" s="527" t="str">
        <f>IFERROR(INDEX(잔가map!$C$14:$AR$18,MATCH(차량DB!$AC$5,잔가map!$B$14:$B$18,0),MATCH(차량DB!Y465,잔가map!$C$13:$AR$13,0)),"")</f>
        <v/>
      </c>
      <c r="AD465" s="527" t="str">
        <f>IFERROR(INDEX(잔가map!$C$14:$AR$18,MATCH(차량DB!$AD$5,잔가map!$B$14:$B$18,0),MATCH(차량DB!Y465,잔가map!$C$13:$AR$13,0)),"")</f>
        <v/>
      </c>
      <c r="AE465" s="643"/>
      <c r="AF465" s="644"/>
      <c r="AG465" s="644"/>
      <c r="AH465" s="644"/>
      <c r="AI465" s="644"/>
      <c r="AJ465" s="644"/>
      <c r="AK465" s="547"/>
      <c r="AL465" s="576"/>
    </row>
    <row r="466" spans="5:38" x14ac:dyDescent="0.3">
      <c r="E466" s="293" t="s">
        <v>559</v>
      </c>
      <c r="F466" s="605" t="s">
        <v>962</v>
      </c>
      <c r="G466" s="294">
        <v>1</v>
      </c>
      <c r="H466" s="295" t="s">
        <v>45</v>
      </c>
      <c r="I466" s="294">
        <v>92100000</v>
      </c>
      <c r="P466" s="295" t="s">
        <v>576</v>
      </c>
      <c r="R466" s="500"/>
      <c r="S466" s="639"/>
      <c r="T466" s="640"/>
      <c r="U466" s="640"/>
      <c r="V466" s="640"/>
      <c r="W466" s="640"/>
      <c r="X466" s="640"/>
      <c r="Y466" s="553"/>
      <c r="Z466" s="527" t="str">
        <f>IFERROR(INDEX(잔가map!$C$14:$AR$18,MATCH(차량DB!$Z$5,잔가map!$B$14:$B$18,0),MATCH(차량DB!Y466,잔가map!$C$13:$AR$13,0)),"")</f>
        <v/>
      </c>
      <c r="AA466" s="527" t="str">
        <f>IFERROR(INDEX(잔가map!$C$14:$AR$18,MATCH(차량DB!$AA$5,잔가map!$B$14:$B$18,0),MATCH(차량DB!Y466,잔가map!$C$13:$AR$13,0)),"")</f>
        <v/>
      </c>
      <c r="AB466" s="527" t="str">
        <f>IFERROR(INDEX(잔가map!$C$14:$AR$18,MATCH(차량DB!$AB$5,잔가map!$B$14:$B$18,0),MATCH(차량DB!Y466,잔가map!$C$13:$AR$13,0)),"")</f>
        <v/>
      </c>
      <c r="AC466" s="527" t="str">
        <f>IFERROR(INDEX(잔가map!$C$14:$AR$18,MATCH(차량DB!$AC$5,잔가map!$B$14:$B$18,0),MATCH(차량DB!Y466,잔가map!$C$13:$AR$13,0)),"")</f>
        <v/>
      </c>
      <c r="AD466" s="527" t="str">
        <f>IFERROR(INDEX(잔가map!$C$14:$AR$18,MATCH(차량DB!$AD$5,잔가map!$B$14:$B$18,0),MATCH(차량DB!Y466,잔가map!$C$13:$AR$13,0)),"")</f>
        <v/>
      </c>
      <c r="AE466" s="643"/>
      <c r="AF466" s="644"/>
      <c r="AG466" s="644"/>
      <c r="AH466" s="644"/>
      <c r="AI466" s="644"/>
      <c r="AJ466" s="644"/>
      <c r="AK466" s="547"/>
      <c r="AL466" s="576"/>
    </row>
    <row r="467" spans="5:38" x14ac:dyDescent="0.3">
      <c r="E467" s="293" t="s">
        <v>559</v>
      </c>
      <c r="F467" s="605" t="s">
        <v>963</v>
      </c>
      <c r="G467" s="294">
        <v>1</v>
      </c>
      <c r="H467" s="295" t="s">
        <v>45</v>
      </c>
      <c r="I467" s="294">
        <v>106200000</v>
      </c>
      <c r="P467" s="295" t="s">
        <v>576</v>
      </c>
      <c r="R467" s="500"/>
      <c r="S467" s="639"/>
      <c r="T467" s="640"/>
      <c r="U467" s="640"/>
      <c r="V467" s="640"/>
      <c r="W467" s="640"/>
      <c r="X467" s="640"/>
      <c r="Y467" s="553"/>
      <c r="Z467" s="527" t="str">
        <f>IFERROR(INDEX(잔가map!$C$14:$AR$18,MATCH(차량DB!$Z$5,잔가map!$B$14:$B$18,0),MATCH(차량DB!Y467,잔가map!$C$13:$AR$13,0)),"")</f>
        <v/>
      </c>
      <c r="AA467" s="527" t="str">
        <f>IFERROR(INDEX(잔가map!$C$14:$AR$18,MATCH(차량DB!$AA$5,잔가map!$B$14:$B$18,0),MATCH(차량DB!Y467,잔가map!$C$13:$AR$13,0)),"")</f>
        <v/>
      </c>
      <c r="AB467" s="527" t="str">
        <f>IFERROR(INDEX(잔가map!$C$14:$AR$18,MATCH(차량DB!$AB$5,잔가map!$B$14:$B$18,0),MATCH(차량DB!Y467,잔가map!$C$13:$AR$13,0)),"")</f>
        <v/>
      </c>
      <c r="AC467" s="527" t="str">
        <f>IFERROR(INDEX(잔가map!$C$14:$AR$18,MATCH(차량DB!$AC$5,잔가map!$B$14:$B$18,0),MATCH(차량DB!Y467,잔가map!$C$13:$AR$13,0)),"")</f>
        <v/>
      </c>
      <c r="AD467" s="527" t="str">
        <f>IFERROR(INDEX(잔가map!$C$14:$AR$18,MATCH(차량DB!$AD$5,잔가map!$B$14:$B$18,0),MATCH(차량DB!Y467,잔가map!$C$13:$AR$13,0)),"")</f>
        <v/>
      </c>
      <c r="AE467" s="643"/>
      <c r="AF467" s="644"/>
      <c r="AG467" s="644"/>
      <c r="AH467" s="644"/>
      <c r="AI467" s="644"/>
      <c r="AJ467" s="644"/>
      <c r="AK467" s="547"/>
      <c r="AL467" s="576"/>
    </row>
    <row r="468" spans="5:38" x14ac:dyDescent="0.3">
      <c r="E468" s="293" t="s">
        <v>559</v>
      </c>
      <c r="F468" s="605" t="s">
        <v>964</v>
      </c>
      <c r="G468" s="294">
        <v>1</v>
      </c>
      <c r="H468" s="295" t="s">
        <v>45</v>
      </c>
      <c r="I468" s="294">
        <v>103800000</v>
      </c>
      <c r="P468" s="295" t="s">
        <v>576</v>
      </c>
      <c r="R468" s="500"/>
      <c r="S468" s="639"/>
      <c r="T468" s="640"/>
      <c r="U468" s="640"/>
      <c r="V468" s="640"/>
      <c r="W468" s="640"/>
      <c r="X468" s="640"/>
      <c r="Y468" s="553"/>
      <c r="Z468" s="527" t="str">
        <f>IFERROR(INDEX(잔가map!$C$14:$AR$18,MATCH(차량DB!$Z$5,잔가map!$B$14:$B$18,0),MATCH(차량DB!Y468,잔가map!$C$13:$AR$13,0)),"")</f>
        <v/>
      </c>
      <c r="AA468" s="527" t="str">
        <f>IFERROR(INDEX(잔가map!$C$14:$AR$18,MATCH(차량DB!$AA$5,잔가map!$B$14:$B$18,0),MATCH(차량DB!Y468,잔가map!$C$13:$AR$13,0)),"")</f>
        <v/>
      </c>
      <c r="AB468" s="527" t="str">
        <f>IFERROR(INDEX(잔가map!$C$14:$AR$18,MATCH(차량DB!$AB$5,잔가map!$B$14:$B$18,0),MATCH(차량DB!Y468,잔가map!$C$13:$AR$13,0)),"")</f>
        <v/>
      </c>
      <c r="AC468" s="527" t="str">
        <f>IFERROR(INDEX(잔가map!$C$14:$AR$18,MATCH(차량DB!$AC$5,잔가map!$B$14:$B$18,0),MATCH(차량DB!Y468,잔가map!$C$13:$AR$13,0)),"")</f>
        <v/>
      </c>
      <c r="AD468" s="527" t="str">
        <f>IFERROR(INDEX(잔가map!$C$14:$AR$18,MATCH(차량DB!$AD$5,잔가map!$B$14:$B$18,0),MATCH(차량DB!Y468,잔가map!$C$13:$AR$13,0)),"")</f>
        <v/>
      </c>
      <c r="AE468" s="643"/>
      <c r="AF468" s="644"/>
      <c r="AG468" s="644"/>
      <c r="AH468" s="644"/>
      <c r="AI468" s="644"/>
      <c r="AJ468" s="644"/>
      <c r="AK468" s="547"/>
      <c r="AL468" s="576"/>
    </row>
    <row r="469" spans="5:38" x14ac:dyDescent="0.3">
      <c r="E469" s="293" t="s">
        <v>559</v>
      </c>
      <c r="F469" s="605" t="s">
        <v>965</v>
      </c>
      <c r="G469" s="294">
        <v>1</v>
      </c>
      <c r="H469" s="295" t="s">
        <v>45</v>
      </c>
      <c r="I469" s="294">
        <v>145200000</v>
      </c>
      <c r="P469" s="295" t="s">
        <v>576</v>
      </c>
      <c r="R469" s="500"/>
      <c r="S469" s="639"/>
      <c r="T469" s="640"/>
      <c r="U469" s="640"/>
      <c r="V469" s="640"/>
      <c r="W469" s="640"/>
      <c r="X469" s="640"/>
      <c r="Y469" s="553"/>
      <c r="Z469" s="527" t="str">
        <f>IFERROR(INDEX(잔가map!$C$14:$AR$18,MATCH(차량DB!$Z$5,잔가map!$B$14:$B$18,0),MATCH(차량DB!Y469,잔가map!$C$13:$AR$13,0)),"")</f>
        <v/>
      </c>
      <c r="AA469" s="527" t="str">
        <f>IFERROR(INDEX(잔가map!$C$14:$AR$18,MATCH(차량DB!$AA$5,잔가map!$B$14:$B$18,0),MATCH(차량DB!Y469,잔가map!$C$13:$AR$13,0)),"")</f>
        <v/>
      </c>
      <c r="AB469" s="527" t="str">
        <f>IFERROR(INDEX(잔가map!$C$14:$AR$18,MATCH(차량DB!$AB$5,잔가map!$B$14:$B$18,0),MATCH(차량DB!Y469,잔가map!$C$13:$AR$13,0)),"")</f>
        <v/>
      </c>
      <c r="AC469" s="527" t="str">
        <f>IFERROR(INDEX(잔가map!$C$14:$AR$18,MATCH(차량DB!$AC$5,잔가map!$B$14:$B$18,0),MATCH(차량DB!Y469,잔가map!$C$13:$AR$13,0)),"")</f>
        <v/>
      </c>
      <c r="AD469" s="527" t="str">
        <f>IFERROR(INDEX(잔가map!$C$14:$AR$18,MATCH(차량DB!$AD$5,잔가map!$B$14:$B$18,0),MATCH(차량DB!Y469,잔가map!$C$13:$AR$13,0)),"")</f>
        <v/>
      </c>
      <c r="AE469" s="643"/>
      <c r="AF469" s="644"/>
      <c r="AG469" s="644"/>
      <c r="AH469" s="644"/>
      <c r="AI469" s="644"/>
      <c r="AJ469" s="644"/>
      <c r="AK469" s="547"/>
      <c r="AL469" s="576"/>
    </row>
    <row r="470" spans="5:38" x14ac:dyDescent="0.3">
      <c r="E470" s="293" t="s">
        <v>559</v>
      </c>
      <c r="F470" s="605" t="s">
        <v>966</v>
      </c>
      <c r="G470" s="294">
        <v>1</v>
      </c>
      <c r="H470" s="295" t="s">
        <v>58</v>
      </c>
      <c r="I470" s="294">
        <v>109900000</v>
      </c>
      <c r="P470" s="295" t="s">
        <v>576</v>
      </c>
      <c r="R470" s="500"/>
      <c r="S470" s="639"/>
      <c r="T470" s="640"/>
      <c r="U470" s="640"/>
      <c r="V470" s="640"/>
      <c r="W470" s="640"/>
      <c r="X470" s="640"/>
      <c r="Y470" s="553"/>
      <c r="Z470" s="527" t="str">
        <f>IFERROR(INDEX(잔가map!$C$14:$AR$18,MATCH(차량DB!$Z$5,잔가map!$B$14:$B$18,0),MATCH(차량DB!Y470,잔가map!$C$13:$AR$13,0)),"")</f>
        <v/>
      </c>
      <c r="AA470" s="527" t="str">
        <f>IFERROR(INDEX(잔가map!$C$14:$AR$18,MATCH(차량DB!$AA$5,잔가map!$B$14:$B$18,0),MATCH(차량DB!Y470,잔가map!$C$13:$AR$13,0)),"")</f>
        <v/>
      </c>
      <c r="AB470" s="527" t="str">
        <f>IFERROR(INDEX(잔가map!$C$14:$AR$18,MATCH(차량DB!$AB$5,잔가map!$B$14:$B$18,0),MATCH(차량DB!Y470,잔가map!$C$13:$AR$13,0)),"")</f>
        <v/>
      </c>
      <c r="AC470" s="527" t="str">
        <f>IFERROR(INDEX(잔가map!$C$14:$AR$18,MATCH(차량DB!$AC$5,잔가map!$B$14:$B$18,0),MATCH(차량DB!Y470,잔가map!$C$13:$AR$13,0)),"")</f>
        <v/>
      </c>
      <c r="AD470" s="527" t="str">
        <f>IFERROR(INDEX(잔가map!$C$14:$AR$18,MATCH(차량DB!$AD$5,잔가map!$B$14:$B$18,0),MATCH(차량DB!Y470,잔가map!$C$13:$AR$13,0)),"")</f>
        <v/>
      </c>
      <c r="AE470" s="643"/>
      <c r="AF470" s="644"/>
      <c r="AG470" s="644"/>
      <c r="AH470" s="644"/>
      <c r="AI470" s="644"/>
      <c r="AJ470" s="644"/>
      <c r="AK470" s="547"/>
      <c r="AL470" s="576"/>
    </row>
    <row r="471" spans="5:38" x14ac:dyDescent="0.3">
      <c r="E471" s="293" t="s">
        <v>559</v>
      </c>
      <c r="F471" s="605" t="s">
        <v>967</v>
      </c>
      <c r="G471" s="294">
        <v>1</v>
      </c>
      <c r="H471" s="295" t="s">
        <v>58</v>
      </c>
      <c r="I471" s="294">
        <v>128500000</v>
      </c>
      <c r="P471" s="295" t="s">
        <v>576</v>
      </c>
      <c r="R471" s="500"/>
      <c r="S471" s="639"/>
      <c r="T471" s="640"/>
      <c r="U471" s="640"/>
      <c r="V471" s="640"/>
      <c r="W471" s="640"/>
      <c r="X471" s="640"/>
      <c r="Y471" s="553"/>
      <c r="Z471" s="527" t="str">
        <f>IFERROR(INDEX(잔가map!$C$14:$AR$18,MATCH(차량DB!$Z$5,잔가map!$B$14:$B$18,0),MATCH(차량DB!Y471,잔가map!$C$13:$AR$13,0)),"")</f>
        <v/>
      </c>
      <c r="AA471" s="527" t="str">
        <f>IFERROR(INDEX(잔가map!$C$14:$AR$18,MATCH(차량DB!$AA$5,잔가map!$B$14:$B$18,0),MATCH(차량DB!Y471,잔가map!$C$13:$AR$13,0)),"")</f>
        <v/>
      </c>
      <c r="AB471" s="527" t="str">
        <f>IFERROR(INDEX(잔가map!$C$14:$AR$18,MATCH(차량DB!$AB$5,잔가map!$B$14:$B$18,0),MATCH(차량DB!Y471,잔가map!$C$13:$AR$13,0)),"")</f>
        <v/>
      </c>
      <c r="AC471" s="527" t="str">
        <f>IFERROR(INDEX(잔가map!$C$14:$AR$18,MATCH(차량DB!$AC$5,잔가map!$B$14:$B$18,0),MATCH(차량DB!Y471,잔가map!$C$13:$AR$13,0)),"")</f>
        <v/>
      </c>
      <c r="AD471" s="527" t="str">
        <f>IFERROR(INDEX(잔가map!$C$14:$AR$18,MATCH(차량DB!$AD$5,잔가map!$B$14:$B$18,0),MATCH(차량DB!Y471,잔가map!$C$13:$AR$13,0)),"")</f>
        <v/>
      </c>
      <c r="AE471" s="643"/>
      <c r="AF471" s="644"/>
      <c r="AG471" s="644"/>
      <c r="AH471" s="644"/>
      <c r="AI471" s="644"/>
      <c r="AJ471" s="644"/>
      <c r="AK471" s="547"/>
      <c r="AL471" s="576"/>
    </row>
    <row r="472" spans="5:38" x14ac:dyDescent="0.3">
      <c r="E472" s="293" t="s">
        <v>559</v>
      </c>
      <c r="F472" s="605" t="s">
        <v>968</v>
      </c>
      <c r="G472" s="294">
        <v>1</v>
      </c>
      <c r="H472" s="295" t="s">
        <v>58</v>
      </c>
      <c r="I472" s="294">
        <v>134000000</v>
      </c>
      <c r="P472" s="295" t="s">
        <v>576</v>
      </c>
      <c r="R472" s="500"/>
      <c r="S472" s="639"/>
      <c r="T472" s="640"/>
      <c r="U472" s="640"/>
      <c r="V472" s="640"/>
      <c r="W472" s="640"/>
      <c r="X472" s="640"/>
      <c r="Y472" s="553"/>
      <c r="Z472" s="527" t="str">
        <f>IFERROR(INDEX(잔가map!$C$14:$AR$18,MATCH(차량DB!$Z$5,잔가map!$B$14:$B$18,0),MATCH(차량DB!Y472,잔가map!$C$13:$AR$13,0)),"")</f>
        <v/>
      </c>
      <c r="AA472" s="527" t="str">
        <f>IFERROR(INDEX(잔가map!$C$14:$AR$18,MATCH(차량DB!$AA$5,잔가map!$B$14:$B$18,0),MATCH(차량DB!Y472,잔가map!$C$13:$AR$13,0)),"")</f>
        <v/>
      </c>
      <c r="AB472" s="527" t="str">
        <f>IFERROR(INDEX(잔가map!$C$14:$AR$18,MATCH(차량DB!$AB$5,잔가map!$B$14:$B$18,0),MATCH(차량DB!Y472,잔가map!$C$13:$AR$13,0)),"")</f>
        <v/>
      </c>
      <c r="AC472" s="527" t="str">
        <f>IFERROR(INDEX(잔가map!$C$14:$AR$18,MATCH(차량DB!$AC$5,잔가map!$B$14:$B$18,0),MATCH(차량DB!Y472,잔가map!$C$13:$AR$13,0)),"")</f>
        <v/>
      </c>
      <c r="AD472" s="527" t="str">
        <f>IFERROR(INDEX(잔가map!$C$14:$AR$18,MATCH(차량DB!$AD$5,잔가map!$B$14:$B$18,0),MATCH(차량DB!Y472,잔가map!$C$13:$AR$13,0)),"")</f>
        <v/>
      </c>
      <c r="AE472" s="643"/>
      <c r="AF472" s="644"/>
      <c r="AG472" s="644"/>
      <c r="AH472" s="644"/>
      <c r="AI472" s="644"/>
      <c r="AJ472" s="644"/>
      <c r="AK472" s="547"/>
      <c r="AL472" s="576"/>
    </row>
    <row r="473" spans="5:38" x14ac:dyDescent="0.3">
      <c r="E473" s="293" t="s">
        <v>559</v>
      </c>
      <c r="F473" s="605" t="s">
        <v>969</v>
      </c>
      <c r="G473" s="294">
        <v>1</v>
      </c>
      <c r="H473" s="295" t="s">
        <v>45</v>
      </c>
      <c r="I473" s="294">
        <v>190000000</v>
      </c>
      <c r="P473" s="295" t="s">
        <v>576</v>
      </c>
      <c r="R473" s="500"/>
      <c r="S473" s="639"/>
      <c r="T473" s="640"/>
      <c r="U473" s="640"/>
      <c r="V473" s="640"/>
      <c r="W473" s="640"/>
      <c r="X473" s="640"/>
      <c r="Y473" s="553"/>
      <c r="Z473" s="527" t="str">
        <f>IFERROR(INDEX(잔가map!$C$14:$AR$18,MATCH(차량DB!$Z$5,잔가map!$B$14:$B$18,0),MATCH(차량DB!Y473,잔가map!$C$13:$AR$13,0)),"")</f>
        <v/>
      </c>
      <c r="AA473" s="527" t="str">
        <f>IFERROR(INDEX(잔가map!$C$14:$AR$18,MATCH(차량DB!$AA$5,잔가map!$B$14:$B$18,0),MATCH(차량DB!Y473,잔가map!$C$13:$AR$13,0)),"")</f>
        <v/>
      </c>
      <c r="AB473" s="527" t="str">
        <f>IFERROR(INDEX(잔가map!$C$14:$AR$18,MATCH(차량DB!$AB$5,잔가map!$B$14:$B$18,0),MATCH(차량DB!Y473,잔가map!$C$13:$AR$13,0)),"")</f>
        <v/>
      </c>
      <c r="AC473" s="527" t="str">
        <f>IFERROR(INDEX(잔가map!$C$14:$AR$18,MATCH(차량DB!$AC$5,잔가map!$B$14:$B$18,0),MATCH(차량DB!Y473,잔가map!$C$13:$AR$13,0)),"")</f>
        <v/>
      </c>
      <c r="AD473" s="527" t="str">
        <f>IFERROR(INDEX(잔가map!$C$14:$AR$18,MATCH(차량DB!$AD$5,잔가map!$B$14:$B$18,0),MATCH(차량DB!Y473,잔가map!$C$13:$AR$13,0)),"")</f>
        <v/>
      </c>
      <c r="AE473" s="643"/>
      <c r="AF473" s="644"/>
      <c r="AG473" s="644"/>
      <c r="AH473" s="644"/>
      <c r="AI473" s="644"/>
      <c r="AJ473" s="644"/>
      <c r="AK473" s="547"/>
      <c r="AL473" s="576"/>
    </row>
    <row r="474" spans="5:38" x14ac:dyDescent="0.3">
      <c r="E474" s="293" t="s">
        <v>559</v>
      </c>
      <c r="F474" s="605" t="s">
        <v>970</v>
      </c>
      <c r="G474" s="294">
        <v>1</v>
      </c>
      <c r="H474" s="295" t="s">
        <v>45</v>
      </c>
      <c r="I474" s="294">
        <v>163900000</v>
      </c>
      <c r="P474" s="295" t="s">
        <v>576</v>
      </c>
      <c r="R474" s="500"/>
      <c r="S474" s="639"/>
      <c r="T474" s="640"/>
      <c r="U474" s="640"/>
      <c r="V474" s="640"/>
      <c r="W474" s="640"/>
      <c r="X474" s="640"/>
      <c r="Y474" s="553"/>
      <c r="Z474" s="527" t="str">
        <f>IFERROR(INDEX(잔가map!$C$14:$AR$18,MATCH(차량DB!$Z$5,잔가map!$B$14:$B$18,0),MATCH(차량DB!Y474,잔가map!$C$13:$AR$13,0)),"")</f>
        <v/>
      </c>
      <c r="AA474" s="527" t="str">
        <f>IFERROR(INDEX(잔가map!$C$14:$AR$18,MATCH(차량DB!$AA$5,잔가map!$B$14:$B$18,0),MATCH(차량DB!Y474,잔가map!$C$13:$AR$13,0)),"")</f>
        <v/>
      </c>
      <c r="AB474" s="527" t="str">
        <f>IFERROR(INDEX(잔가map!$C$14:$AR$18,MATCH(차량DB!$AB$5,잔가map!$B$14:$B$18,0),MATCH(차량DB!Y474,잔가map!$C$13:$AR$13,0)),"")</f>
        <v/>
      </c>
      <c r="AC474" s="527" t="str">
        <f>IFERROR(INDEX(잔가map!$C$14:$AR$18,MATCH(차량DB!$AC$5,잔가map!$B$14:$B$18,0),MATCH(차량DB!Y474,잔가map!$C$13:$AR$13,0)),"")</f>
        <v/>
      </c>
      <c r="AD474" s="527" t="str">
        <f>IFERROR(INDEX(잔가map!$C$14:$AR$18,MATCH(차량DB!$AD$5,잔가map!$B$14:$B$18,0),MATCH(차량DB!Y474,잔가map!$C$13:$AR$13,0)),"")</f>
        <v/>
      </c>
      <c r="AE474" s="643"/>
      <c r="AF474" s="644"/>
      <c r="AG474" s="644"/>
      <c r="AH474" s="644"/>
      <c r="AI474" s="644"/>
      <c r="AJ474" s="644"/>
      <c r="AK474" s="547"/>
      <c r="AL474" s="576"/>
    </row>
    <row r="475" spans="5:38" x14ac:dyDescent="0.3">
      <c r="E475" s="293" t="s">
        <v>559</v>
      </c>
      <c r="F475" s="605" t="s">
        <v>971</v>
      </c>
      <c r="G475" s="294">
        <v>1</v>
      </c>
      <c r="H475" s="295" t="s">
        <v>45</v>
      </c>
      <c r="I475" s="294">
        <v>216000000</v>
      </c>
      <c r="P475" s="295" t="s">
        <v>576</v>
      </c>
      <c r="R475" s="500"/>
      <c r="S475" s="639"/>
      <c r="T475" s="640"/>
      <c r="U475" s="640"/>
      <c r="V475" s="640"/>
      <c r="W475" s="640"/>
      <c r="X475" s="640"/>
      <c r="Y475" s="553"/>
      <c r="Z475" s="527" t="str">
        <f>IFERROR(INDEX(잔가map!$C$14:$AR$18,MATCH(차량DB!$Z$5,잔가map!$B$14:$B$18,0),MATCH(차량DB!Y475,잔가map!$C$13:$AR$13,0)),"")</f>
        <v/>
      </c>
      <c r="AA475" s="527" t="str">
        <f>IFERROR(INDEX(잔가map!$C$14:$AR$18,MATCH(차량DB!$AA$5,잔가map!$B$14:$B$18,0),MATCH(차량DB!Y475,잔가map!$C$13:$AR$13,0)),"")</f>
        <v/>
      </c>
      <c r="AB475" s="527" t="str">
        <f>IFERROR(INDEX(잔가map!$C$14:$AR$18,MATCH(차량DB!$AB$5,잔가map!$B$14:$B$18,0),MATCH(차량DB!Y475,잔가map!$C$13:$AR$13,0)),"")</f>
        <v/>
      </c>
      <c r="AC475" s="527" t="str">
        <f>IFERROR(INDEX(잔가map!$C$14:$AR$18,MATCH(차량DB!$AC$5,잔가map!$B$14:$B$18,0),MATCH(차량DB!Y475,잔가map!$C$13:$AR$13,0)),"")</f>
        <v/>
      </c>
      <c r="AD475" s="527" t="str">
        <f>IFERROR(INDEX(잔가map!$C$14:$AR$18,MATCH(차량DB!$AD$5,잔가map!$B$14:$B$18,0),MATCH(차량DB!Y475,잔가map!$C$13:$AR$13,0)),"")</f>
        <v/>
      </c>
      <c r="AE475" s="643"/>
      <c r="AF475" s="644"/>
      <c r="AG475" s="644"/>
      <c r="AH475" s="644"/>
      <c r="AI475" s="644"/>
      <c r="AJ475" s="644"/>
      <c r="AK475" s="547"/>
      <c r="AL475" s="576"/>
    </row>
    <row r="476" spans="5:38" x14ac:dyDescent="0.3">
      <c r="E476" s="293" t="s">
        <v>559</v>
      </c>
      <c r="F476" s="605" t="s">
        <v>972</v>
      </c>
      <c r="G476" s="294">
        <v>1</v>
      </c>
      <c r="H476" s="295" t="s">
        <v>58</v>
      </c>
      <c r="I476" s="294">
        <v>159900000</v>
      </c>
      <c r="P476" s="295" t="s">
        <v>576</v>
      </c>
      <c r="R476" s="500"/>
      <c r="S476" s="639"/>
      <c r="T476" s="640"/>
      <c r="U476" s="640"/>
      <c r="V476" s="640"/>
      <c r="W476" s="640"/>
      <c r="X476" s="640"/>
      <c r="Y476" s="553"/>
      <c r="Z476" s="527" t="str">
        <f>IFERROR(INDEX(잔가map!$C$14:$AR$18,MATCH(차량DB!$Z$5,잔가map!$B$14:$B$18,0),MATCH(차량DB!Y476,잔가map!$C$13:$AR$13,0)),"")</f>
        <v/>
      </c>
      <c r="AA476" s="527" t="str">
        <f>IFERROR(INDEX(잔가map!$C$14:$AR$18,MATCH(차량DB!$AA$5,잔가map!$B$14:$B$18,0),MATCH(차량DB!Y476,잔가map!$C$13:$AR$13,0)),"")</f>
        <v/>
      </c>
      <c r="AB476" s="527" t="str">
        <f>IFERROR(INDEX(잔가map!$C$14:$AR$18,MATCH(차량DB!$AB$5,잔가map!$B$14:$B$18,0),MATCH(차량DB!Y476,잔가map!$C$13:$AR$13,0)),"")</f>
        <v/>
      </c>
      <c r="AC476" s="527" t="str">
        <f>IFERROR(INDEX(잔가map!$C$14:$AR$18,MATCH(차량DB!$AC$5,잔가map!$B$14:$B$18,0),MATCH(차량DB!Y476,잔가map!$C$13:$AR$13,0)),"")</f>
        <v/>
      </c>
      <c r="AD476" s="527" t="str">
        <f>IFERROR(INDEX(잔가map!$C$14:$AR$18,MATCH(차량DB!$AD$5,잔가map!$B$14:$B$18,0),MATCH(차량DB!Y476,잔가map!$C$13:$AR$13,0)),"")</f>
        <v/>
      </c>
      <c r="AE476" s="643"/>
      <c r="AF476" s="644"/>
      <c r="AG476" s="644"/>
      <c r="AH476" s="644"/>
      <c r="AI476" s="644"/>
      <c r="AJ476" s="644"/>
      <c r="AK476" s="547"/>
      <c r="AL476" s="576"/>
    </row>
    <row r="477" spans="5:38" x14ac:dyDescent="0.3">
      <c r="E477" s="293" t="s">
        <v>559</v>
      </c>
      <c r="F477" s="605" t="s">
        <v>973</v>
      </c>
      <c r="G477" s="294">
        <v>1</v>
      </c>
      <c r="H477" s="295" t="s">
        <v>58</v>
      </c>
      <c r="I477" s="294">
        <v>185400000</v>
      </c>
      <c r="P477" s="295" t="s">
        <v>576</v>
      </c>
      <c r="R477" s="500"/>
      <c r="S477" s="639"/>
      <c r="T477" s="640"/>
      <c r="U477" s="640"/>
      <c r="V477" s="640"/>
      <c r="W477" s="640"/>
      <c r="X477" s="640"/>
      <c r="Y477" s="553"/>
      <c r="Z477" s="527" t="str">
        <f>IFERROR(INDEX(잔가map!$C$14:$AR$18,MATCH(차량DB!$Z$5,잔가map!$B$14:$B$18,0),MATCH(차량DB!Y477,잔가map!$C$13:$AR$13,0)),"")</f>
        <v/>
      </c>
      <c r="AA477" s="527" t="str">
        <f>IFERROR(INDEX(잔가map!$C$14:$AR$18,MATCH(차량DB!$AA$5,잔가map!$B$14:$B$18,0),MATCH(차량DB!Y477,잔가map!$C$13:$AR$13,0)),"")</f>
        <v/>
      </c>
      <c r="AB477" s="527" t="str">
        <f>IFERROR(INDEX(잔가map!$C$14:$AR$18,MATCH(차량DB!$AB$5,잔가map!$B$14:$B$18,0),MATCH(차량DB!Y477,잔가map!$C$13:$AR$13,0)),"")</f>
        <v/>
      </c>
      <c r="AC477" s="527" t="str">
        <f>IFERROR(INDEX(잔가map!$C$14:$AR$18,MATCH(차량DB!$AC$5,잔가map!$B$14:$B$18,0),MATCH(차량DB!Y477,잔가map!$C$13:$AR$13,0)),"")</f>
        <v/>
      </c>
      <c r="AD477" s="527" t="str">
        <f>IFERROR(INDEX(잔가map!$C$14:$AR$18,MATCH(차량DB!$AD$5,잔가map!$B$14:$B$18,0),MATCH(차량DB!Y477,잔가map!$C$13:$AR$13,0)),"")</f>
        <v/>
      </c>
      <c r="AE477" s="643"/>
      <c r="AF477" s="644"/>
      <c r="AG477" s="644"/>
      <c r="AH477" s="644"/>
      <c r="AI477" s="644"/>
      <c r="AJ477" s="644"/>
      <c r="AK477" s="547"/>
      <c r="AL477" s="576"/>
    </row>
    <row r="478" spans="5:38" x14ac:dyDescent="0.3">
      <c r="E478" s="293" t="s">
        <v>420</v>
      </c>
      <c r="F478" s="605" t="s">
        <v>992</v>
      </c>
      <c r="G478" s="294">
        <v>1499</v>
      </c>
      <c r="H478" s="295" t="s">
        <v>45</v>
      </c>
      <c r="I478" s="294">
        <v>42000000</v>
      </c>
      <c r="P478" s="295" t="s">
        <v>576</v>
      </c>
      <c r="R478" s="500">
        <v>0</v>
      </c>
      <c r="S478" s="639"/>
      <c r="T478" s="640"/>
      <c r="U478" s="640"/>
      <c r="V478" s="640"/>
      <c r="W478" s="640"/>
      <c r="X478" s="640"/>
      <c r="Y478" s="553"/>
      <c r="Z478" s="527" t="str">
        <f>IFERROR(INDEX(잔가map!$C$14:$AR$18,MATCH(차량DB!$Z$5,잔가map!$B$14:$B$18,0),MATCH(차량DB!Y478,잔가map!$C$13:$AR$13,0)),"")</f>
        <v/>
      </c>
      <c r="AA478" s="527" t="str">
        <f>IFERROR(INDEX(잔가map!$C$14:$AR$18,MATCH(차량DB!$AA$5,잔가map!$B$14:$B$18,0),MATCH(차량DB!Y478,잔가map!$C$13:$AR$13,0)),"")</f>
        <v/>
      </c>
      <c r="AB478" s="527" t="str">
        <f>IFERROR(INDEX(잔가map!$C$14:$AR$18,MATCH(차량DB!$AB$5,잔가map!$B$14:$B$18,0),MATCH(차량DB!Y478,잔가map!$C$13:$AR$13,0)),"")</f>
        <v/>
      </c>
      <c r="AC478" s="527" t="str">
        <f>IFERROR(INDEX(잔가map!$C$14:$AR$18,MATCH(차량DB!$AC$5,잔가map!$B$14:$B$18,0),MATCH(차량DB!Y478,잔가map!$C$13:$AR$13,0)),"")</f>
        <v/>
      </c>
      <c r="AD478" s="527" t="str">
        <f>IFERROR(INDEX(잔가map!$C$14:$AR$18,MATCH(차량DB!$AD$5,잔가map!$B$14:$B$18,0),MATCH(차량DB!Y478,잔가map!$C$13:$AR$13,0)),"")</f>
        <v/>
      </c>
      <c r="AE478" s="643"/>
      <c r="AF478" s="644"/>
      <c r="AG478" s="644"/>
      <c r="AH478" s="644"/>
      <c r="AI478" s="644"/>
      <c r="AJ478" s="644"/>
      <c r="AK478" s="547"/>
      <c r="AL478" s="576"/>
    </row>
    <row r="479" spans="5:38" x14ac:dyDescent="0.3">
      <c r="E479" s="293" t="s">
        <v>420</v>
      </c>
      <c r="F479" s="605" t="s">
        <v>993</v>
      </c>
      <c r="G479" s="294">
        <v>1995</v>
      </c>
      <c r="H479" s="295" t="s">
        <v>45</v>
      </c>
      <c r="I479" s="294">
        <v>43800000</v>
      </c>
      <c r="P479" s="295" t="s">
        <v>576</v>
      </c>
      <c r="R479" s="500">
        <v>0</v>
      </c>
      <c r="S479" s="639"/>
      <c r="T479" s="640"/>
      <c r="U479" s="640"/>
      <c r="V479" s="640"/>
      <c r="W479" s="640"/>
      <c r="X479" s="640"/>
      <c r="Y479" s="553"/>
      <c r="Z479" s="527" t="str">
        <f>IFERROR(INDEX(잔가map!$C$14:$AR$18,MATCH(차량DB!$Z$5,잔가map!$B$14:$B$18,0),MATCH(차량DB!Y479,잔가map!$C$13:$AR$13,0)),"")</f>
        <v/>
      </c>
      <c r="AA479" s="527" t="str">
        <f>IFERROR(INDEX(잔가map!$C$14:$AR$18,MATCH(차량DB!$AA$5,잔가map!$B$14:$B$18,0),MATCH(차량DB!Y479,잔가map!$C$13:$AR$13,0)),"")</f>
        <v/>
      </c>
      <c r="AB479" s="527" t="str">
        <f>IFERROR(INDEX(잔가map!$C$14:$AR$18,MATCH(차량DB!$AB$5,잔가map!$B$14:$B$18,0),MATCH(차량DB!Y479,잔가map!$C$13:$AR$13,0)),"")</f>
        <v/>
      </c>
      <c r="AC479" s="527" t="str">
        <f>IFERROR(INDEX(잔가map!$C$14:$AR$18,MATCH(차량DB!$AC$5,잔가map!$B$14:$B$18,0),MATCH(차량DB!Y479,잔가map!$C$13:$AR$13,0)),"")</f>
        <v/>
      </c>
      <c r="AD479" s="527" t="str">
        <f>IFERROR(INDEX(잔가map!$C$14:$AR$18,MATCH(차량DB!$AD$5,잔가map!$B$14:$B$18,0),MATCH(차량DB!Y479,잔가map!$C$13:$AR$13,0)),"")</f>
        <v/>
      </c>
      <c r="AE479" s="643"/>
      <c r="AF479" s="644"/>
      <c r="AG479" s="644"/>
      <c r="AH479" s="644"/>
      <c r="AI479" s="644"/>
      <c r="AJ479" s="644"/>
      <c r="AK479" s="547"/>
      <c r="AL479" s="576"/>
    </row>
    <row r="480" spans="5:38" x14ac:dyDescent="0.3">
      <c r="E480" s="293" t="s">
        <v>420</v>
      </c>
      <c r="F480" s="605" t="s">
        <v>994</v>
      </c>
      <c r="G480" s="294">
        <v>1998</v>
      </c>
      <c r="H480" s="295" t="s">
        <v>45</v>
      </c>
      <c r="I480" s="294">
        <v>49600000</v>
      </c>
      <c r="P480" s="295" t="s">
        <v>576</v>
      </c>
      <c r="R480" s="500">
        <v>0</v>
      </c>
      <c r="S480" s="639"/>
      <c r="T480" s="640"/>
      <c r="U480" s="640"/>
      <c r="V480" s="640"/>
      <c r="W480" s="640"/>
      <c r="X480" s="640"/>
      <c r="Y480" s="553"/>
      <c r="Z480" s="527" t="str">
        <f>IFERROR(INDEX(잔가map!$C$14:$AR$18,MATCH(차량DB!$Z$5,잔가map!$B$14:$B$18,0),MATCH(차량DB!Y480,잔가map!$C$13:$AR$13,0)),"")</f>
        <v/>
      </c>
      <c r="AA480" s="527" t="str">
        <f>IFERROR(INDEX(잔가map!$C$14:$AR$18,MATCH(차량DB!$AA$5,잔가map!$B$14:$B$18,0),MATCH(차량DB!Y480,잔가map!$C$13:$AR$13,0)),"")</f>
        <v/>
      </c>
      <c r="AB480" s="527" t="str">
        <f>IFERROR(INDEX(잔가map!$C$14:$AR$18,MATCH(차량DB!$AB$5,잔가map!$B$14:$B$18,0),MATCH(차량DB!Y480,잔가map!$C$13:$AR$13,0)),"")</f>
        <v/>
      </c>
      <c r="AC480" s="527" t="str">
        <f>IFERROR(INDEX(잔가map!$C$14:$AR$18,MATCH(차량DB!$AC$5,잔가map!$B$14:$B$18,0),MATCH(차량DB!Y480,잔가map!$C$13:$AR$13,0)),"")</f>
        <v/>
      </c>
      <c r="AD480" s="527" t="str">
        <f>IFERROR(INDEX(잔가map!$C$14:$AR$18,MATCH(차량DB!$AD$5,잔가map!$B$14:$B$18,0),MATCH(차량DB!Y480,잔가map!$C$13:$AR$13,0)),"")</f>
        <v/>
      </c>
      <c r="AE480" s="643"/>
      <c r="AF480" s="644"/>
      <c r="AG480" s="644"/>
      <c r="AH480" s="644"/>
      <c r="AI480" s="644"/>
      <c r="AJ480" s="644"/>
      <c r="AK480" s="547"/>
      <c r="AL480" s="576"/>
    </row>
    <row r="481" spans="5:38" x14ac:dyDescent="0.3">
      <c r="E481" s="293" t="s">
        <v>420</v>
      </c>
      <c r="F481" s="605" t="s">
        <v>995</v>
      </c>
      <c r="G481" s="294">
        <v>1998</v>
      </c>
      <c r="H481" s="295" t="s">
        <v>45</v>
      </c>
      <c r="I481" s="294">
        <v>49100000</v>
      </c>
      <c r="P481" s="295" t="s">
        <v>576</v>
      </c>
      <c r="R481" s="500">
        <v>0</v>
      </c>
      <c r="S481" s="639"/>
      <c r="T481" s="640"/>
      <c r="U481" s="640"/>
      <c r="V481" s="640"/>
      <c r="W481" s="640"/>
      <c r="X481" s="640"/>
      <c r="Y481" s="553"/>
      <c r="Z481" s="527" t="str">
        <f>IFERROR(INDEX(잔가map!$C$14:$AR$18,MATCH(차량DB!$Z$5,잔가map!$B$14:$B$18,0),MATCH(차량DB!Y481,잔가map!$C$13:$AR$13,0)),"")</f>
        <v/>
      </c>
      <c r="AA481" s="527" t="str">
        <f>IFERROR(INDEX(잔가map!$C$14:$AR$18,MATCH(차량DB!$AA$5,잔가map!$B$14:$B$18,0),MATCH(차량DB!Y481,잔가map!$C$13:$AR$13,0)),"")</f>
        <v/>
      </c>
      <c r="AB481" s="527" t="str">
        <f>IFERROR(INDEX(잔가map!$C$14:$AR$18,MATCH(차량DB!$AB$5,잔가map!$B$14:$B$18,0),MATCH(차량DB!Y481,잔가map!$C$13:$AR$13,0)),"")</f>
        <v/>
      </c>
      <c r="AC481" s="527" t="str">
        <f>IFERROR(INDEX(잔가map!$C$14:$AR$18,MATCH(차량DB!$AC$5,잔가map!$B$14:$B$18,0),MATCH(차량DB!Y481,잔가map!$C$13:$AR$13,0)),"")</f>
        <v/>
      </c>
      <c r="AD481" s="527" t="str">
        <f>IFERROR(INDEX(잔가map!$C$14:$AR$18,MATCH(차량DB!$AD$5,잔가map!$B$14:$B$18,0),MATCH(차량DB!Y481,잔가map!$C$13:$AR$13,0)),"")</f>
        <v/>
      </c>
      <c r="AE481" s="643"/>
      <c r="AF481" s="644"/>
      <c r="AG481" s="644"/>
      <c r="AH481" s="644"/>
      <c r="AI481" s="644"/>
      <c r="AJ481" s="644"/>
      <c r="AK481" s="547"/>
      <c r="AL481" s="576"/>
    </row>
    <row r="482" spans="5:38" x14ac:dyDescent="0.3">
      <c r="E482" s="293" t="s">
        <v>420</v>
      </c>
      <c r="F482" s="605" t="s">
        <v>996</v>
      </c>
      <c r="G482" s="294">
        <v>1995</v>
      </c>
      <c r="H482" s="295" t="s">
        <v>45</v>
      </c>
      <c r="I482" s="294">
        <v>51300000</v>
      </c>
      <c r="P482" s="295" t="s">
        <v>576</v>
      </c>
      <c r="R482" s="500">
        <v>0</v>
      </c>
      <c r="S482" s="639"/>
      <c r="T482" s="640"/>
      <c r="U482" s="640"/>
      <c r="V482" s="640"/>
      <c r="W482" s="640"/>
      <c r="X482" s="640"/>
      <c r="Y482" s="553"/>
      <c r="Z482" s="527" t="str">
        <f>IFERROR(INDEX(잔가map!$C$14:$AR$18,MATCH(차량DB!$Z$5,잔가map!$B$14:$B$18,0),MATCH(차량DB!Y482,잔가map!$C$13:$AR$13,0)),"")</f>
        <v/>
      </c>
      <c r="AA482" s="527" t="str">
        <f>IFERROR(INDEX(잔가map!$C$14:$AR$18,MATCH(차량DB!$AA$5,잔가map!$B$14:$B$18,0),MATCH(차량DB!Y482,잔가map!$C$13:$AR$13,0)),"")</f>
        <v/>
      </c>
      <c r="AB482" s="527" t="str">
        <f>IFERROR(INDEX(잔가map!$C$14:$AR$18,MATCH(차량DB!$AB$5,잔가map!$B$14:$B$18,0),MATCH(차량DB!Y482,잔가map!$C$13:$AR$13,0)),"")</f>
        <v/>
      </c>
      <c r="AC482" s="527" t="str">
        <f>IFERROR(INDEX(잔가map!$C$14:$AR$18,MATCH(차량DB!$AC$5,잔가map!$B$14:$B$18,0),MATCH(차량DB!Y482,잔가map!$C$13:$AR$13,0)),"")</f>
        <v/>
      </c>
      <c r="AD482" s="527" t="str">
        <f>IFERROR(INDEX(잔가map!$C$14:$AR$18,MATCH(차량DB!$AD$5,잔가map!$B$14:$B$18,0),MATCH(차량DB!Y482,잔가map!$C$13:$AR$13,0)),"")</f>
        <v/>
      </c>
      <c r="AE482" s="643"/>
      <c r="AF482" s="644"/>
      <c r="AG482" s="644"/>
      <c r="AH482" s="644"/>
      <c r="AI482" s="644"/>
      <c r="AJ482" s="644"/>
      <c r="AK482" s="547"/>
      <c r="AL482" s="576"/>
    </row>
    <row r="483" spans="5:38" x14ac:dyDescent="0.3">
      <c r="E483" s="293" t="s">
        <v>420</v>
      </c>
      <c r="F483" s="605" t="s">
        <v>997</v>
      </c>
      <c r="G483" s="294">
        <v>1499</v>
      </c>
      <c r="H483" s="295" t="s">
        <v>45</v>
      </c>
      <c r="I483" s="294">
        <v>42200000</v>
      </c>
      <c r="P483" s="295" t="s">
        <v>576</v>
      </c>
      <c r="R483" s="500">
        <v>0</v>
      </c>
      <c r="S483" s="639"/>
      <c r="T483" s="640"/>
      <c r="U483" s="640"/>
      <c r="V483" s="640"/>
      <c r="W483" s="640"/>
      <c r="X483" s="640"/>
      <c r="Y483" s="553"/>
      <c r="Z483" s="527" t="str">
        <f>IFERROR(INDEX(잔가map!$C$14:$AR$18,MATCH(차량DB!$Z$5,잔가map!$B$14:$B$18,0),MATCH(차량DB!Y483,잔가map!$C$13:$AR$13,0)),"")</f>
        <v/>
      </c>
      <c r="AA483" s="527" t="str">
        <f>IFERROR(INDEX(잔가map!$C$14:$AR$18,MATCH(차량DB!$AA$5,잔가map!$B$14:$B$18,0),MATCH(차량DB!Y483,잔가map!$C$13:$AR$13,0)),"")</f>
        <v/>
      </c>
      <c r="AB483" s="527" t="str">
        <f>IFERROR(INDEX(잔가map!$C$14:$AR$18,MATCH(차량DB!$AB$5,잔가map!$B$14:$B$18,0),MATCH(차량DB!Y483,잔가map!$C$13:$AR$13,0)),"")</f>
        <v/>
      </c>
      <c r="AC483" s="527" t="str">
        <f>IFERROR(INDEX(잔가map!$C$14:$AR$18,MATCH(차량DB!$AC$5,잔가map!$B$14:$B$18,0),MATCH(차량DB!Y483,잔가map!$C$13:$AR$13,0)),"")</f>
        <v/>
      </c>
      <c r="AD483" s="527" t="str">
        <f>IFERROR(INDEX(잔가map!$C$14:$AR$18,MATCH(차량DB!$AD$5,잔가map!$B$14:$B$18,0),MATCH(차량DB!Y483,잔가map!$C$13:$AR$13,0)),"")</f>
        <v/>
      </c>
      <c r="AE483" s="643"/>
      <c r="AF483" s="644"/>
      <c r="AG483" s="644"/>
      <c r="AH483" s="644"/>
      <c r="AI483" s="644"/>
      <c r="AJ483" s="644"/>
      <c r="AK483" s="547"/>
      <c r="AL483" s="576"/>
    </row>
    <row r="484" spans="5:38" x14ac:dyDescent="0.3">
      <c r="E484" s="293" t="s">
        <v>420</v>
      </c>
      <c r="F484" s="605" t="s">
        <v>998</v>
      </c>
      <c r="G484" s="294">
        <v>1998</v>
      </c>
      <c r="H484" s="295" t="s">
        <v>45</v>
      </c>
      <c r="I484" s="294">
        <v>61300000</v>
      </c>
      <c r="P484" s="295" t="s">
        <v>576</v>
      </c>
      <c r="R484" s="500">
        <v>0</v>
      </c>
      <c r="S484" s="639"/>
      <c r="T484" s="640"/>
      <c r="U484" s="640"/>
      <c r="V484" s="640"/>
      <c r="W484" s="640"/>
      <c r="X484" s="640"/>
      <c r="Y484" s="553"/>
      <c r="Z484" s="527" t="str">
        <f>IFERROR(INDEX(잔가map!$C$14:$AR$18,MATCH(차량DB!$Z$5,잔가map!$B$14:$B$18,0),MATCH(차량DB!Y484,잔가map!$C$13:$AR$13,0)),"")</f>
        <v/>
      </c>
      <c r="AA484" s="527" t="str">
        <f>IFERROR(INDEX(잔가map!$C$14:$AR$18,MATCH(차량DB!$AA$5,잔가map!$B$14:$B$18,0),MATCH(차량DB!Y484,잔가map!$C$13:$AR$13,0)),"")</f>
        <v/>
      </c>
      <c r="AB484" s="527" t="str">
        <f>IFERROR(INDEX(잔가map!$C$14:$AR$18,MATCH(차량DB!$AB$5,잔가map!$B$14:$B$18,0),MATCH(차량DB!Y484,잔가map!$C$13:$AR$13,0)),"")</f>
        <v/>
      </c>
      <c r="AC484" s="527" t="str">
        <f>IFERROR(INDEX(잔가map!$C$14:$AR$18,MATCH(차량DB!$AC$5,잔가map!$B$14:$B$18,0),MATCH(차량DB!Y484,잔가map!$C$13:$AR$13,0)),"")</f>
        <v/>
      </c>
      <c r="AD484" s="527" t="str">
        <f>IFERROR(INDEX(잔가map!$C$14:$AR$18,MATCH(차량DB!$AD$5,잔가map!$B$14:$B$18,0),MATCH(차량DB!Y484,잔가map!$C$13:$AR$13,0)),"")</f>
        <v/>
      </c>
      <c r="AE484" s="643"/>
      <c r="AF484" s="644"/>
      <c r="AG484" s="644"/>
      <c r="AH484" s="644"/>
      <c r="AI484" s="644"/>
      <c r="AJ484" s="644"/>
      <c r="AK484" s="547"/>
      <c r="AL484" s="576"/>
    </row>
    <row r="485" spans="5:38" x14ac:dyDescent="0.3">
      <c r="E485" s="293" t="s">
        <v>420</v>
      </c>
      <c r="F485" s="605" t="s">
        <v>999</v>
      </c>
      <c r="G485" s="294">
        <v>1998</v>
      </c>
      <c r="H485" s="295" t="s">
        <v>45</v>
      </c>
      <c r="I485" s="294">
        <v>60700000</v>
      </c>
      <c r="P485" s="295" t="s">
        <v>576</v>
      </c>
      <c r="R485" s="500">
        <v>0</v>
      </c>
      <c r="S485" s="639"/>
      <c r="T485" s="640"/>
      <c r="U485" s="640"/>
      <c r="V485" s="640"/>
      <c r="W485" s="640"/>
      <c r="X485" s="640"/>
      <c r="Y485" s="553"/>
      <c r="Z485" s="527" t="str">
        <f>IFERROR(INDEX(잔가map!$C$14:$AR$18,MATCH(차량DB!$Z$5,잔가map!$B$14:$B$18,0),MATCH(차량DB!Y485,잔가map!$C$13:$AR$13,0)),"")</f>
        <v/>
      </c>
      <c r="AA485" s="527" t="str">
        <f>IFERROR(INDEX(잔가map!$C$14:$AR$18,MATCH(차량DB!$AA$5,잔가map!$B$14:$B$18,0),MATCH(차량DB!Y485,잔가map!$C$13:$AR$13,0)),"")</f>
        <v/>
      </c>
      <c r="AB485" s="527" t="str">
        <f>IFERROR(INDEX(잔가map!$C$14:$AR$18,MATCH(차량DB!$AB$5,잔가map!$B$14:$B$18,0),MATCH(차량DB!Y485,잔가map!$C$13:$AR$13,0)),"")</f>
        <v/>
      </c>
      <c r="AC485" s="527" t="str">
        <f>IFERROR(INDEX(잔가map!$C$14:$AR$18,MATCH(차량DB!$AC$5,잔가map!$B$14:$B$18,0),MATCH(차량DB!Y485,잔가map!$C$13:$AR$13,0)),"")</f>
        <v/>
      </c>
      <c r="AD485" s="527" t="str">
        <f>IFERROR(INDEX(잔가map!$C$14:$AR$18,MATCH(차량DB!$AD$5,잔가map!$B$14:$B$18,0),MATCH(차량DB!Y485,잔가map!$C$13:$AR$13,0)),"")</f>
        <v/>
      </c>
      <c r="AE485" s="643"/>
      <c r="AF485" s="644"/>
      <c r="AG485" s="644"/>
      <c r="AH485" s="644"/>
      <c r="AI485" s="644"/>
      <c r="AJ485" s="644"/>
      <c r="AK485" s="547"/>
      <c r="AL485" s="576"/>
    </row>
    <row r="486" spans="5:38" x14ac:dyDescent="0.3">
      <c r="E486" s="293" t="s">
        <v>420</v>
      </c>
      <c r="F486" s="605" t="s">
        <v>1000</v>
      </c>
      <c r="G486" s="294">
        <v>1499</v>
      </c>
      <c r="H486" s="295" t="s">
        <v>45</v>
      </c>
      <c r="I486" s="294">
        <v>45500000</v>
      </c>
      <c r="P486" s="295" t="s">
        <v>576</v>
      </c>
      <c r="R486" s="500">
        <v>0</v>
      </c>
      <c r="S486" s="639"/>
      <c r="T486" s="640"/>
      <c r="U486" s="640"/>
      <c r="V486" s="640"/>
      <c r="W486" s="640"/>
      <c r="X486" s="640"/>
      <c r="Y486" s="553"/>
      <c r="Z486" s="527" t="str">
        <f>IFERROR(INDEX(잔가map!$C$14:$AR$18,MATCH(차량DB!$Z$5,잔가map!$B$14:$B$18,0),MATCH(차량DB!Y486,잔가map!$C$13:$AR$13,0)),"")</f>
        <v/>
      </c>
      <c r="AA486" s="527" t="str">
        <f>IFERROR(INDEX(잔가map!$C$14:$AR$18,MATCH(차량DB!$AA$5,잔가map!$B$14:$B$18,0),MATCH(차량DB!Y486,잔가map!$C$13:$AR$13,0)),"")</f>
        <v/>
      </c>
      <c r="AB486" s="527" t="str">
        <f>IFERROR(INDEX(잔가map!$C$14:$AR$18,MATCH(차량DB!$AB$5,잔가map!$B$14:$B$18,0),MATCH(차량DB!Y486,잔가map!$C$13:$AR$13,0)),"")</f>
        <v/>
      </c>
      <c r="AC486" s="527" t="str">
        <f>IFERROR(INDEX(잔가map!$C$14:$AR$18,MATCH(차량DB!$AC$5,잔가map!$B$14:$B$18,0),MATCH(차량DB!Y486,잔가map!$C$13:$AR$13,0)),"")</f>
        <v/>
      </c>
      <c r="AD486" s="527" t="str">
        <f>IFERROR(INDEX(잔가map!$C$14:$AR$18,MATCH(차량DB!$AD$5,잔가map!$B$14:$B$18,0),MATCH(차량DB!Y486,잔가map!$C$13:$AR$13,0)),"")</f>
        <v/>
      </c>
      <c r="AE486" s="643"/>
      <c r="AF486" s="644"/>
      <c r="AG486" s="644"/>
      <c r="AH486" s="644"/>
      <c r="AI486" s="644"/>
      <c r="AJ486" s="644"/>
      <c r="AK486" s="547"/>
      <c r="AL486" s="576"/>
    </row>
    <row r="487" spans="5:38" x14ac:dyDescent="0.3">
      <c r="E487" s="293" t="s">
        <v>420</v>
      </c>
      <c r="F487" s="605" t="s">
        <v>1001</v>
      </c>
      <c r="G487" s="294">
        <v>1998</v>
      </c>
      <c r="H487" s="295" t="s">
        <v>45</v>
      </c>
      <c r="I487" s="294">
        <v>49800000</v>
      </c>
      <c r="P487" s="295" t="s">
        <v>576</v>
      </c>
      <c r="R487" s="500">
        <v>0</v>
      </c>
      <c r="S487" s="639"/>
      <c r="T487" s="640"/>
      <c r="U487" s="640"/>
      <c r="V487" s="640"/>
      <c r="W487" s="640"/>
      <c r="X487" s="640"/>
      <c r="Y487" s="553"/>
      <c r="Z487" s="527" t="str">
        <f>IFERROR(INDEX(잔가map!$C$14:$AR$18,MATCH(차량DB!$Z$5,잔가map!$B$14:$B$18,0),MATCH(차량DB!Y487,잔가map!$C$13:$AR$13,0)),"")</f>
        <v/>
      </c>
      <c r="AA487" s="527" t="str">
        <f>IFERROR(INDEX(잔가map!$C$14:$AR$18,MATCH(차량DB!$AA$5,잔가map!$B$14:$B$18,0),MATCH(차량DB!Y487,잔가map!$C$13:$AR$13,0)),"")</f>
        <v/>
      </c>
      <c r="AB487" s="527" t="str">
        <f>IFERROR(INDEX(잔가map!$C$14:$AR$18,MATCH(차량DB!$AB$5,잔가map!$B$14:$B$18,0),MATCH(차량DB!Y487,잔가map!$C$13:$AR$13,0)),"")</f>
        <v/>
      </c>
      <c r="AC487" s="527" t="str">
        <f>IFERROR(INDEX(잔가map!$C$14:$AR$18,MATCH(차량DB!$AC$5,잔가map!$B$14:$B$18,0),MATCH(차량DB!Y487,잔가map!$C$13:$AR$13,0)),"")</f>
        <v/>
      </c>
      <c r="AD487" s="527" t="str">
        <f>IFERROR(INDEX(잔가map!$C$14:$AR$18,MATCH(차량DB!$AD$5,잔가map!$B$14:$B$18,0),MATCH(차량DB!Y487,잔가map!$C$13:$AR$13,0)),"")</f>
        <v/>
      </c>
      <c r="AE487" s="643"/>
      <c r="AF487" s="644"/>
      <c r="AG487" s="644"/>
      <c r="AH487" s="644"/>
      <c r="AI487" s="644"/>
      <c r="AJ487" s="644"/>
      <c r="AK487" s="547"/>
      <c r="AL487" s="576"/>
    </row>
    <row r="488" spans="5:38" x14ac:dyDescent="0.3">
      <c r="E488" s="293" t="s">
        <v>420</v>
      </c>
      <c r="F488" s="605" t="s">
        <v>1002</v>
      </c>
      <c r="G488" s="294">
        <v>1998</v>
      </c>
      <c r="H488" s="295" t="s">
        <v>45</v>
      </c>
      <c r="I488" s="294">
        <v>57300000</v>
      </c>
      <c r="P488" s="295" t="s">
        <v>576</v>
      </c>
      <c r="R488" s="500">
        <v>0</v>
      </c>
      <c r="S488" s="639"/>
      <c r="T488" s="640"/>
      <c r="U488" s="640"/>
      <c r="V488" s="640"/>
      <c r="W488" s="640"/>
      <c r="X488" s="640"/>
      <c r="Y488" s="553"/>
      <c r="Z488" s="527" t="str">
        <f>IFERROR(INDEX(잔가map!$C$14:$AR$18,MATCH(차량DB!$Z$5,잔가map!$B$14:$B$18,0),MATCH(차량DB!Y488,잔가map!$C$13:$AR$13,0)),"")</f>
        <v/>
      </c>
      <c r="AA488" s="527" t="str">
        <f>IFERROR(INDEX(잔가map!$C$14:$AR$18,MATCH(차량DB!$AA$5,잔가map!$B$14:$B$18,0),MATCH(차량DB!Y488,잔가map!$C$13:$AR$13,0)),"")</f>
        <v/>
      </c>
      <c r="AB488" s="527" t="str">
        <f>IFERROR(INDEX(잔가map!$C$14:$AR$18,MATCH(차량DB!$AB$5,잔가map!$B$14:$B$18,0),MATCH(차량DB!Y488,잔가map!$C$13:$AR$13,0)),"")</f>
        <v/>
      </c>
      <c r="AC488" s="527" t="str">
        <f>IFERROR(INDEX(잔가map!$C$14:$AR$18,MATCH(차량DB!$AC$5,잔가map!$B$14:$B$18,0),MATCH(차량DB!Y488,잔가map!$C$13:$AR$13,0)),"")</f>
        <v/>
      </c>
      <c r="AD488" s="527" t="str">
        <f>IFERROR(INDEX(잔가map!$C$14:$AR$18,MATCH(차량DB!$AD$5,잔가map!$B$14:$B$18,0),MATCH(차량DB!Y488,잔가map!$C$13:$AR$13,0)),"")</f>
        <v/>
      </c>
      <c r="AE488" s="643"/>
      <c r="AF488" s="644"/>
      <c r="AG488" s="644"/>
      <c r="AH488" s="644"/>
      <c r="AI488" s="644"/>
      <c r="AJ488" s="644"/>
      <c r="AK488" s="547"/>
      <c r="AL488" s="576"/>
    </row>
    <row r="489" spans="5:38" x14ac:dyDescent="0.3">
      <c r="E489" s="293" t="s">
        <v>420</v>
      </c>
      <c r="F489" s="605" t="s">
        <v>1003</v>
      </c>
      <c r="G489" s="294">
        <v>1998</v>
      </c>
      <c r="H489" s="295" t="s">
        <v>45</v>
      </c>
      <c r="I489" s="294">
        <v>57300000</v>
      </c>
      <c r="P489" s="295" t="s">
        <v>576</v>
      </c>
      <c r="R489" s="500">
        <v>0</v>
      </c>
      <c r="S489" s="639"/>
      <c r="T489" s="640"/>
      <c r="U489" s="640"/>
      <c r="V489" s="640"/>
      <c r="W489" s="640"/>
      <c r="X489" s="640"/>
      <c r="Y489" s="553"/>
      <c r="Z489" s="527" t="str">
        <f>IFERROR(INDEX(잔가map!$C$14:$AR$18,MATCH(차량DB!$Z$5,잔가map!$B$14:$B$18,0),MATCH(차량DB!Y489,잔가map!$C$13:$AR$13,0)),"")</f>
        <v/>
      </c>
      <c r="AA489" s="527" t="str">
        <f>IFERROR(INDEX(잔가map!$C$14:$AR$18,MATCH(차량DB!$AA$5,잔가map!$B$14:$B$18,0),MATCH(차량DB!Y489,잔가map!$C$13:$AR$13,0)),"")</f>
        <v/>
      </c>
      <c r="AB489" s="527" t="str">
        <f>IFERROR(INDEX(잔가map!$C$14:$AR$18,MATCH(차량DB!$AB$5,잔가map!$B$14:$B$18,0),MATCH(차량DB!Y489,잔가map!$C$13:$AR$13,0)),"")</f>
        <v/>
      </c>
      <c r="AC489" s="527" t="str">
        <f>IFERROR(INDEX(잔가map!$C$14:$AR$18,MATCH(차량DB!$AC$5,잔가map!$B$14:$B$18,0),MATCH(차량DB!Y489,잔가map!$C$13:$AR$13,0)),"")</f>
        <v/>
      </c>
      <c r="AD489" s="527" t="str">
        <f>IFERROR(INDEX(잔가map!$C$14:$AR$18,MATCH(차량DB!$AD$5,잔가map!$B$14:$B$18,0),MATCH(차량DB!Y489,잔가map!$C$13:$AR$13,0)),"")</f>
        <v/>
      </c>
      <c r="AE489" s="643"/>
      <c r="AF489" s="644"/>
      <c r="AG489" s="644"/>
      <c r="AH489" s="644"/>
      <c r="AI489" s="644"/>
      <c r="AJ489" s="644"/>
      <c r="AK489" s="547"/>
      <c r="AL489" s="576"/>
    </row>
    <row r="490" spans="5:38" x14ac:dyDescent="0.3">
      <c r="E490" s="293" t="s">
        <v>420</v>
      </c>
      <c r="F490" s="605" t="s">
        <v>1004</v>
      </c>
      <c r="G490" s="294">
        <v>1499</v>
      </c>
      <c r="H490" s="295" t="s">
        <v>58</v>
      </c>
      <c r="I490" s="294">
        <v>41700000</v>
      </c>
      <c r="P490" s="295" t="s">
        <v>576</v>
      </c>
      <c r="R490" s="500">
        <v>0</v>
      </c>
      <c r="S490" s="639"/>
      <c r="T490" s="640"/>
      <c r="U490" s="640"/>
      <c r="V490" s="640"/>
      <c r="W490" s="640"/>
      <c r="X490" s="640"/>
      <c r="Y490" s="553"/>
      <c r="Z490" s="527" t="str">
        <f>IFERROR(INDEX(잔가map!$C$14:$AR$18,MATCH(차량DB!$Z$5,잔가map!$B$14:$B$18,0),MATCH(차량DB!Y490,잔가map!$C$13:$AR$13,0)),"")</f>
        <v/>
      </c>
      <c r="AA490" s="527" t="str">
        <f>IFERROR(INDEX(잔가map!$C$14:$AR$18,MATCH(차량DB!$AA$5,잔가map!$B$14:$B$18,0),MATCH(차량DB!Y490,잔가map!$C$13:$AR$13,0)),"")</f>
        <v/>
      </c>
      <c r="AB490" s="527" t="str">
        <f>IFERROR(INDEX(잔가map!$C$14:$AR$18,MATCH(차량DB!$AB$5,잔가map!$B$14:$B$18,0),MATCH(차량DB!Y490,잔가map!$C$13:$AR$13,0)),"")</f>
        <v/>
      </c>
      <c r="AC490" s="527" t="str">
        <f>IFERROR(INDEX(잔가map!$C$14:$AR$18,MATCH(차량DB!$AC$5,잔가map!$B$14:$B$18,0),MATCH(차량DB!Y490,잔가map!$C$13:$AR$13,0)),"")</f>
        <v/>
      </c>
      <c r="AD490" s="527" t="str">
        <f>IFERROR(INDEX(잔가map!$C$14:$AR$18,MATCH(차량DB!$AD$5,잔가map!$B$14:$B$18,0),MATCH(차량DB!Y490,잔가map!$C$13:$AR$13,0)),"")</f>
        <v/>
      </c>
      <c r="AE490" s="643"/>
      <c r="AF490" s="644"/>
      <c r="AG490" s="644"/>
      <c r="AH490" s="644"/>
      <c r="AI490" s="644"/>
      <c r="AJ490" s="644"/>
      <c r="AK490" s="547"/>
      <c r="AL490" s="576"/>
    </row>
    <row r="491" spans="5:38" x14ac:dyDescent="0.3">
      <c r="E491" s="293" t="s">
        <v>420</v>
      </c>
      <c r="F491" s="605" t="s">
        <v>1005</v>
      </c>
      <c r="G491" s="294">
        <v>1499</v>
      </c>
      <c r="H491" s="295" t="s">
        <v>58</v>
      </c>
      <c r="I491" s="294">
        <v>47600000</v>
      </c>
      <c r="P491" s="295" t="s">
        <v>576</v>
      </c>
      <c r="R491" s="500">
        <v>0</v>
      </c>
      <c r="S491" s="639"/>
      <c r="T491" s="640"/>
      <c r="U491" s="640"/>
      <c r="V491" s="640"/>
      <c r="W491" s="640"/>
      <c r="X491" s="640"/>
      <c r="Y491" s="553"/>
      <c r="Z491" s="527" t="str">
        <f>IFERROR(INDEX(잔가map!$C$14:$AR$18,MATCH(차량DB!$Z$5,잔가map!$B$14:$B$18,0),MATCH(차량DB!Y491,잔가map!$C$13:$AR$13,0)),"")</f>
        <v/>
      </c>
      <c r="AA491" s="527" t="str">
        <f>IFERROR(INDEX(잔가map!$C$14:$AR$18,MATCH(차량DB!$AA$5,잔가map!$B$14:$B$18,0),MATCH(차량DB!Y491,잔가map!$C$13:$AR$13,0)),"")</f>
        <v/>
      </c>
      <c r="AB491" s="527" t="str">
        <f>IFERROR(INDEX(잔가map!$C$14:$AR$18,MATCH(차량DB!$AB$5,잔가map!$B$14:$B$18,0),MATCH(차량DB!Y491,잔가map!$C$13:$AR$13,0)),"")</f>
        <v/>
      </c>
      <c r="AC491" s="527" t="str">
        <f>IFERROR(INDEX(잔가map!$C$14:$AR$18,MATCH(차량DB!$AC$5,잔가map!$B$14:$B$18,0),MATCH(차량DB!Y491,잔가map!$C$13:$AR$13,0)),"")</f>
        <v/>
      </c>
      <c r="AD491" s="527" t="str">
        <f>IFERROR(INDEX(잔가map!$C$14:$AR$18,MATCH(차량DB!$AD$5,잔가map!$B$14:$B$18,0),MATCH(차량DB!Y491,잔가map!$C$13:$AR$13,0)),"")</f>
        <v/>
      </c>
      <c r="AE491" s="643"/>
      <c r="AF491" s="644"/>
      <c r="AG491" s="644"/>
      <c r="AH491" s="644"/>
      <c r="AI491" s="644"/>
      <c r="AJ491" s="644"/>
      <c r="AK491" s="547"/>
      <c r="AL491" s="576"/>
    </row>
    <row r="492" spans="5:38" x14ac:dyDescent="0.3">
      <c r="E492" s="293" t="s">
        <v>420</v>
      </c>
      <c r="F492" s="605" t="s">
        <v>1006</v>
      </c>
      <c r="G492" s="294">
        <v>1995</v>
      </c>
      <c r="H492" s="295" t="s">
        <v>58</v>
      </c>
      <c r="I492" s="294">
        <v>49200000</v>
      </c>
      <c r="P492" s="295" t="s">
        <v>576</v>
      </c>
      <c r="R492" s="500">
        <v>0</v>
      </c>
      <c r="S492" s="639"/>
      <c r="T492" s="640"/>
      <c r="U492" s="640"/>
      <c r="V492" s="640"/>
      <c r="W492" s="640"/>
      <c r="X492" s="640"/>
      <c r="Y492" s="553"/>
      <c r="Z492" s="527" t="str">
        <f>IFERROR(INDEX(잔가map!$C$14:$AR$18,MATCH(차량DB!$Z$5,잔가map!$B$14:$B$18,0),MATCH(차량DB!Y492,잔가map!$C$13:$AR$13,0)),"")</f>
        <v/>
      </c>
      <c r="AA492" s="527" t="str">
        <f>IFERROR(INDEX(잔가map!$C$14:$AR$18,MATCH(차량DB!$AA$5,잔가map!$B$14:$B$18,0),MATCH(차량DB!Y492,잔가map!$C$13:$AR$13,0)),"")</f>
        <v/>
      </c>
      <c r="AB492" s="527" t="str">
        <f>IFERROR(INDEX(잔가map!$C$14:$AR$18,MATCH(차량DB!$AB$5,잔가map!$B$14:$B$18,0),MATCH(차량DB!Y492,잔가map!$C$13:$AR$13,0)),"")</f>
        <v/>
      </c>
      <c r="AC492" s="527" t="str">
        <f>IFERROR(INDEX(잔가map!$C$14:$AR$18,MATCH(차량DB!$AC$5,잔가map!$B$14:$B$18,0),MATCH(차량DB!Y492,잔가map!$C$13:$AR$13,0)),"")</f>
        <v/>
      </c>
      <c r="AD492" s="527" t="str">
        <f>IFERROR(INDEX(잔가map!$C$14:$AR$18,MATCH(차량DB!$AD$5,잔가map!$B$14:$B$18,0),MATCH(차량DB!Y492,잔가map!$C$13:$AR$13,0)),"")</f>
        <v/>
      </c>
      <c r="AE492" s="643"/>
      <c r="AF492" s="644"/>
      <c r="AG492" s="644"/>
      <c r="AH492" s="644"/>
      <c r="AI492" s="644"/>
      <c r="AJ492" s="644"/>
      <c r="AK492" s="547"/>
      <c r="AL492" s="576"/>
    </row>
    <row r="493" spans="5:38" x14ac:dyDescent="0.3">
      <c r="E493" s="293" t="s">
        <v>420</v>
      </c>
      <c r="F493" s="605" t="s">
        <v>1007</v>
      </c>
      <c r="G493" s="294">
        <v>1998</v>
      </c>
      <c r="H493" s="295" t="s">
        <v>58</v>
      </c>
      <c r="I493" s="294">
        <v>53200000</v>
      </c>
      <c r="P493" s="295" t="s">
        <v>576</v>
      </c>
      <c r="R493" s="500">
        <v>0</v>
      </c>
      <c r="S493" s="639"/>
      <c r="T493" s="640"/>
      <c r="U493" s="640"/>
      <c r="V493" s="640"/>
      <c r="W493" s="640"/>
      <c r="X493" s="640"/>
      <c r="Y493" s="553"/>
      <c r="Z493" s="527" t="str">
        <f>IFERROR(INDEX(잔가map!$C$14:$AR$18,MATCH(차량DB!$Z$5,잔가map!$B$14:$B$18,0),MATCH(차량DB!Y493,잔가map!$C$13:$AR$13,0)),"")</f>
        <v/>
      </c>
      <c r="AA493" s="527" t="str">
        <f>IFERROR(INDEX(잔가map!$C$14:$AR$18,MATCH(차량DB!$AA$5,잔가map!$B$14:$B$18,0),MATCH(차량DB!Y493,잔가map!$C$13:$AR$13,0)),"")</f>
        <v/>
      </c>
      <c r="AB493" s="527" t="str">
        <f>IFERROR(INDEX(잔가map!$C$14:$AR$18,MATCH(차량DB!$AB$5,잔가map!$B$14:$B$18,0),MATCH(차량DB!Y493,잔가map!$C$13:$AR$13,0)),"")</f>
        <v/>
      </c>
      <c r="AC493" s="527" t="str">
        <f>IFERROR(INDEX(잔가map!$C$14:$AR$18,MATCH(차량DB!$AC$5,잔가map!$B$14:$B$18,0),MATCH(차량DB!Y493,잔가map!$C$13:$AR$13,0)),"")</f>
        <v/>
      </c>
      <c r="AD493" s="527" t="str">
        <f>IFERROR(INDEX(잔가map!$C$14:$AR$18,MATCH(차량DB!$AD$5,잔가map!$B$14:$B$18,0),MATCH(차량DB!Y493,잔가map!$C$13:$AR$13,0)),"")</f>
        <v/>
      </c>
      <c r="AE493" s="643"/>
      <c r="AF493" s="644"/>
      <c r="AG493" s="644"/>
      <c r="AH493" s="644"/>
      <c r="AI493" s="644"/>
      <c r="AJ493" s="644"/>
      <c r="AK493" s="547"/>
      <c r="AL493" s="576"/>
    </row>
    <row r="494" spans="5:38" x14ac:dyDescent="0.3">
      <c r="E494" s="293" t="s">
        <v>420</v>
      </c>
      <c r="F494" s="605" t="s">
        <v>1008</v>
      </c>
      <c r="G494" s="294">
        <v>1998</v>
      </c>
      <c r="H494" s="295" t="s">
        <v>58</v>
      </c>
      <c r="I494" s="294">
        <v>52700000</v>
      </c>
      <c r="P494" s="295" t="s">
        <v>576</v>
      </c>
      <c r="R494" s="500">
        <v>0</v>
      </c>
      <c r="S494" s="639"/>
      <c r="T494" s="640"/>
      <c r="U494" s="640"/>
      <c r="V494" s="640"/>
      <c r="W494" s="640"/>
      <c r="X494" s="640"/>
      <c r="Y494" s="553"/>
      <c r="Z494" s="527" t="str">
        <f>IFERROR(INDEX(잔가map!$C$14:$AR$18,MATCH(차량DB!$Z$5,잔가map!$B$14:$B$18,0),MATCH(차량DB!Y494,잔가map!$C$13:$AR$13,0)),"")</f>
        <v/>
      </c>
      <c r="AA494" s="527" t="str">
        <f>IFERROR(INDEX(잔가map!$C$14:$AR$18,MATCH(차량DB!$AA$5,잔가map!$B$14:$B$18,0),MATCH(차량DB!Y494,잔가map!$C$13:$AR$13,0)),"")</f>
        <v/>
      </c>
      <c r="AB494" s="527" t="str">
        <f>IFERROR(INDEX(잔가map!$C$14:$AR$18,MATCH(차량DB!$AB$5,잔가map!$B$14:$B$18,0),MATCH(차량DB!Y494,잔가map!$C$13:$AR$13,0)),"")</f>
        <v/>
      </c>
      <c r="AC494" s="527" t="str">
        <f>IFERROR(INDEX(잔가map!$C$14:$AR$18,MATCH(차량DB!$AC$5,잔가map!$B$14:$B$18,0),MATCH(차량DB!Y494,잔가map!$C$13:$AR$13,0)),"")</f>
        <v/>
      </c>
      <c r="AD494" s="527" t="str">
        <f>IFERROR(INDEX(잔가map!$C$14:$AR$18,MATCH(차량DB!$AD$5,잔가map!$B$14:$B$18,0),MATCH(차량DB!Y494,잔가map!$C$13:$AR$13,0)),"")</f>
        <v/>
      </c>
      <c r="AE494" s="643"/>
      <c r="AF494" s="644"/>
      <c r="AG494" s="644"/>
      <c r="AH494" s="644"/>
      <c r="AI494" s="644"/>
      <c r="AJ494" s="644"/>
      <c r="AK494" s="547"/>
      <c r="AL494" s="576"/>
    </row>
    <row r="495" spans="5:38" x14ac:dyDescent="0.3">
      <c r="E495" s="293" t="s">
        <v>420</v>
      </c>
      <c r="F495" s="605" t="s">
        <v>1009</v>
      </c>
      <c r="G495" s="294">
        <v>1995</v>
      </c>
      <c r="H495" s="295" t="s">
        <v>58</v>
      </c>
      <c r="I495" s="294">
        <v>56500000</v>
      </c>
      <c r="P495" s="295" t="s">
        <v>576</v>
      </c>
      <c r="R495" s="500">
        <v>0</v>
      </c>
      <c r="S495" s="639"/>
      <c r="T495" s="640"/>
      <c r="U495" s="640"/>
      <c r="V495" s="640"/>
      <c r="W495" s="640"/>
      <c r="X495" s="640"/>
      <c r="Y495" s="553"/>
      <c r="Z495" s="527" t="str">
        <f>IFERROR(INDEX(잔가map!$C$14:$AR$18,MATCH(차량DB!$Z$5,잔가map!$B$14:$B$18,0),MATCH(차량DB!Y495,잔가map!$C$13:$AR$13,0)),"")</f>
        <v/>
      </c>
      <c r="AA495" s="527" t="str">
        <f>IFERROR(INDEX(잔가map!$C$14:$AR$18,MATCH(차량DB!$AA$5,잔가map!$B$14:$B$18,0),MATCH(차량DB!Y495,잔가map!$C$13:$AR$13,0)),"")</f>
        <v/>
      </c>
      <c r="AB495" s="527" t="str">
        <f>IFERROR(INDEX(잔가map!$C$14:$AR$18,MATCH(차량DB!$AB$5,잔가map!$B$14:$B$18,0),MATCH(차량DB!Y495,잔가map!$C$13:$AR$13,0)),"")</f>
        <v/>
      </c>
      <c r="AC495" s="527" t="str">
        <f>IFERROR(INDEX(잔가map!$C$14:$AR$18,MATCH(차량DB!$AC$5,잔가map!$B$14:$B$18,0),MATCH(차량DB!Y495,잔가map!$C$13:$AR$13,0)),"")</f>
        <v/>
      </c>
      <c r="AD495" s="527" t="str">
        <f>IFERROR(INDEX(잔가map!$C$14:$AR$18,MATCH(차량DB!$AD$5,잔가map!$B$14:$B$18,0),MATCH(차량DB!Y495,잔가map!$C$13:$AR$13,0)),"")</f>
        <v/>
      </c>
      <c r="AE495" s="643"/>
      <c r="AF495" s="644"/>
      <c r="AG495" s="644"/>
      <c r="AH495" s="644"/>
      <c r="AI495" s="644"/>
      <c r="AJ495" s="644"/>
      <c r="AK495" s="547"/>
      <c r="AL495" s="576"/>
    </row>
    <row r="496" spans="5:38" x14ac:dyDescent="0.3">
      <c r="E496" s="293" t="s">
        <v>420</v>
      </c>
      <c r="F496" s="605" t="s">
        <v>1010</v>
      </c>
      <c r="G496" s="294">
        <v>1499</v>
      </c>
      <c r="H496" s="295" t="s">
        <v>58</v>
      </c>
      <c r="I496" s="294">
        <v>47100000</v>
      </c>
      <c r="P496" s="295" t="s">
        <v>576</v>
      </c>
      <c r="R496" s="500">
        <v>0</v>
      </c>
      <c r="S496" s="639"/>
      <c r="T496" s="640"/>
      <c r="U496" s="640"/>
      <c r="V496" s="640"/>
      <c r="W496" s="640"/>
      <c r="X496" s="640"/>
      <c r="Y496" s="553"/>
      <c r="Z496" s="527" t="str">
        <f>IFERROR(INDEX(잔가map!$C$14:$AR$18,MATCH(차량DB!$Z$5,잔가map!$B$14:$B$18,0),MATCH(차량DB!Y496,잔가map!$C$13:$AR$13,0)),"")</f>
        <v/>
      </c>
      <c r="AA496" s="527" t="str">
        <f>IFERROR(INDEX(잔가map!$C$14:$AR$18,MATCH(차량DB!$AA$5,잔가map!$B$14:$B$18,0),MATCH(차량DB!Y496,잔가map!$C$13:$AR$13,0)),"")</f>
        <v/>
      </c>
      <c r="AB496" s="527" t="str">
        <f>IFERROR(INDEX(잔가map!$C$14:$AR$18,MATCH(차량DB!$AB$5,잔가map!$B$14:$B$18,0),MATCH(차량DB!Y496,잔가map!$C$13:$AR$13,0)),"")</f>
        <v/>
      </c>
      <c r="AC496" s="527" t="str">
        <f>IFERROR(INDEX(잔가map!$C$14:$AR$18,MATCH(차량DB!$AC$5,잔가map!$B$14:$B$18,0),MATCH(차량DB!Y496,잔가map!$C$13:$AR$13,0)),"")</f>
        <v/>
      </c>
      <c r="AD496" s="527" t="str">
        <f>IFERROR(INDEX(잔가map!$C$14:$AR$18,MATCH(차량DB!$AD$5,잔가map!$B$14:$B$18,0),MATCH(차량DB!Y496,잔가map!$C$13:$AR$13,0)),"")</f>
        <v/>
      </c>
      <c r="AE496" s="643"/>
      <c r="AF496" s="644"/>
      <c r="AG496" s="644"/>
      <c r="AH496" s="644"/>
      <c r="AI496" s="644"/>
      <c r="AJ496" s="644"/>
      <c r="AK496" s="547"/>
      <c r="AL496" s="576"/>
    </row>
    <row r="497" spans="5:38" x14ac:dyDescent="0.3">
      <c r="E497" s="293" t="s">
        <v>420</v>
      </c>
      <c r="F497" s="605" t="s">
        <v>1011</v>
      </c>
      <c r="G497" s="294">
        <v>1998</v>
      </c>
      <c r="H497" s="295" t="s">
        <v>58</v>
      </c>
      <c r="I497" s="294">
        <v>64300000</v>
      </c>
      <c r="P497" s="295" t="s">
        <v>576</v>
      </c>
      <c r="R497" s="500">
        <v>0</v>
      </c>
      <c r="S497" s="639"/>
      <c r="T497" s="640"/>
      <c r="U497" s="640"/>
      <c r="V497" s="640"/>
      <c r="W497" s="640"/>
      <c r="X497" s="640"/>
      <c r="Y497" s="553"/>
      <c r="Z497" s="527" t="str">
        <f>IFERROR(INDEX(잔가map!$C$14:$AR$18,MATCH(차량DB!$Z$5,잔가map!$B$14:$B$18,0),MATCH(차량DB!Y497,잔가map!$C$13:$AR$13,0)),"")</f>
        <v/>
      </c>
      <c r="AA497" s="527" t="str">
        <f>IFERROR(INDEX(잔가map!$C$14:$AR$18,MATCH(차량DB!$AA$5,잔가map!$B$14:$B$18,0),MATCH(차량DB!Y497,잔가map!$C$13:$AR$13,0)),"")</f>
        <v/>
      </c>
      <c r="AB497" s="527" t="str">
        <f>IFERROR(INDEX(잔가map!$C$14:$AR$18,MATCH(차량DB!$AB$5,잔가map!$B$14:$B$18,0),MATCH(차량DB!Y497,잔가map!$C$13:$AR$13,0)),"")</f>
        <v/>
      </c>
      <c r="AC497" s="527" t="str">
        <f>IFERROR(INDEX(잔가map!$C$14:$AR$18,MATCH(차량DB!$AC$5,잔가map!$B$14:$B$18,0),MATCH(차량DB!Y497,잔가map!$C$13:$AR$13,0)),"")</f>
        <v/>
      </c>
      <c r="AD497" s="527" t="str">
        <f>IFERROR(INDEX(잔가map!$C$14:$AR$18,MATCH(차량DB!$AD$5,잔가map!$B$14:$B$18,0),MATCH(차량DB!Y497,잔가map!$C$13:$AR$13,0)),"")</f>
        <v/>
      </c>
      <c r="AE497" s="643"/>
      <c r="AF497" s="644"/>
      <c r="AG497" s="644"/>
      <c r="AH497" s="644"/>
      <c r="AI497" s="644"/>
      <c r="AJ497" s="644"/>
      <c r="AK497" s="547"/>
      <c r="AL497" s="576"/>
    </row>
    <row r="498" spans="5:38" x14ac:dyDescent="0.3">
      <c r="E498" s="293" t="s">
        <v>420</v>
      </c>
      <c r="F498" s="605" t="s">
        <v>1012</v>
      </c>
      <c r="G498" s="294">
        <v>1499</v>
      </c>
      <c r="H498" s="295" t="s">
        <v>45</v>
      </c>
      <c r="I498" s="294">
        <v>34400000</v>
      </c>
      <c r="P498" s="295" t="s">
        <v>576</v>
      </c>
      <c r="R498" s="500">
        <v>0</v>
      </c>
      <c r="S498" s="639"/>
      <c r="T498" s="640"/>
      <c r="U498" s="640"/>
      <c r="V498" s="640"/>
      <c r="W498" s="640"/>
      <c r="X498" s="640"/>
      <c r="Y498" s="553"/>
      <c r="Z498" s="527" t="str">
        <f>IFERROR(INDEX(잔가map!$C$14:$AR$18,MATCH(차량DB!$Z$5,잔가map!$B$14:$B$18,0),MATCH(차량DB!Y498,잔가map!$C$13:$AR$13,0)),"")</f>
        <v/>
      </c>
      <c r="AA498" s="527" t="str">
        <f>IFERROR(INDEX(잔가map!$C$14:$AR$18,MATCH(차량DB!$AA$5,잔가map!$B$14:$B$18,0),MATCH(차량DB!Y498,잔가map!$C$13:$AR$13,0)),"")</f>
        <v/>
      </c>
      <c r="AB498" s="527" t="str">
        <f>IFERROR(INDEX(잔가map!$C$14:$AR$18,MATCH(차량DB!$AB$5,잔가map!$B$14:$B$18,0),MATCH(차량DB!Y498,잔가map!$C$13:$AR$13,0)),"")</f>
        <v/>
      </c>
      <c r="AC498" s="527" t="str">
        <f>IFERROR(INDEX(잔가map!$C$14:$AR$18,MATCH(차량DB!$AC$5,잔가map!$B$14:$B$18,0),MATCH(차량DB!Y498,잔가map!$C$13:$AR$13,0)),"")</f>
        <v/>
      </c>
      <c r="AD498" s="527" t="str">
        <f>IFERROR(INDEX(잔가map!$C$14:$AR$18,MATCH(차량DB!$AD$5,잔가map!$B$14:$B$18,0),MATCH(차량DB!Y498,잔가map!$C$13:$AR$13,0)),"")</f>
        <v/>
      </c>
      <c r="AE498" s="643"/>
      <c r="AF498" s="644"/>
      <c r="AG498" s="644"/>
      <c r="AH498" s="644"/>
      <c r="AI498" s="644"/>
      <c r="AJ498" s="644"/>
      <c r="AK498" s="547"/>
      <c r="AL498" s="576"/>
    </row>
    <row r="499" spans="5:38" x14ac:dyDescent="0.3">
      <c r="E499" s="293" t="s">
        <v>420</v>
      </c>
      <c r="F499" s="605" t="s">
        <v>1013</v>
      </c>
      <c r="G499" s="294">
        <v>1499</v>
      </c>
      <c r="H499" s="295" t="s">
        <v>45</v>
      </c>
      <c r="I499" s="294">
        <v>40100000</v>
      </c>
      <c r="P499" s="295" t="s">
        <v>576</v>
      </c>
      <c r="R499" s="500">
        <v>0</v>
      </c>
      <c r="S499" s="639"/>
      <c r="T499" s="640"/>
      <c r="U499" s="640"/>
      <c r="V499" s="640"/>
      <c r="W499" s="640"/>
      <c r="X499" s="640"/>
      <c r="Y499" s="553"/>
      <c r="Z499" s="527" t="str">
        <f>IFERROR(INDEX(잔가map!$C$14:$AR$18,MATCH(차량DB!$Z$5,잔가map!$B$14:$B$18,0),MATCH(차량DB!Y499,잔가map!$C$13:$AR$13,0)),"")</f>
        <v/>
      </c>
      <c r="AA499" s="527" t="str">
        <f>IFERROR(INDEX(잔가map!$C$14:$AR$18,MATCH(차량DB!$AA$5,잔가map!$B$14:$B$18,0),MATCH(차량DB!Y499,잔가map!$C$13:$AR$13,0)),"")</f>
        <v/>
      </c>
      <c r="AB499" s="527" t="str">
        <f>IFERROR(INDEX(잔가map!$C$14:$AR$18,MATCH(차량DB!$AB$5,잔가map!$B$14:$B$18,0),MATCH(차량DB!Y499,잔가map!$C$13:$AR$13,0)),"")</f>
        <v/>
      </c>
      <c r="AC499" s="527" t="str">
        <f>IFERROR(INDEX(잔가map!$C$14:$AR$18,MATCH(차량DB!$AC$5,잔가map!$B$14:$B$18,0),MATCH(차량DB!Y499,잔가map!$C$13:$AR$13,0)),"")</f>
        <v/>
      </c>
      <c r="AD499" s="527" t="str">
        <f>IFERROR(INDEX(잔가map!$C$14:$AR$18,MATCH(차량DB!$AD$5,잔가map!$B$14:$B$18,0),MATCH(차량DB!Y499,잔가map!$C$13:$AR$13,0)),"")</f>
        <v/>
      </c>
      <c r="AE499" s="643"/>
      <c r="AF499" s="644"/>
      <c r="AG499" s="644"/>
      <c r="AH499" s="644"/>
      <c r="AI499" s="644"/>
      <c r="AJ499" s="644"/>
      <c r="AK499" s="547"/>
      <c r="AL499" s="576"/>
    </row>
    <row r="500" spans="5:38" x14ac:dyDescent="0.3">
      <c r="E500" s="293" t="s">
        <v>420</v>
      </c>
      <c r="F500" s="605" t="s">
        <v>511</v>
      </c>
      <c r="G500" s="294">
        <v>1998</v>
      </c>
      <c r="H500" s="295" t="s">
        <v>45</v>
      </c>
      <c r="I500" s="294">
        <v>53000000</v>
      </c>
      <c r="P500" s="295" t="s">
        <v>576</v>
      </c>
      <c r="R500" s="500">
        <v>0</v>
      </c>
      <c r="S500" s="639"/>
      <c r="T500" s="640"/>
      <c r="U500" s="640"/>
      <c r="V500" s="640"/>
      <c r="W500" s="640"/>
      <c r="X500" s="640"/>
      <c r="Y500" s="553"/>
      <c r="Z500" s="527" t="str">
        <f>IFERROR(INDEX(잔가map!$C$14:$AR$18,MATCH(차량DB!$Z$5,잔가map!$B$14:$B$18,0),MATCH(차량DB!Y500,잔가map!$C$13:$AR$13,0)),"")</f>
        <v/>
      </c>
      <c r="AA500" s="527" t="str">
        <f>IFERROR(INDEX(잔가map!$C$14:$AR$18,MATCH(차량DB!$AA$5,잔가map!$B$14:$B$18,0),MATCH(차량DB!Y500,잔가map!$C$13:$AR$13,0)),"")</f>
        <v/>
      </c>
      <c r="AB500" s="527" t="str">
        <f>IFERROR(INDEX(잔가map!$C$14:$AR$18,MATCH(차량DB!$AB$5,잔가map!$B$14:$B$18,0),MATCH(차량DB!Y500,잔가map!$C$13:$AR$13,0)),"")</f>
        <v/>
      </c>
      <c r="AC500" s="527" t="str">
        <f>IFERROR(INDEX(잔가map!$C$14:$AR$18,MATCH(차량DB!$AC$5,잔가map!$B$14:$B$18,0),MATCH(차량DB!Y500,잔가map!$C$13:$AR$13,0)),"")</f>
        <v/>
      </c>
      <c r="AD500" s="527" t="str">
        <f>IFERROR(INDEX(잔가map!$C$14:$AR$18,MATCH(차량DB!$AD$5,잔가map!$B$14:$B$18,0),MATCH(차량DB!Y500,잔가map!$C$13:$AR$13,0)),"")</f>
        <v/>
      </c>
      <c r="AE500" s="643"/>
      <c r="AF500" s="644"/>
      <c r="AG500" s="644"/>
      <c r="AH500" s="644"/>
      <c r="AI500" s="644"/>
      <c r="AJ500" s="644"/>
      <c r="AK500" s="547"/>
      <c r="AL500" s="576"/>
    </row>
    <row r="501" spans="5:38" x14ac:dyDescent="0.3">
      <c r="E501" s="293" t="s">
        <v>420</v>
      </c>
      <c r="F501" s="605" t="s">
        <v>1014</v>
      </c>
      <c r="G501" s="294">
        <v>1998</v>
      </c>
      <c r="H501" s="295" t="s">
        <v>45</v>
      </c>
      <c r="I501" s="294">
        <v>52500000</v>
      </c>
      <c r="P501" s="295" t="s">
        <v>576</v>
      </c>
      <c r="R501" s="500">
        <v>0</v>
      </c>
      <c r="S501" s="639"/>
      <c r="T501" s="640"/>
      <c r="U501" s="640"/>
      <c r="V501" s="640"/>
      <c r="W501" s="640"/>
      <c r="X501" s="640"/>
      <c r="Y501" s="553"/>
      <c r="Z501" s="527" t="str">
        <f>IFERROR(INDEX(잔가map!$C$14:$AR$18,MATCH(차량DB!$Z$5,잔가map!$B$14:$B$18,0),MATCH(차량DB!Y501,잔가map!$C$13:$AR$13,0)),"")</f>
        <v/>
      </c>
      <c r="AA501" s="527" t="str">
        <f>IFERROR(INDEX(잔가map!$C$14:$AR$18,MATCH(차량DB!$AA$5,잔가map!$B$14:$B$18,0),MATCH(차량DB!Y501,잔가map!$C$13:$AR$13,0)),"")</f>
        <v/>
      </c>
      <c r="AB501" s="527" t="str">
        <f>IFERROR(INDEX(잔가map!$C$14:$AR$18,MATCH(차량DB!$AB$5,잔가map!$B$14:$B$18,0),MATCH(차량DB!Y501,잔가map!$C$13:$AR$13,0)),"")</f>
        <v/>
      </c>
      <c r="AC501" s="527" t="str">
        <f>IFERROR(INDEX(잔가map!$C$14:$AR$18,MATCH(차량DB!$AC$5,잔가map!$B$14:$B$18,0),MATCH(차량DB!Y501,잔가map!$C$13:$AR$13,0)),"")</f>
        <v/>
      </c>
      <c r="AD501" s="527" t="str">
        <f>IFERROR(INDEX(잔가map!$C$14:$AR$18,MATCH(차량DB!$AD$5,잔가map!$B$14:$B$18,0),MATCH(차량DB!Y501,잔가map!$C$13:$AR$13,0)),"")</f>
        <v/>
      </c>
      <c r="AE501" s="643"/>
      <c r="AF501" s="644"/>
      <c r="AG501" s="644"/>
      <c r="AH501" s="644"/>
      <c r="AI501" s="644"/>
      <c r="AJ501" s="644"/>
      <c r="AK501" s="547"/>
      <c r="AL501" s="576"/>
    </row>
    <row r="502" spans="5:38" x14ac:dyDescent="0.3">
      <c r="E502" s="293" t="s">
        <v>420</v>
      </c>
      <c r="F502" s="605" t="s">
        <v>1015</v>
      </c>
      <c r="G502" s="294">
        <v>1998</v>
      </c>
      <c r="H502" s="295" t="s">
        <v>45</v>
      </c>
      <c r="I502" s="294">
        <v>44800000</v>
      </c>
      <c r="P502" s="295" t="s">
        <v>576</v>
      </c>
      <c r="R502" s="500">
        <v>0</v>
      </c>
      <c r="S502" s="639"/>
      <c r="T502" s="640"/>
      <c r="U502" s="640"/>
      <c r="V502" s="640"/>
      <c r="W502" s="640"/>
      <c r="X502" s="640"/>
      <c r="Y502" s="553"/>
      <c r="Z502" s="527" t="str">
        <f>IFERROR(INDEX(잔가map!$C$14:$AR$18,MATCH(차량DB!$Z$5,잔가map!$B$14:$B$18,0),MATCH(차량DB!Y502,잔가map!$C$13:$AR$13,0)),"")</f>
        <v/>
      </c>
      <c r="AA502" s="527" t="str">
        <f>IFERROR(INDEX(잔가map!$C$14:$AR$18,MATCH(차량DB!$AA$5,잔가map!$B$14:$B$18,0),MATCH(차량DB!Y502,잔가map!$C$13:$AR$13,0)),"")</f>
        <v/>
      </c>
      <c r="AB502" s="527" t="str">
        <f>IFERROR(INDEX(잔가map!$C$14:$AR$18,MATCH(차량DB!$AB$5,잔가map!$B$14:$B$18,0),MATCH(차량DB!Y502,잔가map!$C$13:$AR$13,0)),"")</f>
        <v/>
      </c>
      <c r="AC502" s="527" t="str">
        <f>IFERROR(INDEX(잔가map!$C$14:$AR$18,MATCH(차량DB!$AC$5,잔가map!$B$14:$B$18,0),MATCH(차량DB!Y502,잔가map!$C$13:$AR$13,0)),"")</f>
        <v/>
      </c>
      <c r="AD502" s="527" t="str">
        <f>IFERROR(INDEX(잔가map!$C$14:$AR$18,MATCH(차량DB!$AD$5,잔가map!$B$14:$B$18,0),MATCH(차량DB!Y502,잔가map!$C$13:$AR$13,0)),"")</f>
        <v/>
      </c>
      <c r="AE502" s="643"/>
      <c r="AF502" s="644"/>
      <c r="AG502" s="644"/>
      <c r="AH502" s="644"/>
      <c r="AI502" s="644"/>
      <c r="AJ502" s="644"/>
      <c r="AK502" s="547"/>
      <c r="AL502" s="576"/>
    </row>
    <row r="503" spans="5:38" x14ac:dyDescent="0.3">
      <c r="E503" s="293" t="s">
        <v>420</v>
      </c>
      <c r="F503" s="605" t="s">
        <v>1016</v>
      </c>
      <c r="G503" s="294">
        <v>1998</v>
      </c>
      <c r="H503" s="295" t="s">
        <v>45</v>
      </c>
      <c r="I503" s="294">
        <v>44800000</v>
      </c>
      <c r="P503" s="295" t="s">
        <v>576</v>
      </c>
      <c r="R503" s="500">
        <v>0</v>
      </c>
      <c r="S503" s="639"/>
      <c r="T503" s="640"/>
      <c r="U503" s="640"/>
      <c r="V503" s="640"/>
      <c r="W503" s="640"/>
      <c r="X503" s="640"/>
      <c r="Y503" s="553"/>
      <c r="Z503" s="527" t="str">
        <f>IFERROR(INDEX(잔가map!$C$14:$AR$18,MATCH(차량DB!$Z$5,잔가map!$B$14:$B$18,0),MATCH(차량DB!Y503,잔가map!$C$13:$AR$13,0)),"")</f>
        <v/>
      </c>
      <c r="AA503" s="527" t="str">
        <f>IFERROR(INDEX(잔가map!$C$14:$AR$18,MATCH(차량DB!$AA$5,잔가map!$B$14:$B$18,0),MATCH(차량DB!Y503,잔가map!$C$13:$AR$13,0)),"")</f>
        <v/>
      </c>
      <c r="AB503" s="527" t="str">
        <f>IFERROR(INDEX(잔가map!$C$14:$AR$18,MATCH(차량DB!$AB$5,잔가map!$B$14:$B$18,0),MATCH(차량DB!Y503,잔가map!$C$13:$AR$13,0)),"")</f>
        <v/>
      </c>
      <c r="AC503" s="527" t="str">
        <f>IFERROR(INDEX(잔가map!$C$14:$AR$18,MATCH(차량DB!$AC$5,잔가map!$B$14:$B$18,0),MATCH(차량DB!Y503,잔가map!$C$13:$AR$13,0)),"")</f>
        <v/>
      </c>
      <c r="AD503" s="527" t="str">
        <f>IFERROR(INDEX(잔가map!$C$14:$AR$18,MATCH(차량DB!$AD$5,잔가map!$B$14:$B$18,0),MATCH(차량DB!Y503,잔가map!$C$13:$AR$13,0)),"")</f>
        <v/>
      </c>
      <c r="AE503" s="643"/>
      <c r="AF503" s="644"/>
      <c r="AG503" s="644"/>
      <c r="AH503" s="644"/>
      <c r="AI503" s="644"/>
      <c r="AJ503" s="644"/>
      <c r="AK503" s="547"/>
      <c r="AL503" s="576"/>
    </row>
    <row r="504" spans="5:38" x14ac:dyDescent="0.3">
      <c r="E504" s="293" t="s">
        <v>420</v>
      </c>
      <c r="F504" s="605" t="s">
        <v>1017</v>
      </c>
      <c r="G504" s="294">
        <v>1499</v>
      </c>
      <c r="H504" s="295" t="s">
        <v>45</v>
      </c>
      <c r="I504" s="294">
        <v>38500000</v>
      </c>
      <c r="P504" s="295" t="s">
        <v>576</v>
      </c>
      <c r="R504" s="500">
        <v>0</v>
      </c>
      <c r="S504" s="639"/>
      <c r="T504" s="640"/>
      <c r="U504" s="640"/>
      <c r="V504" s="640"/>
      <c r="W504" s="640"/>
      <c r="X504" s="640"/>
      <c r="Y504" s="553"/>
      <c r="Z504" s="527" t="str">
        <f>IFERROR(INDEX(잔가map!$C$14:$AR$18,MATCH(차량DB!$Z$5,잔가map!$B$14:$B$18,0),MATCH(차량DB!Y504,잔가map!$C$13:$AR$13,0)),"")</f>
        <v/>
      </c>
      <c r="AA504" s="527" t="str">
        <f>IFERROR(INDEX(잔가map!$C$14:$AR$18,MATCH(차량DB!$AA$5,잔가map!$B$14:$B$18,0),MATCH(차량DB!Y504,잔가map!$C$13:$AR$13,0)),"")</f>
        <v/>
      </c>
      <c r="AB504" s="527" t="str">
        <f>IFERROR(INDEX(잔가map!$C$14:$AR$18,MATCH(차량DB!$AB$5,잔가map!$B$14:$B$18,0),MATCH(차량DB!Y504,잔가map!$C$13:$AR$13,0)),"")</f>
        <v/>
      </c>
      <c r="AC504" s="527" t="str">
        <f>IFERROR(INDEX(잔가map!$C$14:$AR$18,MATCH(차량DB!$AC$5,잔가map!$B$14:$B$18,0),MATCH(차량DB!Y504,잔가map!$C$13:$AR$13,0)),"")</f>
        <v/>
      </c>
      <c r="AD504" s="527" t="str">
        <f>IFERROR(INDEX(잔가map!$C$14:$AR$18,MATCH(차량DB!$AD$5,잔가map!$B$14:$B$18,0),MATCH(차량DB!Y504,잔가map!$C$13:$AR$13,0)),"")</f>
        <v/>
      </c>
      <c r="AE504" s="643"/>
      <c r="AF504" s="644"/>
      <c r="AG504" s="644"/>
      <c r="AH504" s="644"/>
      <c r="AI504" s="644"/>
      <c r="AJ504" s="644"/>
      <c r="AK504" s="547"/>
      <c r="AL504" s="576"/>
    </row>
    <row r="505" spans="5:38" x14ac:dyDescent="0.3">
      <c r="E505" s="293" t="s">
        <v>420</v>
      </c>
      <c r="F505" s="605" t="s">
        <v>1018</v>
      </c>
      <c r="G505" s="294">
        <v>1499</v>
      </c>
      <c r="H505" s="295" t="s">
        <v>45</v>
      </c>
      <c r="I505" s="294">
        <v>35200000</v>
      </c>
      <c r="P505" s="295" t="s">
        <v>576</v>
      </c>
      <c r="R505" s="500">
        <v>0</v>
      </c>
      <c r="S505" s="639"/>
      <c r="T505" s="640"/>
      <c r="U505" s="640"/>
      <c r="V505" s="640"/>
      <c r="W505" s="640"/>
      <c r="X505" s="640"/>
      <c r="Y505" s="553"/>
      <c r="Z505" s="527" t="str">
        <f>IFERROR(INDEX(잔가map!$C$14:$AR$18,MATCH(차량DB!$Z$5,잔가map!$B$14:$B$18,0),MATCH(차량DB!Y505,잔가map!$C$13:$AR$13,0)),"")</f>
        <v/>
      </c>
      <c r="AA505" s="527" t="str">
        <f>IFERROR(INDEX(잔가map!$C$14:$AR$18,MATCH(차량DB!$AA$5,잔가map!$B$14:$B$18,0),MATCH(차량DB!Y505,잔가map!$C$13:$AR$13,0)),"")</f>
        <v/>
      </c>
      <c r="AB505" s="527" t="str">
        <f>IFERROR(INDEX(잔가map!$C$14:$AR$18,MATCH(차량DB!$AB$5,잔가map!$B$14:$B$18,0),MATCH(차량DB!Y505,잔가map!$C$13:$AR$13,0)),"")</f>
        <v/>
      </c>
      <c r="AC505" s="527" t="str">
        <f>IFERROR(INDEX(잔가map!$C$14:$AR$18,MATCH(차량DB!$AC$5,잔가map!$B$14:$B$18,0),MATCH(차량DB!Y505,잔가map!$C$13:$AR$13,0)),"")</f>
        <v/>
      </c>
      <c r="AD505" s="527" t="str">
        <f>IFERROR(INDEX(잔가map!$C$14:$AR$18,MATCH(차량DB!$AD$5,잔가map!$B$14:$B$18,0),MATCH(차량DB!Y505,잔가map!$C$13:$AR$13,0)),"")</f>
        <v/>
      </c>
      <c r="AE505" s="643"/>
      <c r="AF505" s="644"/>
      <c r="AG505" s="644"/>
      <c r="AH505" s="644"/>
      <c r="AI505" s="644"/>
      <c r="AJ505" s="644"/>
      <c r="AK505" s="547"/>
      <c r="AL505" s="576"/>
    </row>
    <row r="506" spans="5:38" x14ac:dyDescent="0.3">
      <c r="E506" s="293" t="s">
        <v>420</v>
      </c>
      <c r="F506" s="605" t="s">
        <v>1019</v>
      </c>
      <c r="G506" s="294">
        <v>1998</v>
      </c>
      <c r="H506" s="295" t="s">
        <v>45</v>
      </c>
      <c r="I506" s="294">
        <v>45700000</v>
      </c>
      <c r="P506" s="295" t="s">
        <v>576</v>
      </c>
      <c r="R506" s="500">
        <v>0</v>
      </c>
      <c r="S506" s="639"/>
      <c r="T506" s="640"/>
      <c r="U506" s="640"/>
      <c r="V506" s="640"/>
      <c r="W506" s="640"/>
      <c r="X506" s="640"/>
      <c r="Y506" s="553"/>
      <c r="Z506" s="527" t="str">
        <f>IFERROR(INDEX(잔가map!$C$14:$AR$18,MATCH(차량DB!$Z$5,잔가map!$B$14:$B$18,0),MATCH(차량DB!Y506,잔가map!$C$13:$AR$13,0)),"")</f>
        <v/>
      </c>
      <c r="AA506" s="527" t="str">
        <f>IFERROR(INDEX(잔가map!$C$14:$AR$18,MATCH(차량DB!$AA$5,잔가map!$B$14:$B$18,0),MATCH(차량DB!Y506,잔가map!$C$13:$AR$13,0)),"")</f>
        <v/>
      </c>
      <c r="AB506" s="527" t="str">
        <f>IFERROR(INDEX(잔가map!$C$14:$AR$18,MATCH(차량DB!$AB$5,잔가map!$B$14:$B$18,0),MATCH(차량DB!Y506,잔가map!$C$13:$AR$13,0)),"")</f>
        <v/>
      </c>
      <c r="AC506" s="527" t="str">
        <f>IFERROR(INDEX(잔가map!$C$14:$AR$18,MATCH(차량DB!$AC$5,잔가map!$B$14:$B$18,0),MATCH(차량DB!Y506,잔가map!$C$13:$AR$13,0)),"")</f>
        <v/>
      </c>
      <c r="AD506" s="527" t="str">
        <f>IFERROR(INDEX(잔가map!$C$14:$AR$18,MATCH(차량DB!$AD$5,잔가map!$B$14:$B$18,0),MATCH(차량DB!Y506,잔가map!$C$13:$AR$13,0)),"")</f>
        <v/>
      </c>
      <c r="AE506" s="643"/>
      <c r="AF506" s="644"/>
      <c r="AG506" s="644"/>
      <c r="AH506" s="644"/>
      <c r="AI506" s="644"/>
      <c r="AJ506" s="644"/>
      <c r="AK506" s="547"/>
      <c r="AL506" s="576"/>
    </row>
    <row r="507" spans="5:38" x14ac:dyDescent="0.3">
      <c r="E507" s="293" t="s">
        <v>420</v>
      </c>
      <c r="F507" s="605" t="s">
        <v>1020</v>
      </c>
      <c r="G507" s="294">
        <v>1998</v>
      </c>
      <c r="H507" s="295" t="s">
        <v>45</v>
      </c>
      <c r="I507" s="294">
        <v>46500000</v>
      </c>
      <c r="P507" s="295" t="s">
        <v>576</v>
      </c>
      <c r="R507" s="500">
        <v>0</v>
      </c>
      <c r="S507" s="639"/>
      <c r="T507" s="640"/>
      <c r="U507" s="640"/>
      <c r="V507" s="640"/>
      <c r="W507" s="640"/>
      <c r="X507" s="640"/>
      <c r="Y507" s="553"/>
      <c r="Z507" s="527" t="str">
        <f>IFERROR(INDEX(잔가map!$C$14:$AR$18,MATCH(차량DB!$Z$5,잔가map!$B$14:$B$18,0),MATCH(차량DB!Y507,잔가map!$C$13:$AR$13,0)),"")</f>
        <v/>
      </c>
      <c r="AA507" s="527" t="str">
        <f>IFERROR(INDEX(잔가map!$C$14:$AR$18,MATCH(차량DB!$AA$5,잔가map!$B$14:$B$18,0),MATCH(차량DB!Y507,잔가map!$C$13:$AR$13,0)),"")</f>
        <v/>
      </c>
      <c r="AB507" s="527" t="str">
        <f>IFERROR(INDEX(잔가map!$C$14:$AR$18,MATCH(차량DB!$AB$5,잔가map!$B$14:$B$18,0),MATCH(차량DB!Y507,잔가map!$C$13:$AR$13,0)),"")</f>
        <v/>
      </c>
      <c r="AC507" s="527" t="str">
        <f>IFERROR(INDEX(잔가map!$C$14:$AR$18,MATCH(차량DB!$AC$5,잔가map!$B$14:$B$18,0),MATCH(차량DB!Y507,잔가map!$C$13:$AR$13,0)),"")</f>
        <v/>
      </c>
      <c r="AD507" s="527" t="str">
        <f>IFERROR(INDEX(잔가map!$C$14:$AR$18,MATCH(차량DB!$AD$5,잔가map!$B$14:$B$18,0),MATCH(차량DB!Y507,잔가map!$C$13:$AR$13,0)),"")</f>
        <v/>
      </c>
      <c r="AE507" s="643"/>
      <c r="AF507" s="644"/>
      <c r="AG507" s="644"/>
      <c r="AH507" s="644"/>
      <c r="AI507" s="644"/>
      <c r="AJ507" s="644"/>
      <c r="AK507" s="547"/>
      <c r="AL507" s="576"/>
    </row>
    <row r="508" spans="5:38" x14ac:dyDescent="0.3">
      <c r="E508" s="293" t="s">
        <v>420</v>
      </c>
      <c r="F508" s="605" t="s">
        <v>1021</v>
      </c>
      <c r="G508" s="294">
        <v>1499</v>
      </c>
      <c r="H508" s="295" t="s">
        <v>45</v>
      </c>
      <c r="I508" s="294">
        <v>38900000</v>
      </c>
      <c r="P508" s="295" t="s">
        <v>576</v>
      </c>
      <c r="R508" s="500">
        <v>0</v>
      </c>
      <c r="S508" s="639"/>
      <c r="T508" s="640"/>
      <c r="U508" s="640"/>
      <c r="V508" s="640"/>
      <c r="W508" s="640"/>
      <c r="X508" s="640"/>
      <c r="Y508" s="553"/>
      <c r="Z508" s="527" t="str">
        <f>IFERROR(INDEX(잔가map!$C$14:$AR$18,MATCH(차량DB!$Z$5,잔가map!$B$14:$B$18,0),MATCH(차량DB!Y508,잔가map!$C$13:$AR$13,0)),"")</f>
        <v/>
      </c>
      <c r="AA508" s="527" t="str">
        <f>IFERROR(INDEX(잔가map!$C$14:$AR$18,MATCH(차량DB!$AA$5,잔가map!$B$14:$B$18,0),MATCH(차량DB!Y508,잔가map!$C$13:$AR$13,0)),"")</f>
        <v/>
      </c>
      <c r="AB508" s="527" t="str">
        <f>IFERROR(INDEX(잔가map!$C$14:$AR$18,MATCH(차량DB!$AB$5,잔가map!$B$14:$B$18,0),MATCH(차량DB!Y508,잔가map!$C$13:$AR$13,0)),"")</f>
        <v/>
      </c>
      <c r="AC508" s="527" t="str">
        <f>IFERROR(INDEX(잔가map!$C$14:$AR$18,MATCH(차량DB!$AC$5,잔가map!$B$14:$B$18,0),MATCH(차량DB!Y508,잔가map!$C$13:$AR$13,0)),"")</f>
        <v/>
      </c>
      <c r="AD508" s="527" t="str">
        <f>IFERROR(INDEX(잔가map!$C$14:$AR$18,MATCH(차량DB!$AD$5,잔가map!$B$14:$B$18,0),MATCH(차량DB!Y508,잔가map!$C$13:$AR$13,0)),"")</f>
        <v/>
      </c>
      <c r="AE508" s="643"/>
      <c r="AF508" s="644"/>
      <c r="AG508" s="644"/>
      <c r="AH508" s="644"/>
      <c r="AI508" s="644"/>
      <c r="AJ508" s="644"/>
      <c r="AK508" s="547"/>
      <c r="AL508" s="576"/>
    </row>
    <row r="509" spans="5:38" x14ac:dyDescent="0.3">
      <c r="E509" s="293" t="s">
        <v>421</v>
      </c>
      <c r="F509" s="605" t="s">
        <v>512</v>
      </c>
      <c r="G509" s="294">
        <v>1</v>
      </c>
      <c r="H509" s="295" t="s">
        <v>45</v>
      </c>
      <c r="I509" s="294">
        <v>49000000</v>
      </c>
      <c r="P509" s="295" t="s">
        <v>576</v>
      </c>
      <c r="R509" s="500">
        <v>0</v>
      </c>
      <c r="S509" s="639"/>
      <c r="T509" s="640"/>
      <c r="U509" s="640"/>
      <c r="V509" s="640"/>
      <c r="W509" s="640"/>
      <c r="X509" s="640"/>
      <c r="Y509" s="553"/>
      <c r="Z509" s="527" t="str">
        <f>IFERROR(INDEX(잔가map!$C$14:$AR$18,MATCH(차량DB!$Z$5,잔가map!$B$14:$B$18,0),MATCH(차량DB!Y509,잔가map!$C$13:$AR$13,0)),"")</f>
        <v/>
      </c>
      <c r="AA509" s="527" t="str">
        <f>IFERROR(INDEX(잔가map!$C$14:$AR$18,MATCH(차량DB!$AA$5,잔가map!$B$14:$B$18,0),MATCH(차량DB!Y509,잔가map!$C$13:$AR$13,0)),"")</f>
        <v/>
      </c>
      <c r="AB509" s="527" t="str">
        <f>IFERROR(INDEX(잔가map!$C$14:$AR$18,MATCH(차량DB!$AB$5,잔가map!$B$14:$B$18,0),MATCH(차량DB!Y509,잔가map!$C$13:$AR$13,0)),"")</f>
        <v/>
      </c>
      <c r="AC509" s="527" t="str">
        <f>IFERROR(INDEX(잔가map!$C$14:$AR$18,MATCH(차량DB!$AC$5,잔가map!$B$14:$B$18,0),MATCH(차량DB!Y509,잔가map!$C$13:$AR$13,0)),"")</f>
        <v/>
      </c>
      <c r="AD509" s="527" t="str">
        <f>IFERROR(INDEX(잔가map!$C$14:$AR$18,MATCH(차량DB!$AD$5,잔가map!$B$14:$B$18,0),MATCH(차량DB!Y509,잔가map!$C$13:$AR$13,0)),"")</f>
        <v/>
      </c>
      <c r="AE509" s="643"/>
      <c r="AF509" s="644"/>
      <c r="AG509" s="644"/>
      <c r="AH509" s="644"/>
      <c r="AI509" s="644"/>
      <c r="AJ509" s="644"/>
      <c r="AK509" s="547"/>
      <c r="AL509" s="576"/>
    </row>
    <row r="510" spans="5:38" x14ac:dyDescent="0.3">
      <c r="E510" s="293" t="s">
        <v>421</v>
      </c>
      <c r="F510" s="605" t="s">
        <v>1022</v>
      </c>
      <c r="G510" s="294">
        <v>1</v>
      </c>
      <c r="H510" s="295" t="s">
        <v>45</v>
      </c>
      <c r="I510" s="294">
        <v>53000000</v>
      </c>
      <c r="P510" s="295" t="s">
        <v>576</v>
      </c>
      <c r="R510" s="500">
        <v>0</v>
      </c>
      <c r="S510" s="639"/>
      <c r="T510" s="640"/>
      <c r="U510" s="640"/>
      <c r="V510" s="640"/>
      <c r="W510" s="640"/>
      <c r="X510" s="640"/>
      <c r="Y510" s="553"/>
      <c r="Z510" s="527" t="str">
        <f>IFERROR(INDEX(잔가map!$C$14:$AR$18,MATCH(차량DB!$Z$5,잔가map!$B$14:$B$18,0),MATCH(차량DB!Y510,잔가map!$C$13:$AR$13,0)),"")</f>
        <v/>
      </c>
      <c r="AA510" s="527" t="str">
        <f>IFERROR(INDEX(잔가map!$C$14:$AR$18,MATCH(차량DB!$AA$5,잔가map!$B$14:$B$18,0),MATCH(차량DB!Y510,잔가map!$C$13:$AR$13,0)),"")</f>
        <v/>
      </c>
      <c r="AB510" s="527" t="str">
        <f>IFERROR(INDEX(잔가map!$C$14:$AR$18,MATCH(차량DB!$AB$5,잔가map!$B$14:$B$18,0),MATCH(차량DB!Y510,잔가map!$C$13:$AR$13,0)),"")</f>
        <v/>
      </c>
      <c r="AC510" s="527" t="str">
        <f>IFERROR(INDEX(잔가map!$C$14:$AR$18,MATCH(차량DB!$AC$5,잔가map!$B$14:$B$18,0),MATCH(차량DB!Y510,잔가map!$C$13:$AR$13,0)),"")</f>
        <v/>
      </c>
      <c r="AD510" s="527" t="str">
        <f>IFERROR(INDEX(잔가map!$C$14:$AR$18,MATCH(차량DB!$AD$5,잔가map!$B$14:$B$18,0),MATCH(차량DB!Y510,잔가map!$C$13:$AR$13,0)),"")</f>
        <v/>
      </c>
      <c r="AE510" s="643"/>
      <c r="AF510" s="644"/>
      <c r="AG510" s="644"/>
      <c r="AH510" s="644"/>
      <c r="AI510" s="644"/>
      <c r="AJ510" s="644"/>
      <c r="AK510" s="547"/>
      <c r="AL510" s="576"/>
    </row>
    <row r="511" spans="5:38" x14ac:dyDescent="0.3">
      <c r="E511" s="293" t="s">
        <v>421</v>
      </c>
      <c r="F511" s="605" t="s">
        <v>513</v>
      </c>
      <c r="G511" s="294">
        <v>1499</v>
      </c>
      <c r="H511" s="295" t="s">
        <v>45</v>
      </c>
      <c r="I511" s="294">
        <v>3700000</v>
      </c>
      <c r="P511" s="295" t="s">
        <v>576</v>
      </c>
      <c r="R511" s="500">
        <v>0</v>
      </c>
      <c r="S511" s="639"/>
      <c r="T511" s="640"/>
      <c r="U511" s="640"/>
      <c r="V511" s="640"/>
      <c r="W511" s="640"/>
      <c r="X511" s="640"/>
      <c r="Y511" s="553"/>
      <c r="Z511" s="527" t="str">
        <f>IFERROR(INDEX(잔가map!$C$14:$AR$18,MATCH(차량DB!$Z$5,잔가map!$B$14:$B$18,0),MATCH(차량DB!Y511,잔가map!$C$13:$AR$13,0)),"")</f>
        <v/>
      </c>
      <c r="AA511" s="527" t="str">
        <f>IFERROR(INDEX(잔가map!$C$14:$AR$18,MATCH(차량DB!$AA$5,잔가map!$B$14:$B$18,0),MATCH(차량DB!Y511,잔가map!$C$13:$AR$13,0)),"")</f>
        <v/>
      </c>
      <c r="AB511" s="527" t="str">
        <f>IFERROR(INDEX(잔가map!$C$14:$AR$18,MATCH(차량DB!$AB$5,잔가map!$B$14:$B$18,0),MATCH(차량DB!Y511,잔가map!$C$13:$AR$13,0)),"")</f>
        <v/>
      </c>
      <c r="AC511" s="527" t="str">
        <f>IFERROR(INDEX(잔가map!$C$14:$AR$18,MATCH(차량DB!$AC$5,잔가map!$B$14:$B$18,0),MATCH(차량DB!Y511,잔가map!$C$13:$AR$13,0)),"")</f>
        <v/>
      </c>
      <c r="AD511" s="527" t="str">
        <f>IFERROR(INDEX(잔가map!$C$14:$AR$18,MATCH(차량DB!$AD$5,잔가map!$B$14:$B$18,0),MATCH(차량DB!Y511,잔가map!$C$13:$AR$13,0)),"")</f>
        <v/>
      </c>
      <c r="AE511" s="643"/>
      <c r="AF511" s="644"/>
      <c r="AG511" s="644"/>
      <c r="AH511" s="644"/>
      <c r="AI511" s="644"/>
      <c r="AJ511" s="644"/>
      <c r="AK511" s="547"/>
      <c r="AL511" s="576"/>
    </row>
    <row r="512" spans="5:38" x14ac:dyDescent="0.3">
      <c r="E512" s="293" t="s">
        <v>421</v>
      </c>
      <c r="F512" s="605" t="s">
        <v>1024</v>
      </c>
      <c r="G512" s="294">
        <v>1499</v>
      </c>
      <c r="H512" s="295" t="s">
        <v>45</v>
      </c>
      <c r="I512" s="294">
        <v>40000000</v>
      </c>
      <c r="P512" s="295" t="s">
        <v>576</v>
      </c>
      <c r="R512" s="500">
        <v>0</v>
      </c>
      <c r="S512" s="639"/>
      <c r="T512" s="640"/>
      <c r="U512" s="640"/>
      <c r="V512" s="640"/>
      <c r="W512" s="640"/>
      <c r="X512" s="640"/>
      <c r="Y512" s="553"/>
      <c r="Z512" s="527" t="str">
        <f>IFERROR(INDEX(잔가map!$C$14:$AR$18,MATCH(차량DB!$Z$5,잔가map!$B$14:$B$18,0),MATCH(차량DB!Y512,잔가map!$C$13:$AR$13,0)),"")</f>
        <v/>
      </c>
      <c r="AA512" s="527" t="str">
        <f>IFERROR(INDEX(잔가map!$C$14:$AR$18,MATCH(차량DB!$AA$5,잔가map!$B$14:$B$18,0),MATCH(차량DB!Y512,잔가map!$C$13:$AR$13,0)),"")</f>
        <v/>
      </c>
      <c r="AB512" s="527" t="str">
        <f>IFERROR(INDEX(잔가map!$C$14:$AR$18,MATCH(차량DB!$AB$5,잔가map!$B$14:$B$18,0),MATCH(차량DB!Y512,잔가map!$C$13:$AR$13,0)),"")</f>
        <v/>
      </c>
      <c r="AC512" s="527" t="str">
        <f>IFERROR(INDEX(잔가map!$C$14:$AR$18,MATCH(차량DB!$AC$5,잔가map!$B$14:$B$18,0),MATCH(차량DB!Y512,잔가map!$C$13:$AR$13,0)),"")</f>
        <v/>
      </c>
      <c r="AD512" s="527" t="str">
        <f>IFERROR(INDEX(잔가map!$C$14:$AR$18,MATCH(차량DB!$AD$5,잔가map!$B$14:$B$18,0),MATCH(차량DB!Y512,잔가map!$C$13:$AR$13,0)),"")</f>
        <v/>
      </c>
      <c r="AE512" s="643"/>
      <c r="AF512" s="644"/>
      <c r="AG512" s="644"/>
      <c r="AH512" s="644"/>
      <c r="AI512" s="644"/>
      <c r="AJ512" s="644"/>
      <c r="AK512" s="547"/>
      <c r="AL512" s="576"/>
    </row>
    <row r="513" spans="1:38" x14ac:dyDescent="0.3">
      <c r="E513" s="293" t="s">
        <v>421</v>
      </c>
      <c r="F513" s="605" t="s">
        <v>514</v>
      </c>
      <c r="G513" s="294">
        <v>1</v>
      </c>
      <c r="H513" s="295" t="s">
        <v>45</v>
      </c>
      <c r="I513" s="294">
        <v>50900000</v>
      </c>
      <c r="P513" s="295" t="s">
        <v>576</v>
      </c>
      <c r="R513" s="500">
        <v>0</v>
      </c>
      <c r="S513" s="639"/>
      <c r="T513" s="640"/>
      <c r="U513" s="640"/>
      <c r="V513" s="640"/>
      <c r="W513" s="640"/>
      <c r="X513" s="640"/>
      <c r="Y513" s="553"/>
      <c r="Z513" s="527" t="str">
        <f>IFERROR(INDEX(잔가map!$C$14:$AR$18,MATCH(차량DB!$Z$5,잔가map!$B$14:$B$18,0),MATCH(차량DB!Y513,잔가map!$C$13:$AR$13,0)),"")</f>
        <v/>
      </c>
      <c r="AA513" s="527" t="str">
        <f>IFERROR(INDEX(잔가map!$C$14:$AR$18,MATCH(차량DB!$AA$5,잔가map!$B$14:$B$18,0),MATCH(차량DB!Y513,잔가map!$C$13:$AR$13,0)),"")</f>
        <v/>
      </c>
      <c r="AB513" s="527" t="str">
        <f>IFERROR(INDEX(잔가map!$C$14:$AR$18,MATCH(차량DB!$AB$5,잔가map!$B$14:$B$18,0),MATCH(차량DB!Y513,잔가map!$C$13:$AR$13,0)),"")</f>
        <v/>
      </c>
      <c r="AC513" s="527" t="str">
        <f>IFERROR(INDEX(잔가map!$C$14:$AR$18,MATCH(차량DB!$AC$5,잔가map!$B$14:$B$18,0),MATCH(차량DB!Y513,잔가map!$C$13:$AR$13,0)),"")</f>
        <v/>
      </c>
      <c r="AD513" s="527" t="str">
        <f>IFERROR(INDEX(잔가map!$C$14:$AR$18,MATCH(차량DB!$AD$5,잔가map!$B$14:$B$18,0),MATCH(차량DB!Y513,잔가map!$C$13:$AR$13,0)),"")</f>
        <v/>
      </c>
      <c r="AE513" s="643"/>
      <c r="AF513" s="644"/>
      <c r="AG513" s="644"/>
      <c r="AH513" s="644"/>
      <c r="AI513" s="644"/>
      <c r="AJ513" s="644"/>
      <c r="AK513" s="547"/>
      <c r="AL513" s="576"/>
    </row>
    <row r="514" spans="1:38" x14ac:dyDescent="0.3">
      <c r="E514" s="293" t="s">
        <v>421</v>
      </c>
      <c r="F514" s="605" t="s">
        <v>1023</v>
      </c>
      <c r="G514" s="294">
        <v>1</v>
      </c>
      <c r="H514" s="295" t="s">
        <v>45</v>
      </c>
      <c r="I514" s="294">
        <v>53900000</v>
      </c>
      <c r="P514" s="295" t="s">
        <v>576</v>
      </c>
      <c r="R514" s="500">
        <v>0</v>
      </c>
      <c r="S514" s="639"/>
      <c r="T514" s="640"/>
      <c r="U514" s="640"/>
      <c r="V514" s="640"/>
      <c r="W514" s="640"/>
      <c r="X514" s="640"/>
      <c r="Y514" s="553"/>
      <c r="Z514" s="527" t="str">
        <f>IFERROR(INDEX(잔가map!$C$14:$AR$18,MATCH(차량DB!$Z$5,잔가map!$B$14:$B$18,0),MATCH(차량DB!Y514,잔가map!$C$13:$AR$13,0)),"")</f>
        <v/>
      </c>
      <c r="AA514" s="527" t="str">
        <f>IFERROR(INDEX(잔가map!$C$14:$AR$18,MATCH(차량DB!$AA$5,잔가map!$B$14:$B$18,0),MATCH(차량DB!Y514,잔가map!$C$13:$AR$13,0)),"")</f>
        <v/>
      </c>
      <c r="AB514" s="527" t="str">
        <f>IFERROR(INDEX(잔가map!$C$14:$AR$18,MATCH(차량DB!$AB$5,잔가map!$B$14:$B$18,0),MATCH(차량DB!Y514,잔가map!$C$13:$AR$13,0)),"")</f>
        <v/>
      </c>
      <c r="AC514" s="527" t="str">
        <f>IFERROR(INDEX(잔가map!$C$14:$AR$18,MATCH(차량DB!$AC$5,잔가map!$B$14:$B$18,0),MATCH(차량DB!Y514,잔가map!$C$13:$AR$13,0)),"")</f>
        <v/>
      </c>
      <c r="AD514" s="527" t="str">
        <f>IFERROR(INDEX(잔가map!$C$14:$AR$18,MATCH(차량DB!$AD$5,잔가map!$B$14:$B$18,0),MATCH(차량DB!Y514,잔가map!$C$13:$AR$13,0)),"")</f>
        <v/>
      </c>
      <c r="AE514" s="643"/>
      <c r="AF514" s="644"/>
      <c r="AG514" s="644"/>
      <c r="AH514" s="644"/>
      <c r="AI514" s="644"/>
      <c r="AJ514" s="644"/>
      <c r="AK514" s="547"/>
      <c r="AL514" s="576"/>
    </row>
    <row r="515" spans="1:38" x14ac:dyDescent="0.3">
      <c r="E515" s="293" t="s">
        <v>421</v>
      </c>
      <c r="F515" s="605" t="s">
        <v>1028</v>
      </c>
      <c r="G515" s="294">
        <v>1499</v>
      </c>
      <c r="H515" s="295" t="s">
        <v>45</v>
      </c>
      <c r="I515" s="294">
        <v>36800000</v>
      </c>
      <c r="P515" s="295" t="s">
        <v>576</v>
      </c>
      <c r="R515" s="500">
        <v>0</v>
      </c>
      <c r="S515" s="639"/>
      <c r="T515" s="640"/>
      <c r="U515" s="640"/>
      <c r="V515" s="640"/>
      <c r="W515" s="640"/>
      <c r="X515" s="640"/>
      <c r="Y515" s="553"/>
      <c r="Z515" s="527" t="str">
        <f>IFERROR(INDEX(잔가map!$C$14:$AR$18,MATCH(차량DB!$Z$5,잔가map!$B$14:$B$18,0),MATCH(차량DB!Y515,잔가map!$C$13:$AR$13,0)),"")</f>
        <v/>
      </c>
      <c r="AA515" s="527" t="str">
        <f>IFERROR(INDEX(잔가map!$C$14:$AR$18,MATCH(차량DB!$AA$5,잔가map!$B$14:$B$18,0),MATCH(차량DB!Y515,잔가map!$C$13:$AR$13,0)),"")</f>
        <v/>
      </c>
      <c r="AB515" s="527" t="str">
        <f>IFERROR(INDEX(잔가map!$C$14:$AR$18,MATCH(차량DB!$AB$5,잔가map!$B$14:$B$18,0),MATCH(차량DB!Y515,잔가map!$C$13:$AR$13,0)),"")</f>
        <v/>
      </c>
      <c r="AC515" s="527" t="str">
        <f>IFERROR(INDEX(잔가map!$C$14:$AR$18,MATCH(차량DB!$AC$5,잔가map!$B$14:$B$18,0),MATCH(차량DB!Y515,잔가map!$C$13:$AR$13,0)),"")</f>
        <v/>
      </c>
      <c r="AD515" s="527" t="str">
        <f>IFERROR(INDEX(잔가map!$C$14:$AR$18,MATCH(차량DB!$AD$5,잔가map!$B$14:$B$18,0),MATCH(차량DB!Y515,잔가map!$C$13:$AR$13,0)),"")</f>
        <v/>
      </c>
      <c r="AE515" s="643"/>
      <c r="AF515" s="644"/>
      <c r="AG515" s="644"/>
      <c r="AH515" s="644"/>
      <c r="AI515" s="644"/>
      <c r="AJ515" s="644"/>
      <c r="AK515" s="547"/>
      <c r="AL515" s="576"/>
    </row>
    <row r="516" spans="1:38" x14ac:dyDescent="0.3">
      <c r="E516" s="293" t="s">
        <v>421</v>
      </c>
      <c r="F516" s="605" t="s">
        <v>1029</v>
      </c>
      <c r="G516" s="294">
        <v>1499</v>
      </c>
      <c r="H516" s="295" t="s">
        <v>45</v>
      </c>
      <c r="I516" s="294">
        <v>42300000</v>
      </c>
      <c r="P516" s="295" t="s">
        <v>576</v>
      </c>
      <c r="R516" s="500">
        <v>0</v>
      </c>
      <c r="S516" s="639"/>
      <c r="T516" s="640"/>
      <c r="U516" s="640"/>
      <c r="V516" s="640"/>
      <c r="W516" s="640"/>
      <c r="X516" s="640"/>
      <c r="Y516" s="553"/>
      <c r="Z516" s="527" t="str">
        <f>IFERROR(INDEX(잔가map!$C$14:$AR$18,MATCH(차량DB!$Z$5,잔가map!$B$14:$B$18,0),MATCH(차량DB!Y516,잔가map!$C$13:$AR$13,0)),"")</f>
        <v/>
      </c>
      <c r="AA516" s="527" t="str">
        <f>IFERROR(INDEX(잔가map!$C$14:$AR$18,MATCH(차량DB!$AA$5,잔가map!$B$14:$B$18,0),MATCH(차량DB!Y516,잔가map!$C$13:$AR$13,0)),"")</f>
        <v/>
      </c>
      <c r="AB516" s="527" t="str">
        <f>IFERROR(INDEX(잔가map!$C$14:$AR$18,MATCH(차량DB!$AB$5,잔가map!$B$14:$B$18,0),MATCH(차량DB!Y516,잔가map!$C$13:$AR$13,0)),"")</f>
        <v/>
      </c>
      <c r="AC516" s="527" t="str">
        <f>IFERROR(INDEX(잔가map!$C$14:$AR$18,MATCH(차량DB!$AC$5,잔가map!$B$14:$B$18,0),MATCH(차량DB!Y516,잔가map!$C$13:$AR$13,0)),"")</f>
        <v/>
      </c>
      <c r="AD516" s="527" t="str">
        <f>IFERROR(INDEX(잔가map!$C$14:$AR$18,MATCH(차량DB!$AD$5,잔가map!$B$14:$B$18,0),MATCH(차량DB!Y516,잔가map!$C$13:$AR$13,0)),"")</f>
        <v/>
      </c>
      <c r="AE516" s="643"/>
      <c r="AF516" s="644"/>
      <c r="AG516" s="644"/>
      <c r="AH516" s="644"/>
      <c r="AI516" s="644"/>
      <c r="AJ516" s="644"/>
      <c r="AK516" s="547"/>
      <c r="AL516" s="576"/>
    </row>
    <row r="517" spans="1:38" x14ac:dyDescent="0.3">
      <c r="E517" s="293" t="s">
        <v>421</v>
      </c>
      <c r="F517" s="605" t="s">
        <v>1025</v>
      </c>
      <c r="G517" s="294">
        <v>1499</v>
      </c>
      <c r="H517" s="295" t="s">
        <v>58</v>
      </c>
      <c r="I517" s="294">
        <v>42980000</v>
      </c>
      <c r="P517" s="295" t="s">
        <v>576</v>
      </c>
      <c r="R517" s="500">
        <v>0</v>
      </c>
      <c r="S517" s="639"/>
      <c r="T517" s="640"/>
      <c r="U517" s="640"/>
      <c r="V517" s="640"/>
      <c r="W517" s="640"/>
      <c r="X517" s="640"/>
      <c r="Y517" s="553"/>
      <c r="Z517" s="527" t="str">
        <f>IFERROR(INDEX(잔가map!$C$14:$AR$18,MATCH(차량DB!$Z$5,잔가map!$B$14:$B$18,0),MATCH(차량DB!Y517,잔가map!$C$13:$AR$13,0)),"")</f>
        <v/>
      </c>
      <c r="AA517" s="527" t="str">
        <f>IFERROR(INDEX(잔가map!$C$14:$AR$18,MATCH(차량DB!$AA$5,잔가map!$B$14:$B$18,0),MATCH(차량DB!Y517,잔가map!$C$13:$AR$13,0)),"")</f>
        <v/>
      </c>
      <c r="AB517" s="527" t="str">
        <f>IFERROR(INDEX(잔가map!$C$14:$AR$18,MATCH(차량DB!$AB$5,잔가map!$B$14:$B$18,0),MATCH(차량DB!Y517,잔가map!$C$13:$AR$13,0)),"")</f>
        <v/>
      </c>
      <c r="AC517" s="527" t="str">
        <f>IFERROR(INDEX(잔가map!$C$14:$AR$18,MATCH(차량DB!$AC$5,잔가map!$B$14:$B$18,0),MATCH(차량DB!Y517,잔가map!$C$13:$AR$13,0)),"")</f>
        <v/>
      </c>
      <c r="AD517" s="527" t="str">
        <f>IFERROR(INDEX(잔가map!$C$14:$AR$18,MATCH(차량DB!$AD$5,잔가map!$B$14:$B$18,0),MATCH(차량DB!Y517,잔가map!$C$13:$AR$13,0)),"")</f>
        <v/>
      </c>
      <c r="AE517" s="643"/>
      <c r="AF517" s="644"/>
      <c r="AG517" s="644"/>
      <c r="AH517" s="644"/>
      <c r="AI517" s="644"/>
      <c r="AJ517" s="644"/>
      <c r="AK517" s="547"/>
      <c r="AL517" s="576"/>
    </row>
    <row r="518" spans="1:38" s="494" customFormat="1" x14ac:dyDescent="0.3">
      <c r="A518" s="295"/>
      <c r="B518" s="295"/>
      <c r="C518" s="295"/>
      <c r="D518" s="295"/>
      <c r="E518" s="293" t="s">
        <v>421</v>
      </c>
      <c r="F518" s="605" t="s">
        <v>1026</v>
      </c>
      <c r="G518" s="294">
        <v>1499</v>
      </c>
      <c r="H518" s="295" t="s">
        <v>58</v>
      </c>
      <c r="I518" s="294">
        <v>46140000</v>
      </c>
      <c r="J518" s="487"/>
      <c r="K518" s="487"/>
      <c r="L518" s="487"/>
      <c r="M518" s="487"/>
      <c r="N518" s="487"/>
      <c r="O518" s="294"/>
      <c r="P518" s="295" t="s">
        <v>576</v>
      </c>
      <c r="Q518" s="295"/>
      <c r="R518" s="500">
        <v>0</v>
      </c>
      <c r="S518" s="639"/>
      <c r="T518" s="640"/>
      <c r="U518" s="640"/>
      <c r="V518" s="640"/>
      <c r="W518" s="640"/>
      <c r="X518" s="640"/>
      <c r="Y518" s="553"/>
      <c r="Z518" s="527" t="str">
        <f>IFERROR(INDEX(잔가map!$C$14:$AR$18,MATCH(차량DB!$Z$5,잔가map!$B$14:$B$18,0),MATCH(차량DB!Y518,잔가map!$C$13:$AR$13,0)),"")</f>
        <v/>
      </c>
      <c r="AA518" s="527" t="str">
        <f>IFERROR(INDEX(잔가map!$C$14:$AR$18,MATCH(차량DB!$AA$5,잔가map!$B$14:$B$18,0),MATCH(차량DB!Y518,잔가map!$C$13:$AR$13,0)),"")</f>
        <v/>
      </c>
      <c r="AB518" s="527" t="str">
        <f>IFERROR(INDEX(잔가map!$C$14:$AR$18,MATCH(차량DB!$AB$5,잔가map!$B$14:$B$18,0),MATCH(차량DB!Y518,잔가map!$C$13:$AR$13,0)),"")</f>
        <v/>
      </c>
      <c r="AC518" s="527" t="str">
        <f>IFERROR(INDEX(잔가map!$C$14:$AR$18,MATCH(차량DB!$AC$5,잔가map!$B$14:$B$18,0),MATCH(차량DB!Y518,잔가map!$C$13:$AR$13,0)),"")</f>
        <v/>
      </c>
      <c r="AD518" s="527" t="str">
        <f>IFERROR(INDEX(잔가map!$C$14:$AR$18,MATCH(차량DB!$AD$5,잔가map!$B$14:$B$18,0),MATCH(차량DB!Y518,잔가map!$C$13:$AR$13,0)),"")</f>
        <v/>
      </c>
      <c r="AE518" s="643"/>
      <c r="AF518" s="644"/>
      <c r="AG518" s="644"/>
      <c r="AH518" s="644"/>
      <c r="AI518" s="644"/>
      <c r="AJ518" s="644"/>
      <c r="AK518" s="547"/>
      <c r="AL518" s="576"/>
    </row>
    <row r="519" spans="1:38" s="494" customFormat="1" x14ac:dyDescent="0.3">
      <c r="A519" s="295"/>
      <c r="B519" s="295"/>
      <c r="C519" s="295"/>
      <c r="D519" s="295"/>
      <c r="E519" s="293" t="s">
        <v>421</v>
      </c>
      <c r="F519" s="605" t="s">
        <v>1027</v>
      </c>
      <c r="G519" s="294">
        <v>1499</v>
      </c>
      <c r="H519" s="295" t="s">
        <v>58</v>
      </c>
      <c r="I519" s="294">
        <v>49000000</v>
      </c>
      <c r="J519" s="487"/>
      <c r="K519" s="487"/>
      <c r="L519" s="487"/>
      <c r="M519" s="487"/>
      <c r="N519" s="487"/>
      <c r="O519" s="294"/>
      <c r="P519" s="295" t="s">
        <v>576</v>
      </c>
      <c r="Q519" s="295"/>
      <c r="R519" s="500">
        <v>0</v>
      </c>
      <c r="S519" s="639"/>
      <c r="T519" s="640"/>
      <c r="U519" s="640"/>
      <c r="V519" s="640"/>
      <c r="W519" s="640"/>
      <c r="X519" s="640"/>
      <c r="Y519" s="553"/>
      <c r="Z519" s="527" t="str">
        <f>IFERROR(INDEX(잔가map!$C$14:$AR$18,MATCH(차량DB!$Z$5,잔가map!$B$14:$B$18,0),MATCH(차량DB!Y519,잔가map!$C$13:$AR$13,0)),"")</f>
        <v/>
      </c>
      <c r="AA519" s="527" t="str">
        <f>IFERROR(INDEX(잔가map!$C$14:$AR$18,MATCH(차량DB!$AA$5,잔가map!$B$14:$B$18,0),MATCH(차량DB!Y519,잔가map!$C$13:$AR$13,0)),"")</f>
        <v/>
      </c>
      <c r="AB519" s="527" t="str">
        <f>IFERROR(INDEX(잔가map!$C$14:$AR$18,MATCH(차량DB!$AB$5,잔가map!$B$14:$B$18,0),MATCH(차량DB!Y519,잔가map!$C$13:$AR$13,0)),"")</f>
        <v/>
      </c>
      <c r="AC519" s="527" t="str">
        <f>IFERROR(INDEX(잔가map!$C$14:$AR$18,MATCH(차량DB!$AC$5,잔가map!$B$14:$B$18,0),MATCH(차량DB!Y519,잔가map!$C$13:$AR$13,0)),"")</f>
        <v/>
      </c>
      <c r="AD519" s="527" t="str">
        <f>IFERROR(INDEX(잔가map!$C$14:$AR$18,MATCH(차량DB!$AD$5,잔가map!$B$14:$B$18,0),MATCH(차량DB!Y519,잔가map!$C$13:$AR$13,0)),"")</f>
        <v/>
      </c>
      <c r="AE519" s="643"/>
      <c r="AF519" s="644"/>
      <c r="AG519" s="644"/>
      <c r="AH519" s="644"/>
      <c r="AI519" s="644"/>
      <c r="AJ519" s="644"/>
      <c r="AK519" s="547"/>
      <c r="AL519" s="576"/>
    </row>
    <row r="520" spans="1:38" x14ac:dyDescent="0.3">
      <c r="E520" s="293" t="s">
        <v>421</v>
      </c>
      <c r="F520" s="605" t="s">
        <v>515</v>
      </c>
      <c r="G520" s="294">
        <v>1499</v>
      </c>
      <c r="H520" s="295" t="s">
        <v>45</v>
      </c>
      <c r="I520" s="294">
        <v>45900000</v>
      </c>
      <c r="P520" s="295" t="s">
        <v>576</v>
      </c>
      <c r="R520" s="500">
        <v>0</v>
      </c>
      <c r="S520" s="639"/>
      <c r="T520" s="640"/>
      <c r="U520" s="640"/>
      <c r="V520" s="640"/>
      <c r="W520" s="640"/>
      <c r="X520" s="640"/>
      <c r="Y520" s="553"/>
      <c r="Z520" s="527" t="str">
        <f>IFERROR(INDEX(잔가map!$C$14:$AR$18,MATCH(차량DB!$Z$5,잔가map!$B$14:$B$18,0),MATCH(차량DB!Y520,잔가map!$C$13:$AR$13,0)),"")</f>
        <v/>
      </c>
      <c r="AA520" s="527" t="str">
        <f>IFERROR(INDEX(잔가map!$C$14:$AR$18,MATCH(차량DB!$AA$5,잔가map!$B$14:$B$18,0),MATCH(차량DB!Y520,잔가map!$C$13:$AR$13,0)),"")</f>
        <v/>
      </c>
      <c r="AB520" s="527" t="str">
        <f>IFERROR(INDEX(잔가map!$C$14:$AR$18,MATCH(차량DB!$AB$5,잔가map!$B$14:$B$18,0),MATCH(차량DB!Y520,잔가map!$C$13:$AR$13,0)),"")</f>
        <v/>
      </c>
      <c r="AC520" s="527" t="str">
        <f>IFERROR(INDEX(잔가map!$C$14:$AR$18,MATCH(차량DB!$AC$5,잔가map!$B$14:$B$18,0),MATCH(차량DB!Y520,잔가map!$C$13:$AR$13,0)),"")</f>
        <v/>
      </c>
      <c r="AD520" s="527" t="str">
        <f>IFERROR(INDEX(잔가map!$C$14:$AR$18,MATCH(차량DB!$AD$5,잔가map!$B$14:$B$18,0),MATCH(차량DB!Y520,잔가map!$C$13:$AR$13,0)),"")</f>
        <v/>
      </c>
      <c r="AE520" s="643"/>
      <c r="AF520" s="644"/>
      <c r="AG520" s="644"/>
      <c r="AH520" s="644"/>
      <c r="AI520" s="644"/>
      <c r="AJ520" s="644"/>
      <c r="AK520" s="547"/>
      <c r="AL520" s="576"/>
    </row>
    <row r="521" spans="1:38" x14ac:dyDescent="0.3">
      <c r="E521" s="293" t="s">
        <v>421</v>
      </c>
      <c r="F521" s="605" t="s">
        <v>1030</v>
      </c>
      <c r="G521" s="294">
        <v>1499</v>
      </c>
      <c r="H521" s="295" t="s">
        <v>45</v>
      </c>
      <c r="I521" s="294">
        <v>49900000</v>
      </c>
      <c r="P521" s="295" t="s">
        <v>576</v>
      </c>
      <c r="R521" s="500">
        <v>0</v>
      </c>
      <c r="S521" s="639"/>
      <c r="T521" s="640"/>
      <c r="U521" s="640"/>
      <c r="V521" s="640"/>
      <c r="W521" s="640"/>
      <c r="X521" s="640"/>
      <c r="Y521" s="553"/>
      <c r="Z521" s="527" t="str">
        <f>IFERROR(INDEX(잔가map!$C$14:$AR$18,MATCH(차량DB!$Z$5,잔가map!$B$14:$B$18,0),MATCH(차량DB!Y521,잔가map!$C$13:$AR$13,0)),"")</f>
        <v/>
      </c>
      <c r="AA521" s="527" t="str">
        <f>IFERROR(INDEX(잔가map!$C$14:$AR$18,MATCH(차량DB!$AA$5,잔가map!$B$14:$B$18,0),MATCH(차량DB!Y521,잔가map!$C$13:$AR$13,0)),"")</f>
        <v/>
      </c>
      <c r="AB521" s="527" t="str">
        <f>IFERROR(INDEX(잔가map!$C$14:$AR$18,MATCH(차량DB!$AB$5,잔가map!$B$14:$B$18,0),MATCH(차량DB!Y521,잔가map!$C$13:$AR$13,0)),"")</f>
        <v/>
      </c>
      <c r="AC521" s="527" t="str">
        <f>IFERROR(INDEX(잔가map!$C$14:$AR$18,MATCH(차량DB!$AC$5,잔가map!$B$14:$B$18,0),MATCH(차량DB!Y521,잔가map!$C$13:$AR$13,0)),"")</f>
        <v/>
      </c>
      <c r="AD521" s="527" t="str">
        <f>IFERROR(INDEX(잔가map!$C$14:$AR$18,MATCH(차량DB!$AD$5,잔가map!$B$14:$B$18,0),MATCH(차량DB!Y521,잔가map!$C$13:$AR$13,0)),"")</f>
        <v/>
      </c>
      <c r="AE521" s="643"/>
      <c r="AF521" s="644"/>
      <c r="AG521" s="644"/>
      <c r="AH521" s="644"/>
      <c r="AI521" s="644"/>
      <c r="AJ521" s="644"/>
      <c r="AK521" s="547"/>
      <c r="AL521" s="576"/>
    </row>
    <row r="522" spans="1:38" x14ac:dyDescent="0.3">
      <c r="E522" s="293" t="s">
        <v>421</v>
      </c>
      <c r="F522" s="605" t="s">
        <v>1031</v>
      </c>
      <c r="G522" s="294">
        <v>1499</v>
      </c>
      <c r="H522" s="295" t="s">
        <v>45</v>
      </c>
      <c r="I522" s="294">
        <v>53900000</v>
      </c>
      <c r="P522" s="295" t="s">
        <v>576</v>
      </c>
      <c r="R522" s="500">
        <v>0</v>
      </c>
      <c r="S522" s="639"/>
      <c r="T522" s="640"/>
      <c r="U522" s="640"/>
      <c r="V522" s="640"/>
      <c r="W522" s="640"/>
      <c r="X522" s="640"/>
      <c r="Y522" s="553"/>
      <c r="Z522" s="527" t="str">
        <f>IFERROR(INDEX(잔가map!$C$14:$AR$18,MATCH(차량DB!$Z$5,잔가map!$B$14:$B$18,0),MATCH(차량DB!Y522,잔가map!$C$13:$AR$13,0)),"")</f>
        <v/>
      </c>
      <c r="AA522" s="527" t="str">
        <f>IFERROR(INDEX(잔가map!$C$14:$AR$18,MATCH(차량DB!$AA$5,잔가map!$B$14:$B$18,0),MATCH(차량DB!Y522,잔가map!$C$13:$AR$13,0)),"")</f>
        <v/>
      </c>
      <c r="AB522" s="527" t="str">
        <f>IFERROR(INDEX(잔가map!$C$14:$AR$18,MATCH(차량DB!$AB$5,잔가map!$B$14:$B$18,0),MATCH(차량DB!Y522,잔가map!$C$13:$AR$13,0)),"")</f>
        <v/>
      </c>
      <c r="AC522" s="527" t="str">
        <f>IFERROR(INDEX(잔가map!$C$14:$AR$18,MATCH(차량DB!$AC$5,잔가map!$B$14:$B$18,0),MATCH(차량DB!Y522,잔가map!$C$13:$AR$13,0)),"")</f>
        <v/>
      </c>
      <c r="AD522" s="527" t="str">
        <f>IFERROR(INDEX(잔가map!$C$14:$AR$18,MATCH(차량DB!$AD$5,잔가map!$B$14:$B$18,0),MATCH(차량DB!Y522,잔가map!$C$13:$AR$13,0)),"")</f>
        <v/>
      </c>
      <c r="AE522" s="643"/>
      <c r="AF522" s="644"/>
      <c r="AG522" s="644"/>
      <c r="AH522" s="644"/>
      <c r="AI522" s="644"/>
      <c r="AJ522" s="644"/>
      <c r="AK522" s="547"/>
      <c r="AL522" s="576"/>
    </row>
    <row r="523" spans="1:38" x14ac:dyDescent="0.3">
      <c r="E523" s="293" t="s">
        <v>421</v>
      </c>
      <c r="F523" s="605" t="s">
        <v>1032</v>
      </c>
      <c r="G523" s="294">
        <v>1199</v>
      </c>
      <c r="H523" s="295" t="s">
        <v>305</v>
      </c>
      <c r="I523" s="294">
        <v>50000000</v>
      </c>
      <c r="P523" s="295" t="s">
        <v>576</v>
      </c>
      <c r="R523" s="500">
        <v>0</v>
      </c>
      <c r="S523" s="639"/>
      <c r="T523" s="640"/>
      <c r="U523" s="640"/>
      <c r="V523" s="640"/>
      <c r="W523" s="640"/>
      <c r="X523" s="640"/>
      <c r="Y523" s="553"/>
      <c r="Z523" s="527" t="str">
        <f>IFERROR(INDEX(잔가map!$C$14:$AR$18,MATCH(차량DB!$Z$5,잔가map!$B$14:$B$18,0),MATCH(차량DB!Y523,잔가map!$C$13:$AR$13,0)),"")</f>
        <v/>
      </c>
      <c r="AA523" s="527" t="str">
        <f>IFERROR(INDEX(잔가map!$C$14:$AR$18,MATCH(차량DB!$AA$5,잔가map!$B$14:$B$18,0),MATCH(차량DB!Y523,잔가map!$C$13:$AR$13,0)),"")</f>
        <v/>
      </c>
      <c r="AB523" s="527" t="str">
        <f>IFERROR(INDEX(잔가map!$C$14:$AR$18,MATCH(차량DB!$AB$5,잔가map!$B$14:$B$18,0),MATCH(차량DB!Y523,잔가map!$C$13:$AR$13,0)),"")</f>
        <v/>
      </c>
      <c r="AC523" s="527" t="str">
        <f>IFERROR(INDEX(잔가map!$C$14:$AR$18,MATCH(차량DB!$AC$5,잔가map!$B$14:$B$18,0),MATCH(차량DB!Y523,잔가map!$C$13:$AR$13,0)),"")</f>
        <v/>
      </c>
      <c r="AD523" s="527" t="str">
        <f>IFERROR(INDEX(잔가map!$C$14:$AR$18,MATCH(차량DB!$AD$5,잔가map!$B$14:$B$18,0),MATCH(차량DB!Y523,잔가map!$C$13:$AR$13,0)),"")</f>
        <v/>
      </c>
      <c r="AE523" s="643"/>
      <c r="AF523" s="644"/>
      <c r="AG523" s="644"/>
      <c r="AH523" s="644"/>
      <c r="AI523" s="644"/>
      <c r="AJ523" s="644"/>
      <c r="AK523" s="547"/>
      <c r="AL523" s="576"/>
    </row>
    <row r="524" spans="1:38" x14ac:dyDescent="0.3">
      <c r="E524" s="293" t="s">
        <v>421</v>
      </c>
      <c r="F524" s="605" t="s">
        <v>1033</v>
      </c>
      <c r="G524" s="294">
        <v>1199</v>
      </c>
      <c r="H524" s="295" t="s">
        <v>305</v>
      </c>
      <c r="I524" s="294">
        <v>53000000</v>
      </c>
      <c r="P524" s="295" t="s">
        <v>576</v>
      </c>
      <c r="R524" s="500">
        <v>0</v>
      </c>
      <c r="S524" s="639"/>
      <c r="T524" s="640"/>
      <c r="U524" s="640"/>
      <c r="V524" s="640"/>
      <c r="W524" s="640"/>
      <c r="X524" s="640"/>
      <c r="Y524" s="553"/>
      <c r="Z524" s="527" t="str">
        <f>IFERROR(INDEX(잔가map!$C$14:$AR$18,MATCH(차량DB!$Z$5,잔가map!$B$14:$B$18,0),MATCH(차량DB!Y524,잔가map!$C$13:$AR$13,0)),"")</f>
        <v/>
      </c>
      <c r="AA524" s="527" t="str">
        <f>IFERROR(INDEX(잔가map!$C$14:$AR$18,MATCH(차량DB!$AA$5,잔가map!$B$14:$B$18,0),MATCH(차량DB!Y524,잔가map!$C$13:$AR$13,0)),"")</f>
        <v/>
      </c>
      <c r="AB524" s="527" t="str">
        <f>IFERROR(INDEX(잔가map!$C$14:$AR$18,MATCH(차량DB!$AB$5,잔가map!$B$14:$B$18,0),MATCH(차량DB!Y524,잔가map!$C$13:$AR$13,0)),"")</f>
        <v/>
      </c>
      <c r="AC524" s="527" t="str">
        <f>IFERROR(INDEX(잔가map!$C$14:$AR$18,MATCH(차량DB!$AC$5,잔가map!$B$14:$B$18,0),MATCH(차량DB!Y524,잔가map!$C$13:$AR$13,0)),"")</f>
        <v/>
      </c>
      <c r="AD524" s="527" t="str">
        <f>IFERROR(INDEX(잔가map!$C$14:$AR$18,MATCH(차량DB!$AD$5,잔가map!$B$14:$B$18,0),MATCH(차량DB!Y524,잔가map!$C$13:$AR$13,0)),"")</f>
        <v/>
      </c>
      <c r="AE524" s="643"/>
      <c r="AF524" s="644"/>
      <c r="AG524" s="644"/>
      <c r="AH524" s="644"/>
      <c r="AI524" s="644"/>
      <c r="AJ524" s="644"/>
      <c r="AK524" s="547"/>
      <c r="AL524" s="576"/>
    </row>
    <row r="525" spans="1:38" x14ac:dyDescent="0.3">
      <c r="E525" s="293" t="s">
        <v>421</v>
      </c>
      <c r="F525" s="605" t="s">
        <v>1034</v>
      </c>
      <c r="G525" s="294">
        <v>1199</v>
      </c>
      <c r="H525" s="295" t="s">
        <v>305</v>
      </c>
      <c r="I525" s="294">
        <v>55000000</v>
      </c>
      <c r="P525" s="295" t="s">
        <v>576</v>
      </c>
      <c r="R525" s="500">
        <v>0</v>
      </c>
      <c r="S525" s="639"/>
      <c r="T525" s="640"/>
      <c r="U525" s="640"/>
      <c r="V525" s="640"/>
      <c r="W525" s="640"/>
      <c r="X525" s="640"/>
      <c r="Y525" s="553"/>
      <c r="Z525" s="527" t="str">
        <f>IFERROR(INDEX(잔가map!$C$14:$AR$18,MATCH(차량DB!$Z$5,잔가map!$B$14:$B$18,0),MATCH(차량DB!Y525,잔가map!$C$13:$AR$13,0)),"")</f>
        <v/>
      </c>
      <c r="AA525" s="527" t="str">
        <f>IFERROR(INDEX(잔가map!$C$14:$AR$18,MATCH(차량DB!$AA$5,잔가map!$B$14:$B$18,0),MATCH(차량DB!Y525,잔가map!$C$13:$AR$13,0)),"")</f>
        <v/>
      </c>
      <c r="AB525" s="527" t="str">
        <f>IFERROR(INDEX(잔가map!$C$14:$AR$18,MATCH(차량DB!$AB$5,잔가map!$B$14:$B$18,0),MATCH(차량DB!Y525,잔가map!$C$13:$AR$13,0)),"")</f>
        <v/>
      </c>
      <c r="AC525" s="527" t="str">
        <f>IFERROR(INDEX(잔가map!$C$14:$AR$18,MATCH(차량DB!$AC$5,잔가map!$B$14:$B$18,0),MATCH(차량DB!Y525,잔가map!$C$13:$AR$13,0)),"")</f>
        <v/>
      </c>
      <c r="AD525" s="527" t="str">
        <f>IFERROR(INDEX(잔가map!$C$14:$AR$18,MATCH(차량DB!$AD$5,잔가map!$B$14:$B$18,0),MATCH(차량DB!Y525,잔가map!$C$13:$AR$13,0)),"")</f>
        <v/>
      </c>
      <c r="AE525" s="643"/>
      <c r="AF525" s="644"/>
      <c r="AG525" s="644"/>
      <c r="AH525" s="644"/>
      <c r="AI525" s="644"/>
      <c r="AJ525" s="644"/>
      <c r="AK525" s="547"/>
      <c r="AL525" s="576"/>
    </row>
    <row r="526" spans="1:38" x14ac:dyDescent="0.3">
      <c r="E526" s="293" t="s">
        <v>421</v>
      </c>
      <c r="F526" s="605" t="s">
        <v>313</v>
      </c>
      <c r="G526" s="294">
        <v>1499</v>
      </c>
      <c r="H526" s="295" t="s">
        <v>305</v>
      </c>
      <c r="I526" s="294">
        <v>52000000</v>
      </c>
      <c r="P526" s="295" t="s">
        <v>576</v>
      </c>
      <c r="R526" s="500">
        <v>0</v>
      </c>
      <c r="S526" s="639"/>
      <c r="T526" s="640"/>
      <c r="U526" s="640"/>
      <c r="V526" s="640"/>
      <c r="W526" s="640"/>
      <c r="X526" s="640"/>
      <c r="Y526" s="553"/>
      <c r="Z526" s="527" t="str">
        <f>IFERROR(INDEX(잔가map!$C$14:$AR$18,MATCH(차량DB!$Z$5,잔가map!$B$14:$B$18,0),MATCH(차량DB!Y526,잔가map!$C$13:$AR$13,0)),"")</f>
        <v/>
      </c>
      <c r="AA526" s="527" t="str">
        <f>IFERROR(INDEX(잔가map!$C$14:$AR$18,MATCH(차량DB!$AA$5,잔가map!$B$14:$B$18,0),MATCH(차량DB!Y526,잔가map!$C$13:$AR$13,0)),"")</f>
        <v/>
      </c>
      <c r="AB526" s="527" t="str">
        <f>IFERROR(INDEX(잔가map!$C$14:$AR$18,MATCH(차량DB!$AB$5,잔가map!$B$14:$B$18,0),MATCH(차량DB!Y526,잔가map!$C$13:$AR$13,0)),"")</f>
        <v/>
      </c>
      <c r="AC526" s="527" t="str">
        <f>IFERROR(INDEX(잔가map!$C$14:$AR$18,MATCH(차량DB!$AC$5,잔가map!$B$14:$B$18,0),MATCH(차량DB!Y526,잔가map!$C$13:$AR$13,0)),"")</f>
        <v/>
      </c>
      <c r="AD526" s="527" t="str">
        <f>IFERROR(INDEX(잔가map!$C$14:$AR$18,MATCH(차량DB!$AD$5,잔가map!$B$14:$B$18,0),MATCH(차량DB!Y526,잔가map!$C$13:$AR$13,0)),"")</f>
        <v/>
      </c>
      <c r="AE526" s="643"/>
      <c r="AF526" s="644"/>
      <c r="AG526" s="644"/>
      <c r="AH526" s="644"/>
      <c r="AI526" s="644"/>
      <c r="AJ526" s="644"/>
      <c r="AK526" s="547"/>
      <c r="AL526" s="576"/>
    </row>
    <row r="527" spans="1:38" x14ac:dyDescent="0.3">
      <c r="E527" s="293" t="s">
        <v>421</v>
      </c>
      <c r="F527" s="605" t="s">
        <v>1035</v>
      </c>
      <c r="G527" s="294">
        <v>1499</v>
      </c>
      <c r="H527" s="295" t="s">
        <v>305</v>
      </c>
      <c r="I527" s="294">
        <v>55000000</v>
      </c>
      <c r="P527" s="295" t="s">
        <v>576</v>
      </c>
      <c r="R527" s="500">
        <v>0</v>
      </c>
      <c r="S527" s="639"/>
      <c r="T527" s="640"/>
      <c r="U527" s="640"/>
      <c r="V527" s="640"/>
      <c r="W527" s="640"/>
      <c r="X527" s="640"/>
      <c r="Y527" s="553"/>
      <c r="Z527" s="527" t="str">
        <f>IFERROR(INDEX(잔가map!$C$14:$AR$18,MATCH(차량DB!$Z$5,잔가map!$B$14:$B$18,0),MATCH(차량DB!Y527,잔가map!$C$13:$AR$13,0)),"")</f>
        <v/>
      </c>
      <c r="AA527" s="527" t="str">
        <f>IFERROR(INDEX(잔가map!$C$14:$AR$18,MATCH(차량DB!$AA$5,잔가map!$B$14:$B$18,0),MATCH(차량DB!Y527,잔가map!$C$13:$AR$13,0)),"")</f>
        <v/>
      </c>
      <c r="AB527" s="527" t="str">
        <f>IFERROR(INDEX(잔가map!$C$14:$AR$18,MATCH(차량DB!$AB$5,잔가map!$B$14:$B$18,0),MATCH(차량DB!Y527,잔가map!$C$13:$AR$13,0)),"")</f>
        <v/>
      </c>
      <c r="AC527" s="527" t="str">
        <f>IFERROR(INDEX(잔가map!$C$14:$AR$18,MATCH(차량DB!$AC$5,잔가map!$B$14:$B$18,0),MATCH(차량DB!Y527,잔가map!$C$13:$AR$13,0)),"")</f>
        <v/>
      </c>
      <c r="AD527" s="527" t="str">
        <f>IFERROR(INDEX(잔가map!$C$14:$AR$18,MATCH(차량DB!$AD$5,잔가map!$B$14:$B$18,0),MATCH(차량DB!Y527,잔가map!$C$13:$AR$13,0)),"")</f>
        <v/>
      </c>
      <c r="AE527" s="643"/>
      <c r="AF527" s="644"/>
      <c r="AG527" s="644"/>
      <c r="AH527" s="644"/>
      <c r="AI527" s="644"/>
      <c r="AJ527" s="644"/>
      <c r="AK527" s="547"/>
      <c r="AL527" s="576"/>
    </row>
    <row r="528" spans="1:38" x14ac:dyDescent="0.3">
      <c r="E528" s="293" t="s">
        <v>421</v>
      </c>
      <c r="F528" s="605" t="s">
        <v>1036</v>
      </c>
      <c r="G528" s="294">
        <v>1997</v>
      </c>
      <c r="H528" s="295" t="s">
        <v>305</v>
      </c>
      <c r="I528" s="294">
        <v>61000000</v>
      </c>
      <c r="P528" s="295" t="s">
        <v>576</v>
      </c>
      <c r="R528" s="500">
        <v>0</v>
      </c>
      <c r="S528" s="639"/>
      <c r="T528" s="640"/>
      <c r="U528" s="640"/>
      <c r="V528" s="640"/>
      <c r="W528" s="640"/>
      <c r="X528" s="640"/>
      <c r="Y528" s="553"/>
      <c r="Z528" s="527" t="str">
        <f>IFERROR(INDEX(잔가map!$C$14:$AR$18,MATCH(차량DB!$Z$5,잔가map!$B$14:$B$18,0),MATCH(차량DB!Y528,잔가map!$C$13:$AR$13,0)),"")</f>
        <v/>
      </c>
      <c r="AA528" s="527" t="str">
        <f>IFERROR(INDEX(잔가map!$C$14:$AR$18,MATCH(차량DB!$AA$5,잔가map!$B$14:$B$18,0),MATCH(차량DB!Y528,잔가map!$C$13:$AR$13,0)),"")</f>
        <v/>
      </c>
      <c r="AB528" s="527" t="str">
        <f>IFERROR(INDEX(잔가map!$C$14:$AR$18,MATCH(차량DB!$AB$5,잔가map!$B$14:$B$18,0),MATCH(차량DB!Y528,잔가map!$C$13:$AR$13,0)),"")</f>
        <v/>
      </c>
      <c r="AC528" s="527" t="str">
        <f>IFERROR(INDEX(잔가map!$C$14:$AR$18,MATCH(차량DB!$AC$5,잔가map!$B$14:$B$18,0),MATCH(차량DB!Y528,잔가map!$C$13:$AR$13,0)),"")</f>
        <v/>
      </c>
      <c r="AD528" s="527" t="str">
        <f>IFERROR(INDEX(잔가map!$C$14:$AR$18,MATCH(차량DB!$AD$5,잔가map!$B$14:$B$18,0),MATCH(차량DB!Y528,잔가map!$C$13:$AR$13,0)),"")</f>
        <v/>
      </c>
      <c r="AE528" s="643"/>
      <c r="AF528" s="644"/>
      <c r="AG528" s="644"/>
      <c r="AH528" s="644"/>
      <c r="AI528" s="644"/>
      <c r="AJ528" s="644"/>
      <c r="AK528" s="547"/>
      <c r="AL528" s="576"/>
    </row>
    <row r="529" spans="5:38" x14ac:dyDescent="0.3">
      <c r="E529" s="293" t="s">
        <v>422</v>
      </c>
      <c r="F529" s="605" t="s">
        <v>315</v>
      </c>
      <c r="G529" s="294">
        <v>2981</v>
      </c>
      <c r="H529" s="295" t="s">
        <v>45</v>
      </c>
      <c r="I529" s="294">
        <v>174600000</v>
      </c>
      <c r="P529" s="295" t="s">
        <v>576</v>
      </c>
      <c r="R529" s="500">
        <v>0</v>
      </c>
      <c r="S529" s="639" t="s">
        <v>1216</v>
      </c>
      <c r="T529" s="640"/>
      <c r="U529" s="640"/>
      <c r="V529" s="640"/>
      <c r="W529" s="640"/>
      <c r="X529" s="640"/>
      <c r="Y529" s="553" t="s">
        <v>352</v>
      </c>
      <c r="Z529" s="527">
        <f>IFERROR(INDEX(잔가map!$C$14:$AR$18,MATCH(차량DB!$Z$5,잔가map!$B$14:$B$18,0),MATCH(차량DB!Y529,잔가map!$C$13:$AR$13,0)),"")</f>
        <v>0.77</v>
      </c>
      <c r="AA529" s="527">
        <f>IFERROR(INDEX(잔가map!$C$14:$AR$18,MATCH(차량DB!$AA$5,잔가map!$B$14:$B$18,0),MATCH(차량DB!Y529,잔가map!$C$13:$AR$13,0)),"")</f>
        <v>0.69000000000000006</v>
      </c>
      <c r="AB529" s="527">
        <f>IFERROR(INDEX(잔가map!$C$14:$AR$18,MATCH(차량DB!$AB$5,잔가map!$B$14:$B$18,0),MATCH(차량DB!Y529,잔가map!$C$13:$AR$13,0)),"")</f>
        <v>0.6</v>
      </c>
      <c r="AC529" s="527">
        <f>IFERROR(INDEX(잔가map!$C$14:$AR$18,MATCH(차량DB!$AC$5,잔가map!$B$14:$B$18,0),MATCH(차량DB!Y529,잔가map!$C$13:$AR$13,0)),"")</f>
        <v>0.52</v>
      </c>
      <c r="AD529" s="527">
        <f>IFERROR(INDEX(잔가map!$C$14:$AR$18,MATCH(차량DB!$AD$5,잔가map!$B$14:$B$18,0),MATCH(차량DB!Y529,잔가map!$C$13:$AR$13,0)),"")</f>
        <v>0.46000000000000008</v>
      </c>
      <c r="AE529" s="643"/>
      <c r="AF529" s="644"/>
      <c r="AG529" s="644"/>
      <c r="AH529" s="644"/>
      <c r="AI529" s="644"/>
      <c r="AJ529" s="644"/>
      <c r="AK529" s="547"/>
      <c r="AL529" s="576"/>
    </row>
    <row r="530" spans="5:38" x14ac:dyDescent="0.3">
      <c r="E530" s="293" t="s">
        <v>422</v>
      </c>
      <c r="F530" s="605" t="s">
        <v>516</v>
      </c>
      <c r="G530" s="294">
        <v>2981</v>
      </c>
      <c r="H530" s="295" t="s">
        <v>45</v>
      </c>
      <c r="I530" s="294">
        <v>183800000</v>
      </c>
      <c r="P530" s="295" t="s">
        <v>576</v>
      </c>
      <c r="R530" s="500">
        <v>0</v>
      </c>
      <c r="S530" s="639" t="s">
        <v>1209</v>
      </c>
      <c r="T530" s="640"/>
      <c r="U530" s="640"/>
      <c r="V530" s="640"/>
      <c r="W530" s="640"/>
      <c r="X530" s="640"/>
      <c r="Y530" s="553" t="s">
        <v>352</v>
      </c>
      <c r="Z530" s="527">
        <f>IFERROR(INDEX(잔가map!$C$14:$AR$18,MATCH(차량DB!$Z$5,잔가map!$B$14:$B$18,0),MATCH(차량DB!Y530,잔가map!$C$13:$AR$13,0)),"")</f>
        <v>0.77</v>
      </c>
      <c r="AA530" s="527">
        <f>IFERROR(INDEX(잔가map!$C$14:$AR$18,MATCH(차량DB!$AA$5,잔가map!$B$14:$B$18,0),MATCH(차량DB!Y530,잔가map!$C$13:$AR$13,0)),"")</f>
        <v>0.69000000000000006</v>
      </c>
      <c r="AB530" s="527">
        <f>IFERROR(INDEX(잔가map!$C$14:$AR$18,MATCH(차량DB!$AB$5,잔가map!$B$14:$B$18,0),MATCH(차량DB!Y530,잔가map!$C$13:$AR$13,0)),"")</f>
        <v>0.6</v>
      </c>
      <c r="AC530" s="527">
        <f>IFERROR(INDEX(잔가map!$C$14:$AR$18,MATCH(차량DB!$AC$5,잔가map!$B$14:$B$18,0),MATCH(차량DB!Y530,잔가map!$C$13:$AR$13,0)),"")</f>
        <v>0.52</v>
      </c>
      <c r="AD530" s="527">
        <f>IFERROR(INDEX(잔가map!$C$14:$AR$18,MATCH(차량DB!$AD$5,잔가map!$B$14:$B$18,0),MATCH(차량DB!Y530,잔가map!$C$13:$AR$13,0)),"")</f>
        <v>0.46000000000000008</v>
      </c>
      <c r="AE530" s="643"/>
      <c r="AF530" s="644"/>
      <c r="AG530" s="644"/>
      <c r="AH530" s="644"/>
      <c r="AI530" s="644"/>
      <c r="AJ530" s="644"/>
      <c r="AK530" s="547"/>
      <c r="AL530" s="576"/>
    </row>
    <row r="531" spans="5:38" x14ac:dyDescent="0.3">
      <c r="E531" s="293" t="s">
        <v>422</v>
      </c>
      <c r="F531" s="605" t="s">
        <v>316</v>
      </c>
      <c r="G531" s="294">
        <v>2981</v>
      </c>
      <c r="H531" s="295" t="s">
        <v>45</v>
      </c>
      <c r="I531" s="294">
        <v>191900000</v>
      </c>
      <c r="P531" s="295" t="s">
        <v>576</v>
      </c>
      <c r="R531" s="500">
        <v>0</v>
      </c>
      <c r="S531" s="639" t="s">
        <v>1209</v>
      </c>
      <c r="T531" s="640"/>
      <c r="U531" s="640"/>
      <c r="V531" s="640"/>
      <c r="W531" s="640"/>
      <c r="X531" s="640"/>
      <c r="Y531" s="553" t="s">
        <v>352</v>
      </c>
      <c r="Z531" s="527">
        <f>IFERROR(INDEX(잔가map!$C$14:$AR$18,MATCH(차량DB!$Z$5,잔가map!$B$14:$B$18,0),MATCH(차량DB!Y531,잔가map!$C$13:$AR$13,0)),"")</f>
        <v>0.77</v>
      </c>
      <c r="AA531" s="527">
        <f>IFERROR(INDEX(잔가map!$C$14:$AR$18,MATCH(차량DB!$AA$5,잔가map!$B$14:$B$18,0),MATCH(차량DB!Y531,잔가map!$C$13:$AR$13,0)),"")</f>
        <v>0.69000000000000006</v>
      </c>
      <c r="AB531" s="527">
        <f>IFERROR(INDEX(잔가map!$C$14:$AR$18,MATCH(차량DB!$AB$5,잔가map!$B$14:$B$18,0),MATCH(차량DB!Y531,잔가map!$C$13:$AR$13,0)),"")</f>
        <v>0.6</v>
      </c>
      <c r="AC531" s="527">
        <f>IFERROR(INDEX(잔가map!$C$14:$AR$18,MATCH(차량DB!$AC$5,잔가map!$B$14:$B$18,0),MATCH(차량DB!Y531,잔가map!$C$13:$AR$13,0)),"")</f>
        <v>0.52</v>
      </c>
      <c r="AD531" s="527">
        <f>IFERROR(INDEX(잔가map!$C$14:$AR$18,MATCH(차량DB!$AD$5,잔가map!$B$14:$B$18,0),MATCH(차량DB!Y531,잔가map!$C$13:$AR$13,0)),"")</f>
        <v>0.46000000000000008</v>
      </c>
      <c r="AE531" s="643"/>
      <c r="AF531" s="644"/>
      <c r="AG531" s="644"/>
      <c r="AH531" s="644"/>
      <c r="AI531" s="644"/>
      <c r="AJ531" s="644"/>
      <c r="AK531" s="547"/>
      <c r="AL531" s="576"/>
    </row>
    <row r="532" spans="5:38" x14ac:dyDescent="0.3">
      <c r="E532" s="293" t="s">
        <v>422</v>
      </c>
      <c r="F532" s="605" t="s">
        <v>317</v>
      </c>
      <c r="G532" s="294">
        <v>2981</v>
      </c>
      <c r="H532" s="295" t="s">
        <v>45</v>
      </c>
      <c r="I532" s="294">
        <v>201100000</v>
      </c>
      <c r="P532" s="295" t="s">
        <v>576</v>
      </c>
      <c r="R532" s="500">
        <v>0</v>
      </c>
      <c r="S532" s="639" t="s">
        <v>1216</v>
      </c>
      <c r="T532" s="640"/>
      <c r="U532" s="640"/>
      <c r="V532" s="640"/>
      <c r="W532" s="640"/>
      <c r="X532" s="640"/>
      <c r="Y532" s="553" t="s">
        <v>352</v>
      </c>
      <c r="Z532" s="527">
        <f>IFERROR(INDEX(잔가map!$C$14:$AR$18,MATCH(차량DB!$Z$5,잔가map!$B$14:$B$18,0),MATCH(차량DB!Y532,잔가map!$C$13:$AR$13,0)),"")</f>
        <v>0.77</v>
      </c>
      <c r="AA532" s="527">
        <f>IFERROR(INDEX(잔가map!$C$14:$AR$18,MATCH(차량DB!$AA$5,잔가map!$B$14:$B$18,0),MATCH(차량DB!Y532,잔가map!$C$13:$AR$13,0)),"")</f>
        <v>0.69000000000000006</v>
      </c>
      <c r="AB532" s="527">
        <f>IFERROR(INDEX(잔가map!$C$14:$AR$18,MATCH(차량DB!$AB$5,잔가map!$B$14:$B$18,0),MATCH(차량DB!Y532,잔가map!$C$13:$AR$13,0)),"")</f>
        <v>0.6</v>
      </c>
      <c r="AC532" s="527">
        <f>IFERROR(INDEX(잔가map!$C$14:$AR$18,MATCH(차량DB!$AC$5,잔가map!$B$14:$B$18,0),MATCH(차량DB!Y532,잔가map!$C$13:$AR$13,0)),"")</f>
        <v>0.52</v>
      </c>
      <c r="AD532" s="527">
        <f>IFERROR(INDEX(잔가map!$C$14:$AR$18,MATCH(차량DB!$AD$5,잔가map!$B$14:$B$18,0),MATCH(차량DB!Y532,잔가map!$C$13:$AR$13,0)),"")</f>
        <v>0.46000000000000008</v>
      </c>
      <c r="AE532" s="643"/>
      <c r="AF532" s="644"/>
      <c r="AG532" s="644"/>
      <c r="AH532" s="644"/>
      <c r="AI532" s="644"/>
      <c r="AJ532" s="644"/>
      <c r="AK532" s="547"/>
      <c r="AL532" s="576"/>
    </row>
    <row r="533" spans="5:38" x14ac:dyDescent="0.3">
      <c r="E533" s="293" t="s">
        <v>422</v>
      </c>
      <c r="F533" s="605" t="s">
        <v>517</v>
      </c>
      <c r="G533" s="294">
        <v>2981</v>
      </c>
      <c r="H533" s="295" t="s">
        <v>45</v>
      </c>
      <c r="I533" s="294">
        <v>220300000</v>
      </c>
      <c r="P533" s="295" t="s">
        <v>576</v>
      </c>
      <c r="R533" s="500">
        <v>0</v>
      </c>
      <c r="S533" s="639" t="s">
        <v>1209</v>
      </c>
      <c r="T533" s="640"/>
      <c r="U533" s="640"/>
      <c r="V533" s="640"/>
      <c r="W533" s="640"/>
      <c r="X533" s="640"/>
      <c r="Y533" s="553" t="s">
        <v>357</v>
      </c>
      <c r="Z533" s="527">
        <f>IFERROR(INDEX(잔가map!$C$14:$AR$18,MATCH(차량DB!$Z$5,잔가map!$B$14:$B$18,0),MATCH(차량DB!Y533,잔가map!$C$13:$AR$13,0)),"")</f>
        <v>0.75</v>
      </c>
      <c r="AA533" s="527">
        <f>IFERROR(INDEX(잔가map!$C$14:$AR$18,MATCH(차량DB!$AA$5,잔가map!$B$14:$B$18,0),MATCH(차량DB!Y533,잔가map!$C$13:$AR$13,0)),"")</f>
        <v>0.67</v>
      </c>
      <c r="AB533" s="527">
        <f>IFERROR(INDEX(잔가map!$C$14:$AR$18,MATCH(차량DB!$AB$5,잔가map!$B$14:$B$18,0),MATCH(차량DB!Y533,잔가map!$C$13:$AR$13,0)),"")</f>
        <v>0.57999999999999996</v>
      </c>
      <c r="AC533" s="527">
        <f>IFERROR(INDEX(잔가map!$C$14:$AR$18,MATCH(차량DB!$AC$5,잔가map!$B$14:$B$18,0),MATCH(차량DB!Y533,잔가map!$C$13:$AR$13,0)),"")</f>
        <v>0.5</v>
      </c>
      <c r="AD533" s="527">
        <f>IFERROR(INDEX(잔가map!$C$14:$AR$18,MATCH(차량DB!$AD$5,잔가map!$B$14:$B$18,0),MATCH(차량DB!Y533,잔가map!$C$13:$AR$13,0)),"")</f>
        <v>0.44000000000000006</v>
      </c>
      <c r="AE533" s="643"/>
      <c r="AF533" s="644"/>
      <c r="AG533" s="644"/>
      <c r="AH533" s="644"/>
      <c r="AI533" s="644"/>
      <c r="AJ533" s="644"/>
      <c r="AK533" s="547"/>
      <c r="AL533" s="576"/>
    </row>
    <row r="534" spans="5:38" x14ac:dyDescent="0.3">
      <c r="E534" s="293" t="s">
        <v>422</v>
      </c>
      <c r="F534" s="605" t="s">
        <v>518</v>
      </c>
      <c r="G534" s="294">
        <v>2981</v>
      </c>
      <c r="H534" s="295" t="s">
        <v>45</v>
      </c>
      <c r="I534" s="294">
        <v>229500000</v>
      </c>
      <c r="P534" s="295" t="s">
        <v>576</v>
      </c>
      <c r="R534" s="500">
        <v>0</v>
      </c>
      <c r="S534" s="639" t="s">
        <v>1217</v>
      </c>
      <c r="T534" s="640"/>
      <c r="U534" s="640"/>
      <c r="V534" s="640"/>
      <c r="W534" s="640"/>
      <c r="X534" s="640"/>
      <c r="Y534" s="553" t="s">
        <v>352</v>
      </c>
      <c r="Z534" s="527">
        <f>IFERROR(INDEX(잔가map!$C$14:$AR$18,MATCH(차량DB!$Z$5,잔가map!$B$14:$B$18,0),MATCH(차량DB!Y534,잔가map!$C$13:$AR$13,0)),"")</f>
        <v>0.77</v>
      </c>
      <c r="AA534" s="527">
        <f>IFERROR(INDEX(잔가map!$C$14:$AR$18,MATCH(차량DB!$AA$5,잔가map!$B$14:$B$18,0),MATCH(차량DB!Y534,잔가map!$C$13:$AR$13,0)),"")</f>
        <v>0.69000000000000006</v>
      </c>
      <c r="AB534" s="527">
        <f>IFERROR(INDEX(잔가map!$C$14:$AR$18,MATCH(차량DB!$AB$5,잔가map!$B$14:$B$18,0),MATCH(차량DB!Y534,잔가map!$C$13:$AR$13,0)),"")</f>
        <v>0.6</v>
      </c>
      <c r="AC534" s="527">
        <f>IFERROR(INDEX(잔가map!$C$14:$AR$18,MATCH(차량DB!$AC$5,잔가map!$B$14:$B$18,0),MATCH(차량DB!Y534,잔가map!$C$13:$AR$13,0)),"")</f>
        <v>0.52</v>
      </c>
      <c r="AD534" s="527">
        <f>IFERROR(INDEX(잔가map!$C$14:$AR$18,MATCH(차량DB!$AD$5,잔가map!$B$14:$B$18,0),MATCH(차량DB!Y534,잔가map!$C$13:$AR$13,0)),"")</f>
        <v>0.46000000000000008</v>
      </c>
      <c r="AE534" s="643"/>
      <c r="AF534" s="644"/>
      <c r="AG534" s="644"/>
      <c r="AH534" s="644"/>
      <c r="AI534" s="644"/>
      <c r="AJ534" s="644"/>
      <c r="AK534" s="547"/>
      <c r="AL534" s="576"/>
    </row>
    <row r="535" spans="5:38" x14ac:dyDescent="0.3">
      <c r="E535" s="293" t="s">
        <v>422</v>
      </c>
      <c r="F535" s="605" t="s">
        <v>1041</v>
      </c>
      <c r="G535" s="294">
        <v>2981</v>
      </c>
      <c r="H535" s="295" t="s">
        <v>45</v>
      </c>
      <c r="I535" s="294">
        <v>158700000</v>
      </c>
      <c r="P535" s="295" t="s">
        <v>576</v>
      </c>
      <c r="R535" s="500"/>
      <c r="S535" s="639" t="s">
        <v>1210</v>
      </c>
      <c r="T535" s="640"/>
      <c r="U535" s="640"/>
      <c r="V535" s="640"/>
      <c r="W535" s="640"/>
      <c r="X535" s="640"/>
      <c r="Y535" s="553" t="s">
        <v>352</v>
      </c>
      <c r="Z535" s="527">
        <f>IFERROR(INDEX(잔가map!$C$14:$AR$18,MATCH(차량DB!$Z$5,잔가map!$B$14:$B$18,0),MATCH(차량DB!Y535,잔가map!$C$13:$AR$13,0)),"")</f>
        <v>0.77</v>
      </c>
      <c r="AA535" s="527">
        <f>IFERROR(INDEX(잔가map!$C$14:$AR$18,MATCH(차량DB!$AA$5,잔가map!$B$14:$B$18,0),MATCH(차량DB!Y535,잔가map!$C$13:$AR$13,0)),"")</f>
        <v>0.69000000000000006</v>
      </c>
      <c r="AB535" s="527">
        <f>IFERROR(INDEX(잔가map!$C$14:$AR$18,MATCH(차량DB!$AB$5,잔가map!$B$14:$B$18,0),MATCH(차량DB!Y535,잔가map!$C$13:$AR$13,0)),"")</f>
        <v>0.6</v>
      </c>
      <c r="AC535" s="527">
        <f>IFERROR(INDEX(잔가map!$C$14:$AR$18,MATCH(차량DB!$AC$5,잔가map!$B$14:$B$18,0),MATCH(차량DB!Y535,잔가map!$C$13:$AR$13,0)),"")</f>
        <v>0.52</v>
      </c>
      <c r="AD535" s="527">
        <f>IFERROR(INDEX(잔가map!$C$14:$AR$18,MATCH(차량DB!$AD$5,잔가map!$B$14:$B$18,0),MATCH(차량DB!Y535,잔가map!$C$13:$AR$13,0)),"")</f>
        <v>0.46000000000000008</v>
      </c>
      <c r="AE535" s="643"/>
      <c r="AF535" s="644"/>
      <c r="AG535" s="644"/>
      <c r="AH535" s="644"/>
      <c r="AI535" s="644"/>
      <c r="AJ535" s="644"/>
      <c r="AK535" s="547"/>
      <c r="AL535" s="576"/>
    </row>
    <row r="536" spans="5:38" x14ac:dyDescent="0.3">
      <c r="E536" s="293" t="s">
        <v>422</v>
      </c>
      <c r="F536" s="605" t="s">
        <v>1042</v>
      </c>
      <c r="G536" s="294">
        <v>2981</v>
      </c>
      <c r="H536" s="295" t="s">
        <v>45</v>
      </c>
      <c r="I536" s="294">
        <v>204500000</v>
      </c>
      <c r="P536" s="295" t="s">
        <v>576</v>
      </c>
      <c r="R536" s="500"/>
      <c r="S536" s="639" t="s">
        <v>1209</v>
      </c>
      <c r="T536" s="640"/>
      <c r="U536" s="640"/>
      <c r="V536" s="640"/>
      <c r="W536" s="640"/>
      <c r="X536" s="640"/>
      <c r="Y536" s="553" t="s">
        <v>357</v>
      </c>
      <c r="Z536" s="527">
        <f>IFERROR(INDEX(잔가map!$C$14:$AR$18,MATCH(차량DB!$Z$5,잔가map!$B$14:$B$18,0),MATCH(차량DB!Y536,잔가map!$C$13:$AR$13,0)),"")</f>
        <v>0.75</v>
      </c>
      <c r="AA536" s="527">
        <f>IFERROR(INDEX(잔가map!$C$14:$AR$18,MATCH(차량DB!$AA$5,잔가map!$B$14:$B$18,0),MATCH(차량DB!Y536,잔가map!$C$13:$AR$13,0)),"")</f>
        <v>0.67</v>
      </c>
      <c r="AB536" s="527">
        <f>IFERROR(INDEX(잔가map!$C$14:$AR$18,MATCH(차량DB!$AB$5,잔가map!$B$14:$B$18,0),MATCH(차량DB!Y536,잔가map!$C$13:$AR$13,0)),"")</f>
        <v>0.57999999999999996</v>
      </c>
      <c r="AC536" s="527">
        <f>IFERROR(INDEX(잔가map!$C$14:$AR$18,MATCH(차량DB!$AC$5,잔가map!$B$14:$B$18,0),MATCH(차량DB!Y536,잔가map!$C$13:$AR$13,0)),"")</f>
        <v>0.5</v>
      </c>
      <c r="AD536" s="527">
        <f>IFERROR(INDEX(잔가map!$C$14:$AR$18,MATCH(차량DB!$AD$5,잔가map!$B$14:$B$18,0),MATCH(차량DB!Y536,잔가map!$C$13:$AR$13,0)),"")</f>
        <v>0.44000000000000006</v>
      </c>
      <c r="AE536" s="643"/>
      <c r="AF536" s="644"/>
      <c r="AG536" s="644"/>
      <c r="AH536" s="644"/>
      <c r="AI536" s="644"/>
      <c r="AJ536" s="644"/>
      <c r="AK536" s="547"/>
      <c r="AL536" s="576"/>
    </row>
    <row r="537" spans="5:38" x14ac:dyDescent="0.3">
      <c r="E537" s="293" t="s">
        <v>422</v>
      </c>
      <c r="F537" s="605" t="s">
        <v>1038</v>
      </c>
      <c r="G537" s="294">
        <v>2981</v>
      </c>
      <c r="H537" s="295" t="s">
        <v>45</v>
      </c>
      <c r="I537" s="294">
        <v>167900000</v>
      </c>
      <c r="P537" s="295" t="s">
        <v>576</v>
      </c>
      <c r="R537" s="500"/>
      <c r="S537" s="639" t="s">
        <v>1218</v>
      </c>
      <c r="T537" s="640"/>
      <c r="U537" s="640"/>
      <c r="V537" s="640"/>
      <c r="W537" s="640"/>
      <c r="X537" s="640"/>
      <c r="Y537" s="553" t="s">
        <v>352</v>
      </c>
      <c r="Z537" s="527">
        <f>IFERROR(INDEX(잔가map!$C$14:$AR$18,MATCH(차량DB!$Z$5,잔가map!$B$14:$B$18,0),MATCH(차량DB!Y537,잔가map!$C$13:$AR$13,0)),"")</f>
        <v>0.77</v>
      </c>
      <c r="AA537" s="527">
        <f>IFERROR(INDEX(잔가map!$C$14:$AR$18,MATCH(차량DB!$AA$5,잔가map!$B$14:$B$18,0),MATCH(차량DB!Y537,잔가map!$C$13:$AR$13,0)),"")</f>
        <v>0.69000000000000006</v>
      </c>
      <c r="AB537" s="527">
        <f>IFERROR(INDEX(잔가map!$C$14:$AR$18,MATCH(차량DB!$AB$5,잔가map!$B$14:$B$18,0),MATCH(차량DB!Y537,잔가map!$C$13:$AR$13,0)),"")</f>
        <v>0.6</v>
      </c>
      <c r="AC537" s="527">
        <f>IFERROR(INDEX(잔가map!$C$14:$AR$18,MATCH(차량DB!$AC$5,잔가map!$B$14:$B$18,0),MATCH(차량DB!Y537,잔가map!$C$13:$AR$13,0)),"")</f>
        <v>0.52</v>
      </c>
      <c r="AD537" s="527">
        <f>IFERROR(INDEX(잔가map!$C$14:$AR$18,MATCH(차량DB!$AD$5,잔가map!$B$14:$B$18,0),MATCH(차량DB!Y537,잔가map!$C$13:$AR$13,0)),"")</f>
        <v>0.46000000000000008</v>
      </c>
      <c r="AE537" s="643"/>
      <c r="AF537" s="644"/>
      <c r="AG537" s="644"/>
      <c r="AH537" s="644"/>
      <c r="AI537" s="644"/>
      <c r="AJ537" s="644"/>
      <c r="AK537" s="547"/>
      <c r="AL537" s="576"/>
    </row>
    <row r="538" spans="5:38" x14ac:dyDescent="0.3">
      <c r="E538" s="293" t="s">
        <v>422</v>
      </c>
      <c r="F538" s="605" t="s">
        <v>1040</v>
      </c>
      <c r="G538" s="294">
        <v>2981</v>
      </c>
      <c r="H538" s="295" t="s">
        <v>45</v>
      </c>
      <c r="I538" s="294">
        <v>185300000</v>
      </c>
      <c r="P538" s="295" t="s">
        <v>576</v>
      </c>
      <c r="R538" s="500"/>
      <c r="S538" s="639" t="s">
        <v>1218</v>
      </c>
      <c r="T538" s="640"/>
      <c r="U538" s="640"/>
      <c r="V538" s="640"/>
      <c r="W538" s="640"/>
      <c r="X538" s="640"/>
      <c r="Y538" s="553" t="s">
        <v>352</v>
      </c>
      <c r="Z538" s="527">
        <f>IFERROR(INDEX(잔가map!$C$14:$AR$18,MATCH(차량DB!$Z$5,잔가map!$B$14:$B$18,0),MATCH(차량DB!Y538,잔가map!$C$13:$AR$13,0)),"")</f>
        <v>0.77</v>
      </c>
      <c r="AA538" s="527">
        <f>IFERROR(INDEX(잔가map!$C$14:$AR$18,MATCH(차량DB!$AA$5,잔가map!$B$14:$B$18,0),MATCH(차량DB!Y538,잔가map!$C$13:$AR$13,0)),"")</f>
        <v>0.69000000000000006</v>
      </c>
      <c r="AB538" s="527">
        <f>IFERROR(INDEX(잔가map!$C$14:$AR$18,MATCH(차량DB!$AB$5,잔가map!$B$14:$B$18,0),MATCH(차량DB!Y538,잔가map!$C$13:$AR$13,0)),"")</f>
        <v>0.6</v>
      </c>
      <c r="AC538" s="527">
        <f>IFERROR(INDEX(잔가map!$C$14:$AR$18,MATCH(차량DB!$AC$5,잔가map!$B$14:$B$18,0),MATCH(차량DB!Y538,잔가map!$C$13:$AR$13,0)),"")</f>
        <v>0.52</v>
      </c>
      <c r="AD538" s="527">
        <f>IFERROR(INDEX(잔가map!$C$14:$AR$18,MATCH(차량DB!$AD$5,잔가map!$B$14:$B$18,0),MATCH(차량DB!Y538,잔가map!$C$13:$AR$13,0)),"")</f>
        <v>0.46000000000000008</v>
      </c>
      <c r="AE538" s="643"/>
      <c r="AF538" s="644"/>
      <c r="AG538" s="644"/>
      <c r="AH538" s="644"/>
      <c r="AI538" s="644"/>
      <c r="AJ538" s="644"/>
      <c r="AK538" s="547"/>
      <c r="AL538" s="576"/>
    </row>
    <row r="539" spans="5:38" x14ac:dyDescent="0.3">
      <c r="E539" s="293" t="s">
        <v>422</v>
      </c>
      <c r="F539" s="605" t="s">
        <v>1039</v>
      </c>
      <c r="G539" s="294">
        <v>2981</v>
      </c>
      <c r="H539" s="295" t="s">
        <v>45</v>
      </c>
      <c r="I539" s="294">
        <v>213700000</v>
      </c>
      <c r="P539" s="295" t="s">
        <v>576</v>
      </c>
      <c r="R539" s="500"/>
      <c r="S539" s="639" t="s">
        <v>1211</v>
      </c>
      <c r="T539" s="640"/>
      <c r="U539" s="640"/>
      <c r="V539" s="640"/>
      <c r="W539" s="640"/>
      <c r="X539" s="640"/>
      <c r="Y539" s="553" t="s">
        <v>352</v>
      </c>
      <c r="Z539" s="527">
        <f>IFERROR(INDEX(잔가map!$C$14:$AR$18,MATCH(차량DB!$Z$5,잔가map!$B$14:$B$18,0),MATCH(차량DB!Y539,잔가map!$C$13:$AR$13,0)),"")</f>
        <v>0.77</v>
      </c>
      <c r="AA539" s="527">
        <f>IFERROR(INDEX(잔가map!$C$14:$AR$18,MATCH(차량DB!$AA$5,잔가map!$B$14:$B$18,0),MATCH(차량DB!Y539,잔가map!$C$13:$AR$13,0)),"")</f>
        <v>0.69000000000000006</v>
      </c>
      <c r="AB539" s="527">
        <f>IFERROR(INDEX(잔가map!$C$14:$AR$18,MATCH(차량DB!$AB$5,잔가map!$B$14:$B$18,0),MATCH(차량DB!Y539,잔가map!$C$13:$AR$13,0)),"")</f>
        <v>0.6</v>
      </c>
      <c r="AC539" s="527">
        <f>IFERROR(INDEX(잔가map!$C$14:$AR$18,MATCH(차량DB!$AC$5,잔가map!$B$14:$B$18,0),MATCH(차량DB!Y539,잔가map!$C$13:$AR$13,0)),"")</f>
        <v>0.52</v>
      </c>
      <c r="AD539" s="527">
        <f>IFERROR(INDEX(잔가map!$C$14:$AR$18,MATCH(차량DB!$AD$5,잔가map!$B$14:$B$18,0),MATCH(차량DB!Y539,잔가map!$C$13:$AR$13,0)),"")</f>
        <v>0.46000000000000008</v>
      </c>
      <c r="AE539" s="643"/>
      <c r="AF539" s="644"/>
      <c r="AG539" s="644"/>
      <c r="AH539" s="644"/>
      <c r="AI539" s="644"/>
      <c r="AJ539" s="644"/>
      <c r="AK539" s="547"/>
      <c r="AL539" s="576"/>
    </row>
    <row r="540" spans="5:38" x14ac:dyDescent="0.3">
      <c r="E540" s="293" t="s">
        <v>422</v>
      </c>
      <c r="F540" s="605" t="s">
        <v>1043</v>
      </c>
      <c r="G540" s="294">
        <v>2981</v>
      </c>
      <c r="H540" s="295" t="s">
        <v>45</v>
      </c>
      <c r="I540" s="294">
        <v>176100000</v>
      </c>
      <c r="P540" s="295" t="s">
        <v>576</v>
      </c>
      <c r="R540" s="500"/>
      <c r="S540" s="639" t="s">
        <v>1212</v>
      </c>
      <c r="T540" s="640"/>
      <c r="U540" s="640"/>
      <c r="V540" s="640"/>
      <c r="W540" s="640"/>
      <c r="X540" s="640"/>
      <c r="Y540" s="553" t="s">
        <v>352</v>
      </c>
      <c r="Z540" s="527">
        <f>IFERROR(INDEX(잔가map!$C$14:$AR$18,MATCH(차량DB!$Z$5,잔가map!$B$14:$B$18,0),MATCH(차량DB!Y540,잔가map!$C$13:$AR$13,0)),"")</f>
        <v>0.77</v>
      </c>
      <c r="AA540" s="527">
        <f>IFERROR(INDEX(잔가map!$C$14:$AR$18,MATCH(차량DB!$AA$5,잔가map!$B$14:$B$18,0),MATCH(차량DB!Y540,잔가map!$C$13:$AR$13,0)),"")</f>
        <v>0.69000000000000006</v>
      </c>
      <c r="AB540" s="527">
        <f>IFERROR(INDEX(잔가map!$C$14:$AR$18,MATCH(차량DB!$AB$5,잔가map!$B$14:$B$18,0),MATCH(차량DB!Y540,잔가map!$C$13:$AR$13,0)),"")</f>
        <v>0.6</v>
      </c>
      <c r="AC540" s="527">
        <f>IFERROR(INDEX(잔가map!$C$14:$AR$18,MATCH(차량DB!$AC$5,잔가map!$B$14:$B$18,0),MATCH(차량DB!Y540,잔가map!$C$13:$AR$13,0)),"")</f>
        <v>0.52</v>
      </c>
      <c r="AD540" s="527">
        <f>IFERROR(INDEX(잔가map!$C$14:$AR$18,MATCH(차량DB!$AD$5,잔가map!$B$14:$B$18,0),MATCH(차량DB!Y540,잔가map!$C$13:$AR$13,0)),"")</f>
        <v>0.46000000000000008</v>
      </c>
      <c r="AE540" s="643"/>
      <c r="AF540" s="644"/>
      <c r="AG540" s="644"/>
      <c r="AH540" s="644"/>
      <c r="AI540" s="644"/>
      <c r="AJ540" s="644"/>
      <c r="AK540" s="547"/>
      <c r="AL540" s="576"/>
    </row>
    <row r="541" spans="5:38" x14ac:dyDescent="0.3">
      <c r="E541" s="293" t="s">
        <v>422</v>
      </c>
      <c r="F541" s="605" t="s">
        <v>519</v>
      </c>
      <c r="G541" s="294">
        <v>2981</v>
      </c>
      <c r="H541" s="295" t="s">
        <v>45</v>
      </c>
      <c r="I541" s="294">
        <v>183800000</v>
      </c>
      <c r="P541" s="295" t="s">
        <v>576</v>
      </c>
      <c r="R541" s="500">
        <v>0</v>
      </c>
      <c r="S541" s="639" t="s">
        <v>1210</v>
      </c>
      <c r="T541" s="640"/>
      <c r="U541" s="640"/>
      <c r="V541" s="640"/>
      <c r="W541" s="640"/>
      <c r="X541" s="640"/>
      <c r="Y541" s="553" t="s">
        <v>352</v>
      </c>
      <c r="Z541" s="527">
        <f>IFERROR(INDEX(잔가map!$C$14:$AR$18,MATCH(차량DB!$Z$5,잔가map!$B$14:$B$18,0),MATCH(차량DB!Y541,잔가map!$C$13:$AR$13,0)),"")</f>
        <v>0.77</v>
      </c>
      <c r="AA541" s="527">
        <f>IFERROR(INDEX(잔가map!$C$14:$AR$18,MATCH(차량DB!$AA$5,잔가map!$B$14:$B$18,0),MATCH(차량DB!Y541,잔가map!$C$13:$AR$13,0)),"")</f>
        <v>0.69000000000000006</v>
      </c>
      <c r="AB541" s="527">
        <f>IFERROR(INDEX(잔가map!$C$14:$AR$18,MATCH(차량DB!$AB$5,잔가map!$B$14:$B$18,0),MATCH(차량DB!Y541,잔가map!$C$13:$AR$13,0)),"")</f>
        <v>0.6</v>
      </c>
      <c r="AC541" s="527">
        <f>IFERROR(INDEX(잔가map!$C$14:$AR$18,MATCH(차량DB!$AC$5,잔가map!$B$14:$B$18,0),MATCH(차량DB!Y541,잔가map!$C$13:$AR$13,0)),"")</f>
        <v>0.52</v>
      </c>
      <c r="AD541" s="527">
        <f>IFERROR(INDEX(잔가map!$C$14:$AR$18,MATCH(차량DB!$AD$5,잔가map!$B$14:$B$18,0),MATCH(차량DB!Y541,잔가map!$C$13:$AR$13,0)),"")</f>
        <v>0.46000000000000008</v>
      </c>
      <c r="AE541" s="643"/>
      <c r="AF541" s="644"/>
      <c r="AG541" s="644"/>
      <c r="AH541" s="644"/>
      <c r="AI541" s="644"/>
      <c r="AJ541" s="644"/>
      <c r="AK541" s="547"/>
      <c r="AL541" s="576"/>
    </row>
    <row r="542" spans="5:38" x14ac:dyDescent="0.3">
      <c r="E542" s="293" t="s">
        <v>422</v>
      </c>
      <c r="F542" s="605" t="s">
        <v>520</v>
      </c>
      <c r="G542" s="294">
        <v>2981</v>
      </c>
      <c r="H542" s="295" t="s">
        <v>45</v>
      </c>
      <c r="I542" s="294">
        <v>201100000</v>
      </c>
      <c r="P542" s="295" t="s">
        <v>576</v>
      </c>
      <c r="R542" s="500">
        <v>0</v>
      </c>
      <c r="S542" s="639" t="s">
        <v>1209</v>
      </c>
      <c r="T542" s="640"/>
      <c r="U542" s="640"/>
      <c r="V542" s="640"/>
      <c r="W542" s="640"/>
      <c r="X542" s="640"/>
      <c r="Y542" s="553" t="s">
        <v>352</v>
      </c>
      <c r="Z542" s="527">
        <f>IFERROR(INDEX(잔가map!$C$14:$AR$18,MATCH(차량DB!$Z$5,잔가map!$B$14:$B$18,0),MATCH(차량DB!Y542,잔가map!$C$13:$AR$13,0)),"")</f>
        <v>0.77</v>
      </c>
      <c r="AA542" s="527">
        <f>IFERROR(INDEX(잔가map!$C$14:$AR$18,MATCH(차량DB!$AA$5,잔가map!$B$14:$B$18,0),MATCH(차량DB!Y542,잔가map!$C$13:$AR$13,0)),"")</f>
        <v>0.69000000000000006</v>
      </c>
      <c r="AB542" s="527">
        <f>IFERROR(INDEX(잔가map!$C$14:$AR$18,MATCH(차량DB!$AB$5,잔가map!$B$14:$B$18,0),MATCH(차량DB!Y542,잔가map!$C$13:$AR$13,0)),"")</f>
        <v>0.6</v>
      </c>
      <c r="AC542" s="527">
        <f>IFERROR(INDEX(잔가map!$C$14:$AR$18,MATCH(차량DB!$AC$5,잔가map!$B$14:$B$18,0),MATCH(차량DB!Y542,잔가map!$C$13:$AR$13,0)),"")</f>
        <v>0.52</v>
      </c>
      <c r="AD542" s="527">
        <f>IFERROR(INDEX(잔가map!$C$14:$AR$18,MATCH(차량DB!$AD$5,잔가map!$B$14:$B$18,0),MATCH(차량DB!Y542,잔가map!$C$13:$AR$13,0)),"")</f>
        <v>0.46000000000000008</v>
      </c>
      <c r="AE542" s="643"/>
      <c r="AF542" s="644"/>
      <c r="AG542" s="644"/>
      <c r="AH542" s="644"/>
      <c r="AI542" s="644"/>
      <c r="AJ542" s="644"/>
      <c r="AK542" s="547"/>
      <c r="AL542" s="576"/>
    </row>
    <row r="543" spans="5:38" x14ac:dyDescent="0.3">
      <c r="E543" s="293" t="s">
        <v>422</v>
      </c>
      <c r="F543" s="605" t="s">
        <v>521</v>
      </c>
      <c r="G543" s="294">
        <v>2981</v>
      </c>
      <c r="H543" s="295" t="s">
        <v>45</v>
      </c>
      <c r="I543" s="294">
        <v>229500000</v>
      </c>
      <c r="P543" s="295" t="s">
        <v>576</v>
      </c>
      <c r="R543" s="500">
        <v>0</v>
      </c>
      <c r="S543" s="639" t="s">
        <v>1209</v>
      </c>
      <c r="T543" s="640"/>
      <c r="U543" s="640"/>
      <c r="V543" s="640"/>
      <c r="W543" s="640"/>
      <c r="X543" s="640"/>
      <c r="Y543" s="553" t="s">
        <v>352</v>
      </c>
      <c r="Z543" s="527">
        <f>IFERROR(INDEX(잔가map!$C$14:$AR$18,MATCH(차량DB!$Z$5,잔가map!$B$14:$B$18,0),MATCH(차량DB!Y543,잔가map!$C$13:$AR$13,0)),"")</f>
        <v>0.77</v>
      </c>
      <c r="AA543" s="527">
        <f>IFERROR(INDEX(잔가map!$C$14:$AR$18,MATCH(차량DB!$AA$5,잔가map!$B$14:$B$18,0),MATCH(차량DB!Y543,잔가map!$C$13:$AR$13,0)),"")</f>
        <v>0.69000000000000006</v>
      </c>
      <c r="AB543" s="527">
        <f>IFERROR(INDEX(잔가map!$C$14:$AR$18,MATCH(차량DB!$AB$5,잔가map!$B$14:$B$18,0),MATCH(차량DB!Y543,잔가map!$C$13:$AR$13,0)),"")</f>
        <v>0.6</v>
      </c>
      <c r="AC543" s="527">
        <f>IFERROR(INDEX(잔가map!$C$14:$AR$18,MATCH(차량DB!$AC$5,잔가map!$B$14:$B$18,0),MATCH(차량DB!Y543,잔가map!$C$13:$AR$13,0)),"")</f>
        <v>0.52</v>
      </c>
      <c r="AD543" s="527">
        <f>IFERROR(INDEX(잔가map!$C$14:$AR$18,MATCH(차량DB!$AD$5,잔가map!$B$14:$B$18,0),MATCH(차량DB!Y543,잔가map!$C$13:$AR$13,0)),"")</f>
        <v>0.46000000000000008</v>
      </c>
      <c r="AE543" s="643"/>
      <c r="AF543" s="644"/>
      <c r="AG543" s="644"/>
      <c r="AH543" s="644"/>
      <c r="AI543" s="644"/>
      <c r="AJ543" s="644"/>
      <c r="AK543" s="547"/>
      <c r="AL543" s="576"/>
    </row>
    <row r="544" spans="5:38" x14ac:dyDescent="0.3">
      <c r="E544" s="293" t="s">
        <v>422</v>
      </c>
      <c r="F544" s="605" t="s">
        <v>522</v>
      </c>
      <c r="G544" s="294">
        <v>3745</v>
      </c>
      <c r="H544" s="295" t="s">
        <v>45</v>
      </c>
      <c r="I544" s="294">
        <v>306500000</v>
      </c>
      <c r="P544" s="295" t="s">
        <v>576</v>
      </c>
      <c r="R544" s="500">
        <v>0</v>
      </c>
      <c r="S544" s="639" t="s">
        <v>1209</v>
      </c>
      <c r="T544" s="640"/>
      <c r="U544" s="640"/>
      <c r="V544" s="640"/>
      <c r="W544" s="640"/>
      <c r="X544" s="640"/>
      <c r="Y544" s="553" t="s">
        <v>352</v>
      </c>
      <c r="Z544" s="527">
        <f>IFERROR(INDEX(잔가map!$C$14:$AR$18,MATCH(차량DB!$Z$5,잔가map!$B$14:$B$18,0),MATCH(차량DB!Y544,잔가map!$C$13:$AR$13,0)),"")</f>
        <v>0.77</v>
      </c>
      <c r="AA544" s="527">
        <f>IFERROR(INDEX(잔가map!$C$14:$AR$18,MATCH(차량DB!$AA$5,잔가map!$B$14:$B$18,0),MATCH(차량DB!Y544,잔가map!$C$13:$AR$13,0)),"")</f>
        <v>0.69000000000000006</v>
      </c>
      <c r="AB544" s="527">
        <f>IFERROR(INDEX(잔가map!$C$14:$AR$18,MATCH(차량DB!$AB$5,잔가map!$B$14:$B$18,0),MATCH(차량DB!Y544,잔가map!$C$13:$AR$13,0)),"")</f>
        <v>0.6</v>
      </c>
      <c r="AC544" s="527">
        <f>IFERROR(INDEX(잔가map!$C$14:$AR$18,MATCH(차량DB!$AC$5,잔가map!$B$14:$B$18,0),MATCH(차량DB!Y544,잔가map!$C$13:$AR$13,0)),"")</f>
        <v>0.52</v>
      </c>
      <c r="AD544" s="527">
        <f>IFERROR(INDEX(잔가map!$C$14:$AR$18,MATCH(차량DB!$AD$5,잔가map!$B$14:$B$18,0),MATCH(차량DB!Y544,잔가map!$C$13:$AR$13,0)),"")</f>
        <v>0.46000000000000008</v>
      </c>
      <c r="AE544" s="643"/>
      <c r="AF544" s="644"/>
      <c r="AG544" s="644"/>
      <c r="AH544" s="644"/>
      <c r="AI544" s="644"/>
      <c r="AJ544" s="644"/>
      <c r="AK544" s="547"/>
      <c r="AL544" s="576"/>
    </row>
    <row r="545" spans="5:38" x14ac:dyDescent="0.3">
      <c r="E545" s="293" t="s">
        <v>422</v>
      </c>
      <c r="F545" s="605" t="s">
        <v>1044</v>
      </c>
      <c r="G545" s="294">
        <v>3745</v>
      </c>
      <c r="H545" s="295" t="s">
        <v>45</v>
      </c>
      <c r="I545" s="294">
        <v>290900000</v>
      </c>
      <c r="P545" s="295" t="s">
        <v>576</v>
      </c>
      <c r="R545" s="500"/>
      <c r="S545" s="639" t="s">
        <v>1210</v>
      </c>
      <c r="T545" s="640"/>
      <c r="U545" s="640"/>
      <c r="V545" s="640"/>
      <c r="W545" s="640"/>
      <c r="X545" s="640"/>
      <c r="Y545" s="553" t="s">
        <v>352</v>
      </c>
      <c r="Z545" s="527">
        <f>IFERROR(INDEX(잔가map!$C$14:$AR$18,MATCH(차량DB!$Z$5,잔가map!$B$14:$B$18,0),MATCH(차량DB!Y545,잔가map!$C$13:$AR$13,0)),"")</f>
        <v>0.77</v>
      </c>
      <c r="AA545" s="527">
        <f>IFERROR(INDEX(잔가map!$C$14:$AR$18,MATCH(차량DB!$AA$5,잔가map!$B$14:$B$18,0),MATCH(차량DB!Y545,잔가map!$C$13:$AR$13,0)),"")</f>
        <v>0.69000000000000006</v>
      </c>
      <c r="AB545" s="527">
        <f>IFERROR(INDEX(잔가map!$C$14:$AR$18,MATCH(차량DB!$AB$5,잔가map!$B$14:$B$18,0),MATCH(차량DB!Y545,잔가map!$C$13:$AR$13,0)),"")</f>
        <v>0.6</v>
      </c>
      <c r="AC545" s="527">
        <f>IFERROR(INDEX(잔가map!$C$14:$AR$18,MATCH(차량DB!$AC$5,잔가map!$B$14:$B$18,0),MATCH(차량DB!Y545,잔가map!$C$13:$AR$13,0)),"")</f>
        <v>0.52</v>
      </c>
      <c r="AD545" s="527">
        <f>IFERROR(INDEX(잔가map!$C$14:$AR$18,MATCH(차량DB!$AD$5,잔가map!$B$14:$B$18,0),MATCH(차량DB!Y545,잔가map!$C$13:$AR$13,0)),"")</f>
        <v>0.46000000000000008</v>
      </c>
      <c r="AE545" s="643"/>
      <c r="AF545" s="644"/>
      <c r="AG545" s="644"/>
      <c r="AH545" s="644"/>
      <c r="AI545" s="644"/>
      <c r="AJ545" s="644"/>
      <c r="AK545" s="547"/>
      <c r="AL545" s="576"/>
    </row>
    <row r="546" spans="5:38" x14ac:dyDescent="0.3">
      <c r="E546" s="293" t="s">
        <v>422</v>
      </c>
      <c r="F546" s="605" t="s">
        <v>672</v>
      </c>
      <c r="G546" s="294">
        <v>3996</v>
      </c>
      <c r="H546" s="295" t="s">
        <v>45</v>
      </c>
      <c r="I546" s="294">
        <v>233400000</v>
      </c>
      <c r="P546" s="295" t="s">
        <v>576</v>
      </c>
      <c r="R546" s="500">
        <v>0</v>
      </c>
      <c r="S546" s="639" t="s">
        <v>1210</v>
      </c>
      <c r="T546" s="640"/>
      <c r="U546" s="640"/>
      <c r="V546" s="640"/>
      <c r="W546" s="640"/>
      <c r="X546" s="640"/>
      <c r="Y546" s="553" t="s">
        <v>352</v>
      </c>
      <c r="Z546" s="527">
        <f>IFERROR(INDEX(잔가map!$C$14:$AR$18,MATCH(차량DB!$Z$5,잔가map!$B$14:$B$18,0),MATCH(차량DB!Y546,잔가map!$C$13:$AR$13,0)),"")</f>
        <v>0.77</v>
      </c>
      <c r="AA546" s="527">
        <f>IFERROR(INDEX(잔가map!$C$14:$AR$18,MATCH(차량DB!$AA$5,잔가map!$B$14:$B$18,0),MATCH(차량DB!Y546,잔가map!$C$13:$AR$13,0)),"")</f>
        <v>0.69000000000000006</v>
      </c>
      <c r="AB546" s="527">
        <f>IFERROR(INDEX(잔가map!$C$14:$AR$18,MATCH(차량DB!$AB$5,잔가map!$B$14:$B$18,0),MATCH(차량DB!Y546,잔가map!$C$13:$AR$13,0)),"")</f>
        <v>0.6</v>
      </c>
      <c r="AC546" s="527">
        <f>IFERROR(INDEX(잔가map!$C$14:$AR$18,MATCH(차량DB!$AC$5,잔가map!$B$14:$B$18,0),MATCH(차량DB!Y546,잔가map!$C$13:$AR$13,0)),"")</f>
        <v>0.52</v>
      </c>
      <c r="AD546" s="527">
        <f>IFERROR(INDEX(잔가map!$C$14:$AR$18,MATCH(차량DB!$AD$5,잔가map!$B$14:$B$18,0),MATCH(차량DB!Y546,잔가map!$C$13:$AR$13,0)),"")</f>
        <v>0.46000000000000008</v>
      </c>
      <c r="AE546" s="643"/>
      <c r="AF546" s="644"/>
      <c r="AG546" s="644"/>
      <c r="AH546" s="644"/>
      <c r="AI546" s="644"/>
      <c r="AJ546" s="644"/>
      <c r="AK546" s="547"/>
      <c r="AL546" s="576"/>
    </row>
    <row r="547" spans="5:38" x14ac:dyDescent="0.3">
      <c r="E547" s="293" t="s">
        <v>422</v>
      </c>
      <c r="F547" s="605" t="s">
        <v>523</v>
      </c>
      <c r="G547" s="294">
        <v>1988</v>
      </c>
      <c r="H547" s="295" t="s">
        <v>45</v>
      </c>
      <c r="I547" s="294">
        <v>96300000</v>
      </c>
      <c r="P547" s="295" t="s">
        <v>576</v>
      </c>
      <c r="R547" s="500">
        <v>0</v>
      </c>
      <c r="S547" s="639" t="s">
        <v>1209</v>
      </c>
      <c r="T547" s="640"/>
      <c r="U547" s="640"/>
      <c r="V547" s="640"/>
      <c r="W547" s="640"/>
      <c r="X547" s="640"/>
      <c r="Y547" s="553" t="s">
        <v>352</v>
      </c>
      <c r="Z547" s="527">
        <f>IFERROR(INDEX(잔가map!$C$14:$AR$18,MATCH(차량DB!$Z$5,잔가map!$B$14:$B$18,0),MATCH(차량DB!Y547,잔가map!$C$13:$AR$13,0)),"")</f>
        <v>0.77</v>
      </c>
      <c r="AA547" s="527">
        <f>IFERROR(INDEX(잔가map!$C$14:$AR$18,MATCH(차량DB!$AA$5,잔가map!$B$14:$B$18,0),MATCH(차량DB!Y547,잔가map!$C$13:$AR$13,0)),"")</f>
        <v>0.69000000000000006</v>
      </c>
      <c r="AB547" s="527">
        <f>IFERROR(INDEX(잔가map!$C$14:$AR$18,MATCH(차량DB!$AB$5,잔가map!$B$14:$B$18,0),MATCH(차량DB!Y547,잔가map!$C$13:$AR$13,0)),"")</f>
        <v>0.6</v>
      </c>
      <c r="AC547" s="527">
        <f>IFERROR(INDEX(잔가map!$C$14:$AR$18,MATCH(차량DB!$AC$5,잔가map!$B$14:$B$18,0),MATCH(차량DB!Y547,잔가map!$C$13:$AR$13,0)),"")</f>
        <v>0.52</v>
      </c>
      <c r="AD547" s="527">
        <f>IFERROR(INDEX(잔가map!$C$14:$AR$18,MATCH(차량DB!$AD$5,잔가map!$B$14:$B$18,0),MATCH(차량DB!Y547,잔가map!$C$13:$AR$13,0)),"")</f>
        <v>0.46000000000000008</v>
      </c>
      <c r="AE547" s="643"/>
      <c r="AF547" s="644"/>
      <c r="AG547" s="644"/>
      <c r="AH547" s="644"/>
      <c r="AI547" s="644"/>
      <c r="AJ547" s="644"/>
      <c r="AK547" s="547"/>
      <c r="AL547" s="576"/>
    </row>
    <row r="548" spans="5:38" x14ac:dyDescent="0.3">
      <c r="E548" s="293" t="s">
        <v>422</v>
      </c>
      <c r="F548" s="605" t="s">
        <v>524</v>
      </c>
      <c r="G548" s="294">
        <v>2497</v>
      </c>
      <c r="H548" s="295" t="s">
        <v>45</v>
      </c>
      <c r="I548" s="294">
        <v>108200000</v>
      </c>
      <c r="P548" s="295" t="s">
        <v>576</v>
      </c>
      <c r="R548" s="500">
        <v>0</v>
      </c>
      <c r="S548" s="639" t="s">
        <v>1209</v>
      </c>
      <c r="T548" s="640"/>
      <c r="U548" s="640"/>
      <c r="V548" s="640"/>
      <c r="W548" s="640"/>
      <c r="X548" s="640"/>
      <c r="Y548" s="553" t="s">
        <v>352</v>
      </c>
      <c r="Z548" s="527">
        <f>IFERROR(INDEX(잔가map!$C$14:$AR$18,MATCH(차량DB!$Z$5,잔가map!$B$14:$B$18,0),MATCH(차량DB!Y548,잔가map!$C$13:$AR$13,0)),"")</f>
        <v>0.77</v>
      </c>
      <c r="AA548" s="527">
        <f>IFERROR(INDEX(잔가map!$C$14:$AR$18,MATCH(차량DB!$AA$5,잔가map!$B$14:$B$18,0),MATCH(차량DB!Y548,잔가map!$C$13:$AR$13,0)),"")</f>
        <v>0.69000000000000006</v>
      </c>
      <c r="AB548" s="527">
        <f>IFERROR(INDEX(잔가map!$C$14:$AR$18,MATCH(차량DB!$AB$5,잔가map!$B$14:$B$18,0),MATCH(차량DB!Y548,잔가map!$C$13:$AR$13,0)),"")</f>
        <v>0.6</v>
      </c>
      <c r="AC548" s="527">
        <f>IFERROR(INDEX(잔가map!$C$14:$AR$18,MATCH(차량DB!$AC$5,잔가map!$B$14:$B$18,0),MATCH(차량DB!Y548,잔가map!$C$13:$AR$13,0)),"")</f>
        <v>0.52</v>
      </c>
      <c r="AD548" s="527">
        <f>IFERROR(INDEX(잔가map!$C$14:$AR$18,MATCH(차량DB!$AD$5,잔가map!$B$14:$B$18,0),MATCH(차량DB!Y548,잔가map!$C$13:$AR$13,0)),"")</f>
        <v>0.46000000000000008</v>
      </c>
      <c r="AE548" s="643"/>
      <c r="AF548" s="644"/>
      <c r="AG548" s="644"/>
      <c r="AH548" s="644"/>
      <c r="AI548" s="644"/>
      <c r="AJ548" s="644"/>
      <c r="AK548" s="547"/>
      <c r="AL548" s="576"/>
    </row>
    <row r="549" spans="5:38" x14ac:dyDescent="0.3">
      <c r="E549" s="293" t="s">
        <v>422</v>
      </c>
      <c r="F549" s="605" t="s">
        <v>525</v>
      </c>
      <c r="G549" s="294">
        <v>3995</v>
      </c>
      <c r="H549" s="295" t="s">
        <v>45</v>
      </c>
      <c r="I549" s="294">
        <v>128200000</v>
      </c>
      <c r="P549" s="295" t="s">
        <v>576</v>
      </c>
      <c r="R549" s="500">
        <v>0</v>
      </c>
      <c r="S549" s="639" t="s">
        <v>1215</v>
      </c>
      <c r="T549" s="640"/>
      <c r="U549" s="640"/>
      <c r="V549" s="640"/>
      <c r="W549" s="640"/>
      <c r="X549" s="640"/>
      <c r="Y549" s="553" t="s">
        <v>352</v>
      </c>
      <c r="Z549" s="527">
        <f>IFERROR(INDEX(잔가map!$C$14:$AR$18,MATCH(차량DB!$Z$5,잔가map!$B$14:$B$18,0),MATCH(차량DB!Y549,잔가map!$C$13:$AR$13,0)),"")</f>
        <v>0.77</v>
      </c>
      <c r="AA549" s="527">
        <f>IFERROR(INDEX(잔가map!$C$14:$AR$18,MATCH(차량DB!$AA$5,잔가map!$B$14:$B$18,0),MATCH(차량DB!Y549,잔가map!$C$13:$AR$13,0)),"")</f>
        <v>0.69000000000000006</v>
      </c>
      <c r="AB549" s="527">
        <f>IFERROR(INDEX(잔가map!$C$14:$AR$18,MATCH(차량DB!$AB$5,잔가map!$B$14:$B$18,0),MATCH(차량DB!Y549,잔가map!$C$13:$AR$13,0)),"")</f>
        <v>0.6</v>
      </c>
      <c r="AC549" s="527">
        <f>IFERROR(INDEX(잔가map!$C$14:$AR$18,MATCH(차량DB!$AC$5,잔가map!$B$14:$B$18,0),MATCH(차량DB!Y549,잔가map!$C$13:$AR$13,0)),"")</f>
        <v>0.52</v>
      </c>
      <c r="AD549" s="527">
        <f>IFERROR(INDEX(잔가map!$C$14:$AR$18,MATCH(차량DB!$AD$5,잔가map!$B$14:$B$18,0),MATCH(차량DB!Y549,잔가map!$C$13:$AR$13,0)),"")</f>
        <v>0.46000000000000008</v>
      </c>
      <c r="AE549" s="643"/>
      <c r="AF549" s="644"/>
      <c r="AG549" s="644"/>
      <c r="AH549" s="644"/>
      <c r="AI549" s="644"/>
      <c r="AJ549" s="644"/>
      <c r="AK549" s="547"/>
      <c r="AL549" s="576"/>
    </row>
    <row r="550" spans="5:38" x14ac:dyDescent="0.3">
      <c r="E550" s="293" t="s">
        <v>422</v>
      </c>
      <c r="F550" s="604" t="s">
        <v>526</v>
      </c>
      <c r="G550" s="294">
        <v>1988</v>
      </c>
      <c r="H550" s="295" t="s">
        <v>45</v>
      </c>
      <c r="I550" s="294">
        <v>91600000</v>
      </c>
      <c r="P550" s="295" t="s">
        <v>576</v>
      </c>
      <c r="R550" s="500">
        <v>0</v>
      </c>
      <c r="S550" s="639" t="s">
        <v>1229</v>
      </c>
      <c r="T550" s="640"/>
      <c r="U550" s="640"/>
      <c r="V550" s="640"/>
      <c r="W550" s="640"/>
      <c r="X550" s="640"/>
      <c r="Y550" s="553" t="s">
        <v>357</v>
      </c>
      <c r="Z550" s="527">
        <f>IFERROR(INDEX(잔가map!$C$14:$AR$18,MATCH(차량DB!$Z$5,잔가map!$B$14:$B$18,0),MATCH(차량DB!Y550,잔가map!$C$13:$AR$13,0)),"")</f>
        <v>0.75</v>
      </c>
      <c r="AA550" s="527">
        <f>IFERROR(INDEX(잔가map!$C$14:$AR$18,MATCH(차량DB!$AA$5,잔가map!$B$14:$B$18,0),MATCH(차량DB!Y550,잔가map!$C$13:$AR$13,0)),"")</f>
        <v>0.67</v>
      </c>
      <c r="AB550" s="527">
        <f>IFERROR(INDEX(잔가map!$C$14:$AR$18,MATCH(차량DB!$AB$5,잔가map!$B$14:$B$18,0),MATCH(차량DB!Y550,잔가map!$C$13:$AR$13,0)),"")</f>
        <v>0.57999999999999996</v>
      </c>
      <c r="AC550" s="527">
        <f>IFERROR(INDEX(잔가map!$C$14:$AR$18,MATCH(차량DB!$AC$5,잔가map!$B$14:$B$18,0),MATCH(차량DB!Y550,잔가map!$C$13:$AR$13,0)),"")</f>
        <v>0.5</v>
      </c>
      <c r="AD550" s="527">
        <f>IFERROR(INDEX(잔가map!$C$14:$AR$18,MATCH(차량DB!$AD$5,잔가map!$B$14:$B$18,0),MATCH(차량DB!Y550,잔가map!$C$13:$AR$13,0)),"")</f>
        <v>0.44000000000000006</v>
      </c>
      <c r="AE550" s="643"/>
      <c r="AF550" s="644"/>
      <c r="AG550" s="644"/>
      <c r="AH550" s="644"/>
      <c r="AI550" s="644"/>
      <c r="AJ550" s="644"/>
      <c r="AK550" s="547"/>
      <c r="AL550" s="576"/>
    </row>
    <row r="551" spans="5:38" x14ac:dyDescent="0.3">
      <c r="E551" s="293" t="s">
        <v>422</v>
      </c>
      <c r="F551" s="604" t="s">
        <v>527</v>
      </c>
      <c r="G551" s="294">
        <v>2497</v>
      </c>
      <c r="H551" s="295" t="s">
        <v>45</v>
      </c>
      <c r="I551" s="294">
        <v>103500000</v>
      </c>
      <c r="P551" s="295" t="s">
        <v>576</v>
      </c>
      <c r="R551" s="500">
        <v>0</v>
      </c>
      <c r="S551" s="639" t="s">
        <v>1229</v>
      </c>
      <c r="T551" s="640"/>
      <c r="U551" s="640"/>
      <c r="V551" s="640"/>
      <c r="W551" s="640"/>
      <c r="X551" s="640"/>
      <c r="Y551" s="553" t="s">
        <v>357</v>
      </c>
      <c r="Z551" s="527">
        <f>IFERROR(INDEX(잔가map!$C$14:$AR$18,MATCH(차량DB!$Z$5,잔가map!$B$14:$B$18,0),MATCH(차량DB!Y551,잔가map!$C$13:$AR$13,0)),"")</f>
        <v>0.75</v>
      </c>
      <c r="AA551" s="527">
        <f>IFERROR(INDEX(잔가map!$C$14:$AR$18,MATCH(차량DB!$AA$5,잔가map!$B$14:$B$18,0),MATCH(차량DB!Y551,잔가map!$C$13:$AR$13,0)),"")</f>
        <v>0.67</v>
      </c>
      <c r="AB551" s="527">
        <f>IFERROR(INDEX(잔가map!$C$14:$AR$18,MATCH(차량DB!$AB$5,잔가map!$B$14:$B$18,0),MATCH(차량DB!Y551,잔가map!$C$13:$AR$13,0)),"")</f>
        <v>0.57999999999999996</v>
      </c>
      <c r="AC551" s="527">
        <f>IFERROR(INDEX(잔가map!$C$14:$AR$18,MATCH(차량DB!$AC$5,잔가map!$B$14:$B$18,0),MATCH(차량DB!Y551,잔가map!$C$13:$AR$13,0)),"")</f>
        <v>0.5</v>
      </c>
      <c r="AD551" s="527">
        <f>IFERROR(INDEX(잔가map!$C$14:$AR$18,MATCH(차량DB!$AD$5,잔가map!$B$14:$B$18,0),MATCH(차량DB!Y551,잔가map!$C$13:$AR$13,0)),"")</f>
        <v>0.44000000000000006</v>
      </c>
      <c r="AE551" s="643"/>
      <c r="AF551" s="644"/>
      <c r="AG551" s="644"/>
      <c r="AH551" s="644"/>
      <c r="AI551" s="644"/>
      <c r="AJ551" s="644"/>
      <c r="AK551" s="547"/>
      <c r="AL551" s="576"/>
    </row>
    <row r="552" spans="5:38" x14ac:dyDescent="0.3">
      <c r="E552" s="293" t="s">
        <v>422</v>
      </c>
      <c r="F552" s="604" t="s">
        <v>528</v>
      </c>
      <c r="G552" s="294">
        <v>3995</v>
      </c>
      <c r="H552" s="295" t="s">
        <v>45</v>
      </c>
      <c r="I552" s="294">
        <v>123400000</v>
      </c>
      <c r="P552" s="295" t="s">
        <v>576</v>
      </c>
      <c r="R552" s="500">
        <v>0</v>
      </c>
      <c r="S552" s="639" t="s">
        <v>1234</v>
      </c>
      <c r="T552" s="640"/>
      <c r="U552" s="640"/>
      <c r="V552" s="640"/>
      <c r="W552" s="640"/>
      <c r="X552" s="640"/>
      <c r="Y552" s="553" t="s">
        <v>357</v>
      </c>
      <c r="Z552" s="527">
        <f>IFERROR(INDEX(잔가map!$C$14:$AR$18,MATCH(차량DB!$Z$5,잔가map!$B$14:$B$18,0),MATCH(차량DB!Y552,잔가map!$C$13:$AR$13,0)),"")</f>
        <v>0.75</v>
      </c>
      <c r="AA552" s="527">
        <f>IFERROR(INDEX(잔가map!$C$14:$AR$18,MATCH(차량DB!$AA$5,잔가map!$B$14:$B$18,0),MATCH(차량DB!Y552,잔가map!$C$13:$AR$13,0)),"")</f>
        <v>0.67</v>
      </c>
      <c r="AB552" s="527">
        <f>IFERROR(INDEX(잔가map!$C$14:$AR$18,MATCH(차량DB!$AB$5,잔가map!$B$14:$B$18,0),MATCH(차량DB!Y552,잔가map!$C$13:$AR$13,0)),"")</f>
        <v>0.57999999999999996</v>
      </c>
      <c r="AC552" s="527">
        <f>IFERROR(INDEX(잔가map!$C$14:$AR$18,MATCH(차량DB!$AC$5,잔가map!$B$14:$B$18,0),MATCH(차량DB!Y552,잔가map!$C$13:$AR$13,0)),"")</f>
        <v>0.5</v>
      </c>
      <c r="AD552" s="527">
        <f>IFERROR(INDEX(잔가map!$C$14:$AR$18,MATCH(차량DB!$AD$5,잔가map!$B$14:$B$18,0),MATCH(차량DB!Y552,잔가map!$C$13:$AR$13,0)),"")</f>
        <v>0.44000000000000006</v>
      </c>
      <c r="AE552" s="643"/>
      <c r="AF552" s="644"/>
      <c r="AG552" s="644"/>
      <c r="AH552" s="644"/>
      <c r="AI552" s="644"/>
      <c r="AJ552" s="644"/>
      <c r="AK552" s="547"/>
      <c r="AL552" s="576"/>
    </row>
    <row r="553" spans="5:38" x14ac:dyDescent="0.3">
      <c r="E553" s="293" t="s">
        <v>422</v>
      </c>
      <c r="F553" s="604" t="s">
        <v>1037</v>
      </c>
      <c r="G553" s="294">
        <v>3995</v>
      </c>
      <c r="H553" s="295" t="s">
        <v>45</v>
      </c>
      <c r="I553" s="294">
        <v>138700000</v>
      </c>
      <c r="P553" s="295" t="s">
        <v>576</v>
      </c>
      <c r="R553" s="500">
        <v>0</v>
      </c>
      <c r="S553" s="639" t="s">
        <v>1229</v>
      </c>
      <c r="T553" s="640"/>
      <c r="U553" s="640"/>
      <c r="V553" s="640"/>
      <c r="W553" s="640"/>
      <c r="X553" s="640"/>
      <c r="Y553" s="553" t="s">
        <v>357</v>
      </c>
      <c r="Z553" s="527">
        <f>IFERROR(INDEX(잔가map!$C$14:$AR$18,MATCH(차량DB!$Z$5,잔가map!$B$14:$B$18,0),MATCH(차량DB!Y553,잔가map!$C$13:$AR$13,0)),"")</f>
        <v>0.75</v>
      </c>
      <c r="AA553" s="527">
        <f>IFERROR(INDEX(잔가map!$C$14:$AR$18,MATCH(차량DB!$AA$5,잔가map!$B$14:$B$18,0),MATCH(차량DB!Y553,잔가map!$C$13:$AR$13,0)),"")</f>
        <v>0.67</v>
      </c>
      <c r="AB553" s="527">
        <f>IFERROR(INDEX(잔가map!$C$14:$AR$18,MATCH(차량DB!$AB$5,잔가map!$B$14:$B$18,0),MATCH(차량DB!Y553,잔가map!$C$13:$AR$13,0)),"")</f>
        <v>0.57999999999999996</v>
      </c>
      <c r="AC553" s="527">
        <f>IFERROR(INDEX(잔가map!$C$14:$AR$18,MATCH(차량DB!$AC$5,잔가map!$B$14:$B$18,0),MATCH(차량DB!Y553,잔가map!$C$13:$AR$13,0)),"")</f>
        <v>0.5</v>
      </c>
      <c r="AD553" s="527">
        <f>IFERROR(INDEX(잔가map!$C$14:$AR$18,MATCH(차량DB!$AD$5,잔가map!$B$14:$B$18,0),MATCH(차량DB!Y553,잔가map!$C$13:$AR$13,0)),"")</f>
        <v>0.44000000000000006</v>
      </c>
      <c r="AE553" s="643"/>
      <c r="AF553" s="644"/>
      <c r="AG553" s="644"/>
      <c r="AH553" s="644"/>
      <c r="AI553" s="644"/>
      <c r="AJ553" s="644"/>
      <c r="AK553" s="547"/>
      <c r="AL553" s="576"/>
    </row>
    <row r="554" spans="5:38" x14ac:dyDescent="0.3">
      <c r="E554" s="293" t="s">
        <v>422</v>
      </c>
      <c r="F554" s="605" t="s">
        <v>1045</v>
      </c>
      <c r="G554" s="294">
        <v>2995</v>
      </c>
      <c r="H554" s="295" t="s">
        <v>58</v>
      </c>
      <c r="I554" s="294">
        <v>139700000</v>
      </c>
      <c r="P554" s="295" t="s">
        <v>576</v>
      </c>
      <c r="R554" s="500">
        <v>0</v>
      </c>
      <c r="S554" s="639" t="s">
        <v>1212</v>
      </c>
      <c r="T554" s="640"/>
      <c r="U554" s="640"/>
      <c r="V554" s="640"/>
      <c r="W554" s="640"/>
      <c r="X554" s="640"/>
      <c r="Y554" s="553" t="s">
        <v>1331</v>
      </c>
      <c r="Z554" s="527">
        <f>IFERROR(INDEX(잔가map!$C$14:$AR$18,MATCH(차량DB!$Z$5,잔가map!$B$14:$B$18,0),MATCH(차량DB!Y554,잔가map!$C$13:$AR$13,0)),"")</f>
        <v>0.80500000000000005</v>
      </c>
      <c r="AA554" s="527">
        <f>IFERROR(INDEX(잔가map!$C$14:$AR$18,MATCH(차량DB!$AA$5,잔가map!$B$14:$B$18,0),MATCH(차량DB!Y554,잔가map!$C$13:$AR$13,0)),"")</f>
        <v>0.72499999999999998</v>
      </c>
      <c r="AB554" s="527">
        <f>IFERROR(INDEX(잔가map!$C$14:$AR$18,MATCH(차량DB!$AB$5,잔가map!$B$14:$B$18,0),MATCH(차량DB!Y554,잔가map!$C$13:$AR$13,0)),"")</f>
        <v>0.63500000000000001</v>
      </c>
      <c r="AC554" s="527">
        <f>IFERROR(INDEX(잔가map!$C$14:$AR$18,MATCH(차량DB!$AC$5,잔가map!$B$14:$B$18,0),MATCH(차량DB!Y554,잔가map!$C$13:$AR$13,0)),"")</f>
        <v>0.55500000000000005</v>
      </c>
      <c r="AD554" s="527">
        <f>IFERROR(INDEX(잔가map!$C$14:$AR$18,MATCH(차량DB!$AD$5,잔가map!$B$14:$B$18,0),MATCH(차량DB!Y554,잔가map!$C$13:$AR$13,0)),"")</f>
        <v>0.495</v>
      </c>
      <c r="AE554" s="643"/>
      <c r="AF554" s="644"/>
      <c r="AG554" s="644"/>
      <c r="AH554" s="644"/>
      <c r="AI554" s="644"/>
      <c r="AJ554" s="644"/>
      <c r="AK554" s="547"/>
      <c r="AL554" s="576"/>
    </row>
    <row r="555" spans="5:38" x14ac:dyDescent="0.3">
      <c r="E555" s="293" t="s">
        <v>422</v>
      </c>
      <c r="F555" s="605" t="s">
        <v>318</v>
      </c>
      <c r="G555" s="294">
        <v>3996</v>
      </c>
      <c r="H555" s="295" t="s">
        <v>58</v>
      </c>
      <c r="I555" s="294">
        <v>180200000</v>
      </c>
      <c r="P555" s="295" t="s">
        <v>576</v>
      </c>
      <c r="R555" s="500">
        <v>0</v>
      </c>
      <c r="S555" s="639" t="s">
        <v>1209</v>
      </c>
      <c r="T555" s="640"/>
      <c r="U555" s="640"/>
      <c r="V555" s="640"/>
      <c r="W555" s="640"/>
      <c r="X555" s="640"/>
      <c r="Y555" s="553" t="s">
        <v>357</v>
      </c>
      <c r="Z555" s="527">
        <f>IFERROR(INDEX(잔가map!$C$14:$AR$18,MATCH(차량DB!$Z$5,잔가map!$B$14:$B$18,0),MATCH(차량DB!Y555,잔가map!$C$13:$AR$13,0)),"")</f>
        <v>0.75</v>
      </c>
      <c r="AA555" s="527">
        <f>IFERROR(INDEX(잔가map!$C$14:$AR$18,MATCH(차량DB!$AA$5,잔가map!$B$14:$B$18,0),MATCH(차량DB!Y555,잔가map!$C$13:$AR$13,0)),"")</f>
        <v>0.67</v>
      </c>
      <c r="AB555" s="527">
        <f>IFERROR(INDEX(잔가map!$C$14:$AR$18,MATCH(차량DB!$AB$5,잔가map!$B$14:$B$18,0),MATCH(차량DB!Y555,잔가map!$C$13:$AR$13,0)),"")</f>
        <v>0.57999999999999996</v>
      </c>
      <c r="AC555" s="527">
        <f>IFERROR(INDEX(잔가map!$C$14:$AR$18,MATCH(차량DB!$AC$5,잔가map!$B$14:$B$18,0),MATCH(차량DB!Y555,잔가map!$C$13:$AR$13,0)),"")</f>
        <v>0.5</v>
      </c>
      <c r="AD555" s="527">
        <f>IFERROR(INDEX(잔가map!$C$14:$AR$18,MATCH(차량DB!$AD$5,잔가map!$B$14:$B$18,0),MATCH(차량DB!Y555,잔가map!$C$13:$AR$13,0)),"")</f>
        <v>0.44000000000000006</v>
      </c>
      <c r="AE555" s="643"/>
      <c r="AF555" s="644"/>
      <c r="AG555" s="644"/>
      <c r="AH555" s="644"/>
      <c r="AI555" s="644"/>
      <c r="AJ555" s="644"/>
      <c r="AK555" s="547"/>
      <c r="AL555" s="576"/>
    </row>
    <row r="556" spans="5:38" x14ac:dyDescent="0.3">
      <c r="E556" s="293" t="s">
        <v>422</v>
      </c>
      <c r="F556" s="605" t="s">
        <v>673</v>
      </c>
      <c r="G556" s="294">
        <v>3996</v>
      </c>
      <c r="H556" s="295" t="s">
        <v>58</v>
      </c>
      <c r="I556" s="294">
        <v>246800000</v>
      </c>
      <c r="P556" s="295" t="s">
        <v>576</v>
      </c>
      <c r="R556" s="500">
        <v>0</v>
      </c>
      <c r="S556" s="639" t="s">
        <v>1209</v>
      </c>
      <c r="T556" s="640"/>
      <c r="U556" s="640"/>
      <c r="V556" s="640"/>
      <c r="W556" s="640"/>
      <c r="X556" s="640"/>
      <c r="Y556" s="553" t="s">
        <v>357</v>
      </c>
      <c r="Z556" s="527">
        <f>IFERROR(INDEX(잔가map!$C$14:$AR$18,MATCH(차량DB!$Z$5,잔가map!$B$14:$B$18,0),MATCH(차량DB!Y556,잔가map!$C$13:$AR$13,0)),"")</f>
        <v>0.75</v>
      </c>
      <c r="AA556" s="527">
        <f>IFERROR(INDEX(잔가map!$C$14:$AR$18,MATCH(차량DB!$AA$5,잔가map!$B$14:$B$18,0),MATCH(차량DB!Y556,잔가map!$C$13:$AR$13,0)),"")</f>
        <v>0.67</v>
      </c>
      <c r="AB556" s="527">
        <f>IFERROR(INDEX(잔가map!$C$14:$AR$18,MATCH(차량DB!$AB$5,잔가map!$B$14:$B$18,0),MATCH(차량DB!Y556,잔가map!$C$13:$AR$13,0)),"")</f>
        <v>0.57999999999999996</v>
      </c>
      <c r="AC556" s="527">
        <f>IFERROR(INDEX(잔가map!$C$14:$AR$18,MATCH(차량DB!$AC$5,잔가map!$B$14:$B$18,0),MATCH(차량DB!Y556,잔가map!$C$13:$AR$13,0)),"")</f>
        <v>0.5</v>
      </c>
      <c r="AD556" s="527">
        <f>IFERROR(INDEX(잔가map!$C$14:$AR$18,MATCH(차량DB!$AD$5,잔가map!$B$14:$B$18,0),MATCH(차량DB!Y556,잔가map!$C$13:$AR$13,0)),"")</f>
        <v>0.44000000000000006</v>
      </c>
      <c r="AE556" s="643"/>
      <c r="AF556" s="644"/>
      <c r="AG556" s="644"/>
      <c r="AH556" s="644"/>
      <c r="AI556" s="644"/>
      <c r="AJ556" s="644"/>
      <c r="AK556" s="547"/>
      <c r="AL556" s="576"/>
    </row>
    <row r="557" spans="5:38" x14ac:dyDescent="0.3">
      <c r="E557" s="293" t="s">
        <v>422</v>
      </c>
      <c r="F557" s="605" t="s">
        <v>1048</v>
      </c>
      <c r="G557" s="294">
        <v>2995</v>
      </c>
      <c r="H557" s="295" t="s">
        <v>58</v>
      </c>
      <c r="I557" s="294">
        <v>145500000</v>
      </c>
      <c r="P557" s="295" t="s">
        <v>576</v>
      </c>
      <c r="R557" s="500">
        <v>0</v>
      </c>
      <c r="S557" s="639" t="s">
        <v>1219</v>
      </c>
      <c r="T557" s="640"/>
      <c r="U557" s="640"/>
      <c r="V557" s="640"/>
      <c r="W557" s="640"/>
      <c r="X557" s="640"/>
      <c r="Y557" s="553" t="s">
        <v>353</v>
      </c>
      <c r="Z557" s="527">
        <f>IFERROR(INDEX(잔가map!$C$14:$AR$18,MATCH(차량DB!$Z$5,잔가map!$B$14:$B$18,0),MATCH(차량DB!Y557,잔가map!$C$13:$AR$13,0)),"")</f>
        <v>0.78</v>
      </c>
      <c r="AA557" s="527">
        <f>IFERROR(INDEX(잔가map!$C$14:$AR$18,MATCH(차량DB!$AA$5,잔가map!$B$14:$B$18,0),MATCH(차량DB!Y557,잔가map!$C$13:$AR$13,0)),"")</f>
        <v>0.70000000000000007</v>
      </c>
      <c r="AB557" s="527">
        <f>IFERROR(INDEX(잔가map!$C$14:$AR$18,MATCH(차량DB!$AB$5,잔가map!$B$14:$B$18,0),MATCH(차량DB!Y557,잔가map!$C$13:$AR$13,0)),"")</f>
        <v>0.61</v>
      </c>
      <c r="AC557" s="527">
        <f>IFERROR(INDEX(잔가map!$C$14:$AR$18,MATCH(차량DB!$AC$5,잔가map!$B$14:$B$18,0),MATCH(차량DB!Y557,잔가map!$C$13:$AR$13,0)),"")</f>
        <v>0.53</v>
      </c>
      <c r="AD557" s="527">
        <f>IFERROR(INDEX(잔가map!$C$14:$AR$18,MATCH(차량DB!$AD$5,잔가map!$B$14:$B$18,0),MATCH(차량DB!Y557,잔가map!$C$13:$AR$13,0)),"")</f>
        <v>0.47000000000000008</v>
      </c>
      <c r="AE557" s="643"/>
      <c r="AF557" s="644"/>
      <c r="AG557" s="644"/>
      <c r="AH557" s="644"/>
      <c r="AI557" s="644"/>
      <c r="AJ557" s="644"/>
      <c r="AK557" s="547"/>
      <c r="AL557" s="576"/>
    </row>
    <row r="558" spans="5:38" x14ac:dyDescent="0.3">
      <c r="E558" s="293" t="s">
        <v>422</v>
      </c>
      <c r="F558" s="605" t="s">
        <v>1046</v>
      </c>
      <c r="G558" s="294">
        <v>2995</v>
      </c>
      <c r="H558" s="295" t="s">
        <v>58</v>
      </c>
      <c r="I558" s="294">
        <v>142100000</v>
      </c>
      <c r="P558" s="295" t="s">
        <v>576</v>
      </c>
      <c r="R558" s="500">
        <v>0</v>
      </c>
      <c r="S558" s="639" t="s">
        <v>1209</v>
      </c>
      <c r="T558" s="640"/>
      <c r="U558" s="640"/>
      <c r="V558" s="640"/>
      <c r="W558" s="640"/>
      <c r="X558" s="640"/>
      <c r="Y558" s="553" t="s">
        <v>1331</v>
      </c>
      <c r="Z558" s="527">
        <f>IFERROR(INDEX(잔가map!$C$14:$AR$18,MATCH(차량DB!$Z$5,잔가map!$B$14:$B$18,0),MATCH(차량DB!Y558,잔가map!$C$13:$AR$13,0)),"")</f>
        <v>0.80500000000000005</v>
      </c>
      <c r="AA558" s="527">
        <f>IFERROR(INDEX(잔가map!$C$14:$AR$18,MATCH(차량DB!$AA$5,잔가map!$B$14:$B$18,0),MATCH(차량DB!Y558,잔가map!$C$13:$AR$13,0)),"")</f>
        <v>0.72499999999999998</v>
      </c>
      <c r="AB558" s="527">
        <f>IFERROR(INDEX(잔가map!$C$14:$AR$18,MATCH(차량DB!$AB$5,잔가map!$B$14:$B$18,0),MATCH(차량DB!Y558,잔가map!$C$13:$AR$13,0)),"")</f>
        <v>0.63500000000000001</v>
      </c>
      <c r="AC558" s="527">
        <f>IFERROR(INDEX(잔가map!$C$14:$AR$18,MATCH(차량DB!$AC$5,잔가map!$B$14:$B$18,0),MATCH(차량DB!Y558,잔가map!$C$13:$AR$13,0)),"")</f>
        <v>0.55500000000000005</v>
      </c>
      <c r="AD558" s="527">
        <f>IFERROR(INDEX(잔가map!$C$14:$AR$18,MATCH(차량DB!$AD$5,잔가map!$B$14:$B$18,0),MATCH(차량DB!Y558,잔가map!$C$13:$AR$13,0)),"")</f>
        <v>0.495</v>
      </c>
      <c r="AE558" s="643"/>
      <c r="AF558" s="644"/>
      <c r="AG558" s="644"/>
      <c r="AH558" s="644"/>
      <c r="AI558" s="644"/>
      <c r="AJ558" s="644"/>
      <c r="AK558" s="547"/>
      <c r="AL558" s="576"/>
    </row>
    <row r="559" spans="5:38" x14ac:dyDescent="0.3">
      <c r="E559" s="293" t="s">
        <v>422</v>
      </c>
      <c r="F559" s="605" t="s">
        <v>529</v>
      </c>
      <c r="G559" s="294">
        <v>3996</v>
      </c>
      <c r="H559" s="295" t="s">
        <v>58</v>
      </c>
      <c r="I559" s="294">
        <v>193400000</v>
      </c>
      <c r="P559" s="295" t="s">
        <v>576</v>
      </c>
      <c r="R559" s="500">
        <v>0</v>
      </c>
      <c r="S559" s="639" t="s">
        <v>1209</v>
      </c>
      <c r="T559" s="640"/>
      <c r="U559" s="640"/>
      <c r="V559" s="640"/>
      <c r="W559" s="640"/>
      <c r="X559" s="640"/>
      <c r="Y559" s="553" t="s">
        <v>357</v>
      </c>
      <c r="Z559" s="527">
        <f>IFERROR(INDEX(잔가map!$C$14:$AR$18,MATCH(차량DB!$Z$5,잔가map!$B$14:$B$18,0),MATCH(차량DB!Y559,잔가map!$C$13:$AR$13,0)),"")</f>
        <v>0.75</v>
      </c>
      <c r="AA559" s="527">
        <f>IFERROR(INDEX(잔가map!$C$14:$AR$18,MATCH(차량DB!$AA$5,잔가map!$B$14:$B$18,0),MATCH(차량DB!Y559,잔가map!$C$13:$AR$13,0)),"")</f>
        <v>0.67</v>
      </c>
      <c r="AB559" s="527">
        <f>IFERROR(INDEX(잔가map!$C$14:$AR$18,MATCH(차량DB!$AB$5,잔가map!$B$14:$B$18,0),MATCH(차량DB!Y559,잔가map!$C$13:$AR$13,0)),"")</f>
        <v>0.57999999999999996</v>
      </c>
      <c r="AC559" s="527">
        <f>IFERROR(INDEX(잔가map!$C$14:$AR$18,MATCH(차량DB!$AC$5,잔가map!$B$14:$B$18,0),MATCH(차량DB!Y559,잔가map!$C$13:$AR$13,0)),"")</f>
        <v>0.5</v>
      </c>
      <c r="AD559" s="527">
        <f>IFERROR(INDEX(잔가map!$C$14:$AR$18,MATCH(차량DB!$AD$5,잔가map!$B$14:$B$18,0),MATCH(차량DB!Y559,잔가map!$C$13:$AR$13,0)),"")</f>
        <v>0.44000000000000006</v>
      </c>
      <c r="AE559" s="643"/>
      <c r="AF559" s="644"/>
      <c r="AG559" s="644"/>
      <c r="AH559" s="644"/>
      <c r="AI559" s="644"/>
      <c r="AJ559" s="644"/>
      <c r="AK559" s="547"/>
      <c r="AL559" s="576"/>
    </row>
    <row r="560" spans="5:38" x14ac:dyDescent="0.3">
      <c r="E560" s="293" t="s">
        <v>422</v>
      </c>
      <c r="F560" s="605" t="s">
        <v>1047</v>
      </c>
      <c r="G560" s="294">
        <v>2995</v>
      </c>
      <c r="H560" s="295" t="s">
        <v>58</v>
      </c>
      <c r="I560" s="294">
        <v>148800000</v>
      </c>
      <c r="P560" s="295" t="s">
        <v>576</v>
      </c>
      <c r="R560" s="500">
        <v>0</v>
      </c>
      <c r="S560" s="639" t="s">
        <v>1220</v>
      </c>
      <c r="T560" s="640"/>
      <c r="U560" s="640"/>
      <c r="V560" s="640"/>
      <c r="W560" s="640"/>
      <c r="X560" s="640"/>
      <c r="Y560" s="553" t="s">
        <v>353</v>
      </c>
      <c r="Z560" s="527">
        <f>IFERROR(INDEX(잔가map!$C$14:$AR$18,MATCH(차량DB!$Z$5,잔가map!$B$14:$B$18,0),MATCH(차량DB!Y560,잔가map!$C$13:$AR$13,0)),"")</f>
        <v>0.78</v>
      </c>
      <c r="AA560" s="527">
        <f>IFERROR(INDEX(잔가map!$C$14:$AR$18,MATCH(차량DB!$AA$5,잔가map!$B$14:$B$18,0),MATCH(차량DB!Y560,잔가map!$C$13:$AR$13,0)),"")</f>
        <v>0.70000000000000007</v>
      </c>
      <c r="AB560" s="527">
        <f>IFERROR(INDEX(잔가map!$C$14:$AR$18,MATCH(차량DB!$AB$5,잔가map!$B$14:$B$18,0),MATCH(차량DB!Y560,잔가map!$C$13:$AR$13,0)),"")</f>
        <v>0.61</v>
      </c>
      <c r="AC560" s="527">
        <f>IFERROR(INDEX(잔가map!$C$14:$AR$18,MATCH(차량DB!$AC$5,잔가map!$B$14:$B$18,0),MATCH(차량DB!Y560,잔가map!$C$13:$AR$13,0)),"")</f>
        <v>0.53</v>
      </c>
      <c r="AD560" s="527">
        <f>IFERROR(INDEX(잔가map!$C$14:$AR$18,MATCH(차량DB!$AD$5,잔가map!$B$14:$B$18,0),MATCH(차량DB!Y560,잔가map!$C$13:$AR$13,0)),"")</f>
        <v>0.47000000000000008</v>
      </c>
      <c r="AE560" s="643"/>
      <c r="AF560" s="644"/>
      <c r="AG560" s="644"/>
      <c r="AH560" s="644"/>
      <c r="AI560" s="644"/>
      <c r="AJ560" s="644"/>
      <c r="AK560" s="547"/>
      <c r="AL560" s="576"/>
    </row>
    <row r="561" spans="5:38" x14ac:dyDescent="0.3">
      <c r="E561" s="293" t="s">
        <v>422</v>
      </c>
      <c r="F561" s="605" t="s">
        <v>1049</v>
      </c>
      <c r="G561" s="294">
        <v>2894</v>
      </c>
      <c r="H561" s="295" t="s">
        <v>58</v>
      </c>
      <c r="I561" s="294">
        <v>103000000</v>
      </c>
      <c r="P561" s="295" t="s">
        <v>576</v>
      </c>
      <c r="R561" s="500"/>
      <c r="S561" s="639"/>
      <c r="T561" s="640"/>
      <c r="U561" s="640"/>
      <c r="V561" s="640"/>
      <c r="W561" s="640"/>
      <c r="X561" s="640"/>
      <c r="Y561" s="553" t="s">
        <v>357</v>
      </c>
      <c r="Z561" s="527">
        <f>IFERROR(INDEX(잔가map!$C$14:$AR$18,MATCH(차량DB!$Z$5,잔가map!$B$14:$B$18,0),MATCH(차량DB!Y561,잔가map!$C$13:$AR$13,0)),"")</f>
        <v>0.75</v>
      </c>
      <c r="AA561" s="527">
        <f>IFERROR(INDEX(잔가map!$C$14:$AR$18,MATCH(차량DB!$AA$5,잔가map!$B$14:$B$18,0),MATCH(차량DB!Y561,잔가map!$C$13:$AR$13,0)),"")</f>
        <v>0.67</v>
      </c>
      <c r="AB561" s="527">
        <f>IFERROR(INDEX(잔가map!$C$14:$AR$18,MATCH(차량DB!$AB$5,잔가map!$B$14:$B$18,0),MATCH(차량DB!Y561,잔가map!$C$13:$AR$13,0)),"")</f>
        <v>0.57999999999999996</v>
      </c>
      <c r="AC561" s="527">
        <f>IFERROR(INDEX(잔가map!$C$14:$AR$18,MATCH(차량DB!$AC$5,잔가map!$B$14:$B$18,0),MATCH(차량DB!Y561,잔가map!$C$13:$AR$13,0)),"")</f>
        <v>0.5</v>
      </c>
      <c r="AD561" s="527">
        <f>IFERROR(INDEX(잔가map!$C$14:$AR$18,MATCH(차량DB!$AD$5,잔가map!$B$14:$B$18,0),MATCH(차량DB!Y561,잔가map!$C$13:$AR$13,0)),"")</f>
        <v>0.44000000000000006</v>
      </c>
      <c r="AE561" s="643"/>
      <c r="AF561" s="644"/>
      <c r="AG561" s="644"/>
      <c r="AH561" s="644"/>
      <c r="AI561" s="644"/>
      <c r="AJ561" s="644"/>
      <c r="AK561" s="547"/>
      <c r="AL561" s="576"/>
    </row>
    <row r="562" spans="5:38" x14ac:dyDescent="0.3">
      <c r="E562" s="293" t="s">
        <v>422</v>
      </c>
      <c r="F562" s="605" t="s">
        <v>1050</v>
      </c>
      <c r="G562" s="294">
        <v>2894</v>
      </c>
      <c r="H562" s="295" t="s">
        <v>58</v>
      </c>
      <c r="I562" s="294">
        <v>122200000</v>
      </c>
      <c r="P562" s="295" t="s">
        <v>576</v>
      </c>
      <c r="R562" s="500">
        <v>0</v>
      </c>
      <c r="S562" s="639"/>
      <c r="T562" s="640"/>
      <c r="U562" s="640"/>
      <c r="V562" s="640"/>
      <c r="W562" s="640"/>
      <c r="X562" s="640"/>
      <c r="Y562" s="553" t="s">
        <v>357</v>
      </c>
      <c r="Z562" s="527">
        <f>IFERROR(INDEX(잔가map!$C$14:$AR$18,MATCH(차량DB!$Z$5,잔가map!$B$14:$B$18,0),MATCH(차량DB!Y562,잔가map!$C$13:$AR$13,0)),"")</f>
        <v>0.75</v>
      </c>
      <c r="AA562" s="527">
        <f>IFERROR(INDEX(잔가map!$C$14:$AR$18,MATCH(차량DB!$AA$5,잔가map!$B$14:$B$18,0),MATCH(차량DB!Y562,잔가map!$C$13:$AR$13,0)),"")</f>
        <v>0.67</v>
      </c>
      <c r="AB562" s="527">
        <f>IFERROR(INDEX(잔가map!$C$14:$AR$18,MATCH(차량DB!$AB$5,잔가map!$B$14:$B$18,0),MATCH(차량DB!Y562,잔가map!$C$13:$AR$13,0)),"")</f>
        <v>0.57999999999999996</v>
      </c>
      <c r="AC562" s="527">
        <f>IFERROR(INDEX(잔가map!$C$14:$AR$18,MATCH(차량DB!$AC$5,잔가map!$B$14:$B$18,0),MATCH(차량DB!Y562,잔가map!$C$13:$AR$13,0)),"")</f>
        <v>0.5</v>
      </c>
      <c r="AD562" s="527">
        <f>IFERROR(INDEX(잔가map!$C$14:$AR$18,MATCH(차량DB!$AD$5,잔가map!$B$14:$B$18,0),MATCH(차량DB!Y562,잔가map!$C$13:$AR$13,0)),"")</f>
        <v>0.44000000000000006</v>
      </c>
      <c r="AE562" s="643"/>
      <c r="AF562" s="644"/>
      <c r="AG562" s="644"/>
      <c r="AH562" s="644"/>
      <c r="AI562" s="644"/>
      <c r="AJ562" s="644"/>
      <c r="AK562" s="547"/>
      <c r="AL562" s="576"/>
    </row>
    <row r="563" spans="5:38" x14ac:dyDescent="0.3">
      <c r="E563" s="293" t="s">
        <v>422</v>
      </c>
      <c r="F563" s="605" t="s">
        <v>585</v>
      </c>
      <c r="G563" s="294">
        <v>2894</v>
      </c>
      <c r="H563" s="295" t="s">
        <v>45</v>
      </c>
      <c r="I563" s="294">
        <v>150300000</v>
      </c>
      <c r="P563" s="295" t="s">
        <v>576</v>
      </c>
      <c r="R563" s="500">
        <v>0</v>
      </c>
      <c r="S563" s="639" t="s">
        <v>1209</v>
      </c>
      <c r="T563" s="640"/>
      <c r="U563" s="640"/>
      <c r="V563" s="640"/>
      <c r="W563" s="640"/>
      <c r="X563" s="640"/>
      <c r="Y563" s="553" t="s">
        <v>1331</v>
      </c>
      <c r="Z563" s="527">
        <f>IFERROR(INDEX(잔가map!$C$14:$AR$18,MATCH(차량DB!$Z$5,잔가map!$B$14:$B$18,0),MATCH(차량DB!Y563,잔가map!$C$13:$AR$13,0)),"")</f>
        <v>0.80500000000000005</v>
      </c>
      <c r="AA563" s="527">
        <f>IFERROR(INDEX(잔가map!$C$14:$AR$18,MATCH(차량DB!$AA$5,잔가map!$B$14:$B$18,0),MATCH(차량DB!Y563,잔가map!$C$13:$AR$13,0)),"")</f>
        <v>0.72499999999999998</v>
      </c>
      <c r="AB563" s="527">
        <f>IFERROR(INDEX(잔가map!$C$14:$AR$18,MATCH(차량DB!$AB$5,잔가map!$B$14:$B$18,0),MATCH(차량DB!Y563,잔가map!$C$13:$AR$13,0)),"")</f>
        <v>0.63500000000000001</v>
      </c>
      <c r="AC563" s="527">
        <f>IFERROR(INDEX(잔가map!$C$14:$AR$18,MATCH(차량DB!$AC$5,잔가map!$B$14:$B$18,0),MATCH(차량DB!Y563,잔가map!$C$13:$AR$13,0)),"")</f>
        <v>0.55500000000000005</v>
      </c>
      <c r="AD563" s="527">
        <f>IFERROR(INDEX(잔가map!$C$14:$AR$18,MATCH(차량DB!$AD$5,잔가map!$B$14:$B$18,0),MATCH(차량DB!Y563,잔가map!$C$13:$AR$13,0)),"")</f>
        <v>0.495</v>
      </c>
      <c r="AE563" s="643"/>
      <c r="AF563" s="644"/>
      <c r="AG563" s="644"/>
      <c r="AH563" s="644"/>
      <c r="AI563" s="644"/>
      <c r="AJ563" s="644"/>
      <c r="AK563" s="547"/>
      <c r="AL563" s="576"/>
    </row>
    <row r="564" spans="5:38" x14ac:dyDescent="0.3">
      <c r="E564" s="293" t="s">
        <v>422</v>
      </c>
      <c r="F564" s="605" t="s">
        <v>586</v>
      </c>
      <c r="G564" s="294">
        <v>2894</v>
      </c>
      <c r="H564" s="295" t="s">
        <v>45</v>
      </c>
      <c r="I564" s="294">
        <v>158800000</v>
      </c>
      <c r="P564" s="295" t="s">
        <v>576</v>
      </c>
      <c r="R564" s="500">
        <v>0</v>
      </c>
      <c r="S564" s="639" t="s">
        <v>1209</v>
      </c>
      <c r="T564" s="640"/>
      <c r="U564" s="640"/>
      <c r="V564" s="640"/>
      <c r="W564" s="640"/>
      <c r="X564" s="640"/>
      <c r="Y564" s="553" t="s">
        <v>1331</v>
      </c>
      <c r="Z564" s="527">
        <f>IFERROR(INDEX(잔가map!$C$14:$AR$18,MATCH(차량DB!$Z$5,잔가map!$B$14:$B$18,0),MATCH(차량DB!Y564,잔가map!$C$13:$AR$13,0)),"")</f>
        <v>0.80500000000000005</v>
      </c>
      <c r="AA564" s="527">
        <f>IFERROR(INDEX(잔가map!$C$14:$AR$18,MATCH(차량DB!$AA$5,잔가map!$B$14:$B$18,0),MATCH(차량DB!Y564,잔가map!$C$13:$AR$13,0)),"")</f>
        <v>0.72499999999999998</v>
      </c>
      <c r="AB564" s="527">
        <f>IFERROR(INDEX(잔가map!$C$14:$AR$18,MATCH(차량DB!$AB$5,잔가map!$B$14:$B$18,0),MATCH(차량DB!Y564,잔가map!$C$13:$AR$13,0)),"")</f>
        <v>0.63500000000000001</v>
      </c>
      <c r="AC564" s="527">
        <f>IFERROR(INDEX(잔가map!$C$14:$AR$18,MATCH(차량DB!$AC$5,잔가map!$B$14:$B$18,0),MATCH(차량DB!Y564,잔가map!$C$13:$AR$13,0)),"")</f>
        <v>0.55500000000000005</v>
      </c>
      <c r="AD564" s="527">
        <f>IFERROR(INDEX(잔가map!$C$14:$AR$18,MATCH(차량DB!$AD$5,잔가map!$B$14:$B$18,0),MATCH(차량DB!Y564,잔가map!$C$13:$AR$13,0)),"")</f>
        <v>0.495</v>
      </c>
      <c r="AE564" s="643"/>
      <c r="AF564" s="644"/>
      <c r="AG564" s="644"/>
      <c r="AH564" s="644"/>
      <c r="AI564" s="644"/>
      <c r="AJ564" s="644"/>
      <c r="AK564" s="547"/>
      <c r="AL564" s="576"/>
    </row>
    <row r="565" spans="5:38" x14ac:dyDescent="0.3">
      <c r="E565" s="293" t="s">
        <v>422</v>
      </c>
      <c r="F565" s="605" t="s">
        <v>1052</v>
      </c>
      <c r="G565" s="294">
        <v>2894</v>
      </c>
      <c r="H565" s="295" t="s">
        <v>45</v>
      </c>
      <c r="I565" s="294">
        <v>168300000</v>
      </c>
      <c r="P565" s="295" t="s">
        <v>576</v>
      </c>
      <c r="R565" s="500">
        <v>0</v>
      </c>
      <c r="S565" s="639" t="s">
        <v>1210</v>
      </c>
      <c r="T565" s="640"/>
      <c r="U565" s="640"/>
      <c r="V565" s="640"/>
      <c r="W565" s="640"/>
      <c r="X565" s="640"/>
      <c r="Y565" s="553" t="s">
        <v>1331</v>
      </c>
      <c r="Z565" s="527">
        <f>IFERROR(INDEX(잔가map!$C$14:$AR$18,MATCH(차량DB!$Z$5,잔가map!$B$14:$B$18,0),MATCH(차량DB!Y565,잔가map!$C$13:$AR$13,0)),"")</f>
        <v>0.80500000000000005</v>
      </c>
      <c r="AA565" s="527">
        <f>IFERROR(INDEX(잔가map!$C$14:$AR$18,MATCH(차량DB!$AA$5,잔가map!$B$14:$B$18,0),MATCH(차량DB!Y565,잔가map!$C$13:$AR$13,0)),"")</f>
        <v>0.72499999999999998</v>
      </c>
      <c r="AB565" s="527">
        <f>IFERROR(INDEX(잔가map!$C$14:$AR$18,MATCH(차량DB!$AB$5,잔가map!$B$14:$B$18,0),MATCH(차량DB!Y565,잔가map!$C$13:$AR$13,0)),"")</f>
        <v>0.63500000000000001</v>
      </c>
      <c r="AC565" s="527">
        <f>IFERROR(INDEX(잔가map!$C$14:$AR$18,MATCH(차량DB!$AC$5,잔가map!$B$14:$B$18,0),MATCH(차량DB!Y565,잔가map!$C$13:$AR$13,0)),"")</f>
        <v>0.55500000000000005</v>
      </c>
      <c r="AD565" s="527">
        <f>IFERROR(INDEX(잔가map!$C$14:$AR$18,MATCH(차량DB!$AD$5,잔가map!$B$14:$B$18,0),MATCH(차량DB!Y565,잔가map!$C$13:$AR$13,0)),"")</f>
        <v>0.495</v>
      </c>
      <c r="AE565" s="643"/>
      <c r="AF565" s="644"/>
      <c r="AG565" s="644"/>
      <c r="AH565" s="644"/>
      <c r="AI565" s="644"/>
      <c r="AJ565" s="644"/>
      <c r="AK565" s="547"/>
      <c r="AL565" s="576"/>
    </row>
    <row r="566" spans="5:38" x14ac:dyDescent="0.3">
      <c r="E566" s="293" t="s">
        <v>422</v>
      </c>
      <c r="F566" s="605" t="s">
        <v>587</v>
      </c>
      <c r="G566" s="294">
        <v>3996</v>
      </c>
      <c r="H566" s="295" t="s">
        <v>45</v>
      </c>
      <c r="I566" s="294">
        <v>221200000</v>
      </c>
      <c r="P566" s="295" t="s">
        <v>576</v>
      </c>
      <c r="R566" s="500">
        <v>0</v>
      </c>
      <c r="S566" s="639" t="s">
        <v>1221</v>
      </c>
      <c r="T566" s="640"/>
      <c r="U566" s="640"/>
      <c r="V566" s="640"/>
      <c r="W566" s="640"/>
      <c r="X566" s="640"/>
      <c r="Y566" s="553" t="s">
        <v>357</v>
      </c>
      <c r="Z566" s="527">
        <f>IFERROR(INDEX(잔가map!$C$14:$AR$18,MATCH(차량DB!$Z$5,잔가map!$B$14:$B$18,0),MATCH(차량DB!Y566,잔가map!$C$13:$AR$13,0)),"")</f>
        <v>0.75</v>
      </c>
      <c r="AA566" s="527">
        <f>IFERROR(INDEX(잔가map!$C$14:$AR$18,MATCH(차량DB!$AA$5,잔가map!$B$14:$B$18,0),MATCH(차량DB!Y566,잔가map!$C$13:$AR$13,0)),"")</f>
        <v>0.67</v>
      </c>
      <c r="AB566" s="527">
        <f>IFERROR(INDEX(잔가map!$C$14:$AR$18,MATCH(차량DB!$AB$5,잔가map!$B$14:$B$18,0),MATCH(차량DB!Y566,잔가map!$C$13:$AR$13,0)),"")</f>
        <v>0.57999999999999996</v>
      </c>
      <c r="AC566" s="527">
        <f>IFERROR(INDEX(잔가map!$C$14:$AR$18,MATCH(차량DB!$AC$5,잔가map!$B$14:$B$18,0),MATCH(차량DB!Y566,잔가map!$C$13:$AR$13,0)),"")</f>
        <v>0.5</v>
      </c>
      <c r="AD566" s="527">
        <f>IFERROR(INDEX(잔가map!$C$14:$AR$18,MATCH(차량DB!$AD$5,잔가map!$B$14:$B$18,0),MATCH(차량DB!Y566,잔가map!$C$13:$AR$13,0)),"")</f>
        <v>0.44000000000000006</v>
      </c>
      <c r="AE566" s="643"/>
      <c r="AF566" s="644"/>
      <c r="AG566" s="644"/>
      <c r="AH566" s="644"/>
      <c r="AI566" s="644"/>
      <c r="AJ566" s="644"/>
      <c r="AK566" s="547"/>
      <c r="AL566" s="576"/>
    </row>
    <row r="567" spans="5:38" x14ac:dyDescent="0.3">
      <c r="E567" s="293" t="s">
        <v>422</v>
      </c>
      <c r="F567" s="605" t="s">
        <v>530</v>
      </c>
      <c r="G567" s="294">
        <v>2894</v>
      </c>
      <c r="H567" s="295" t="s">
        <v>45</v>
      </c>
      <c r="I567" s="294">
        <v>173600000</v>
      </c>
      <c r="P567" s="295" t="s">
        <v>576</v>
      </c>
      <c r="R567" s="500">
        <v>0</v>
      </c>
      <c r="S567" s="639" t="s">
        <v>1209</v>
      </c>
      <c r="T567" s="640"/>
      <c r="U567" s="640"/>
      <c r="V567" s="640"/>
      <c r="W567" s="640"/>
      <c r="X567" s="640"/>
      <c r="Y567" s="553" t="s">
        <v>357</v>
      </c>
      <c r="Z567" s="527">
        <f>IFERROR(INDEX(잔가map!$C$14:$AR$18,MATCH(차량DB!$Z$5,잔가map!$B$14:$B$18,0),MATCH(차량DB!Y567,잔가map!$C$13:$AR$13,0)),"")</f>
        <v>0.75</v>
      </c>
      <c r="AA567" s="527">
        <f>IFERROR(INDEX(잔가map!$C$14:$AR$18,MATCH(차량DB!$AA$5,잔가map!$B$14:$B$18,0),MATCH(차량DB!Y567,잔가map!$C$13:$AR$13,0)),"")</f>
        <v>0.67</v>
      </c>
      <c r="AB567" s="527">
        <f>IFERROR(INDEX(잔가map!$C$14:$AR$18,MATCH(차량DB!$AB$5,잔가map!$B$14:$B$18,0),MATCH(차량DB!Y567,잔가map!$C$13:$AR$13,0)),"")</f>
        <v>0.57999999999999996</v>
      </c>
      <c r="AC567" s="527">
        <f>IFERROR(INDEX(잔가map!$C$14:$AR$18,MATCH(차량DB!$AC$5,잔가map!$B$14:$B$18,0),MATCH(차량DB!Y567,잔가map!$C$13:$AR$13,0)),"")</f>
        <v>0.5</v>
      </c>
      <c r="AD567" s="527">
        <f>IFERROR(INDEX(잔가map!$C$14:$AR$18,MATCH(차량DB!$AD$5,잔가map!$B$14:$B$18,0),MATCH(차량DB!Y567,잔가map!$C$13:$AR$13,0)),"")</f>
        <v>0.44000000000000006</v>
      </c>
      <c r="AE567" s="643"/>
      <c r="AF567" s="644"/>
      <c r="AG567" s="644"/>
      <c r="AH567" s="644"/>
      <c r="AI567" s="644"/>
      <c r="AJ567" s="644"/>
      <c r="AK567" s="547"/>
      <c r="AL567" s="576"/>
    </row>
    <row r="568" spans="5:38" x14ac:dyDescent="0.3">
      <c r="E568" s="293" t="s">
        <v>422</v>
      </c>
      <c r="F568" s="605" t="s">
        <v>1051</v>
      </c>
      <c r="G568" s="294">
        <v>2894</v>
      </c>
      <c r="H568" s="295" t="s">
        <v>45</v>
      </c>
      <c r="I568" s="294">
        <v>188300000</v>
      </c>
      <c r="P568" s="295" t="s">
        <v>576</v>
      </c>
      <c r="R568" s="500">
        <v>0</v>
      </c>
      <c r="S568" s="639" t="s">
        <v>1209</v>
      </c>
      <c r="T568" s="640"/>
      <c r="U568" s="640"/>
      <c r="V568" s="640"/>
      <c r="W568" s="640"/>
      <c r="X568" s="640"/>
      <c r="Y568" s="553" t="s">
        <v>357</v>
      </c>
      <c r="Z568" s="527">
        <f>IFERROR(INDEX(잔가map!$C$14:$AR$18,MATCH(차량DB!$Z$5,잔가map!$B$14:$B$18,0),MATCH(차량DB!Y568,잔가map!$C$13:$AR$13,0)),"")</f>
        <v>0.75</v>
      </c>
      <c r="AA568" s="527">
        <f>IFERROR(INDEX(잔가map!$C$14:$AR$18,MATCH(차량DB!$AA$5,잔가map!$B$14:$B$18,0),MATCH(차량DB!Y568,잔가map!$C$13:$AR$13,0)),"")</f>
        <v>0.67</v>
      </c>
      <c r="AB568" s="527">
        <f>IFERROR(INDEX(잔가map!$C$14:$AR$18,MATCH(차량DB!$AB$5,잔가map!$B$14:$B$18,0),MATCH(차량DB!Y568,잔가map!$C$13:$AR$13,0)),"")</f>
        <v>0.57999999999999996</v>
      </c>
      <c r="AC568" s="527">
        <f>IFERROR(INDEX(잔가map!$C$14:$AR$18,MATCH(차량DB!$AC$5,잔가map!$B$14:$B$18,0),MATCH(차량DB!Y568,잔가map!$C$13:$AR$13,0)),"")</f>
        <v>0.5</v>
      </c>
      <c r="AD568" s="527">
        <f>IFERROR(INDEX(잔가map!$C$14:$AR$18,MATCH(차량DB!$AD$5,잔가map!$B$14:$B$18,0),MATCH(차량DB!Y568,잔가map!$C$13:$AR$13,0)),"")</f>
        <v>0.44000000000000006</v>
      </c>
      <c r="AE568" s="643"/>
      <c r="AF568" s="644"/>
      <c r="AG568" s="644"/>
      <c r="AH568" s="644"/>
      <c r="AI568" s="644"/>
      <c r="AJ568" s="644"/>
      <c r="AK568" s="547"/>
      <c r="AL568" s="576"/>
    </row>
    <row r="569" spans="5:38" x14ac:dyDescent="0.3">
      <c r="E569" s="293" t="s">
        <v>422</v>
      </c>
      <c r="F569" s="605" t="s">
        <v>1053</v>
      </c>
      <c r="G569" s="294">
        <v>3996</v>
      </c>
      <c r="H569" s="295" t="s">
        <v>45</v>
      </c>
      <c r="I569" s="294">
        <v>308100000</v>
      </c>
      <c r="P569" s="295" t="s">
        <v>576</v>
      </c>
      <c r="R569" s="500"/>
      <c r="S569" s="639" t="s">
        <v>1211</v>
      </c>
      <c r="T569" s="640"/>
      <c r="U569" s="640"/>
      <c r="V569" s="640"/>
      <c r="W569" s="640"/>
      <c r="X569" s="640"/>
      <c r="Y569" s="553" t="s">
        <v>357</v>
      </c>
      <c r="Z569" s="527">
        <f>IFERROR(INDEX(잔가map!$C$14:$AR$18,MATCH(차량DB!$Z$5,잔가map!$B$14:$B$18,0),MATCH(차량DB!Y569,잔가map!$C$13:$AR$13,0)),"")</f>
        <v>0.75</v>
      </c>
      <c r="AA569" s="527">
        <f>IFERROR(INDEX(잔가map!$C$14:$AR$18,MATCH(차량DB!$AA$5,잔가map!$B$14:$B$18,0),MATCH(차량DB!Y569,잔가map!$C$13:$AR$13,0)),"")</f>
        <v>0.67</v>
      </c>
      <c r="AB569" s="527">
        <f>IFERROR(INDEX(잔가map!$C$14:$AR$18,MATCH(차량DB!$AB$5,잔가map!$B$14:$B$18,0),MATCH(차량DB!Y569,잔가map!$C$13:$AR$13,0)),"")</f>
        <v>0.57999999999999996</v>
      </c>
      <c r="AC569" s="527">
        <f>IFERROR(INDEX(잔가map!$C$14:$AR$18,MATCH(차량DB!$AC$5,잔가map!$B$14:$B$18,0),MATCH(차량DB!Y569,잔가map!$C$13:$AR$13,0)),"")</f>
        <v>0.5</v>
      </c>
      <c r="AD569" s="527">
        <f>IFERROR(INDEX(잔가map!$C$14:$AR$18,MATCH(차량DB!$AD$5,잔가map!$B$14:$B$18,0),MATCH(차량DB!Y569,잔가map!$C$13:$AR$13,0)),"")</f>
        <v>0.44000000000000006</v>
      </c>
      <c r="AE569" s="643"/>
      <c r="AF569" s="644"/>
      <c r="AG569" s="644"/>
      <c r="AH569" s="644"/>
      <c r="AI569" s="644"/>
      <c r="AJ569" s="644"/>
      <c r="AK569" s="547"/>
      <c r="AL569" s="576"/>
    </row>
    <row r="570" spans="5:38" x14ac:dyDescent="0.3">
      <c r="E570" s="293" t="s">
        <v>422</v>
      </c>
      <c r="F570" s="605" t="s">
        <v>690</v>
      </c>
      <c r="G570" s="294">
        <v>3996</v>
      </c>
      <c r="H570" s="295" t="s">
        <v>45</v>
      </c>
      <c r="I570" s="294">
        <v>317800000</v>
      </c>
      <c r="P570" s="295" t="s">
        <v>576</v>
      </c>
      <c r="R570" s="500">
        <v>0</v>
      </c>
      <c r="S570" s="639" t="s">
        <v>1209</v>
      </c>
      <c r="T570" s="640"/>
      <c r="U570" s="640"/>
      <c r="V570" s="640"/>
      <c r="W570" s="640"/>
      <c r="X570" s="640"/>
      <c r="Y570" s="553" t="s">
        <v>357</v>
      </c>
      <c r="Z570" s="527">
        <f>IFERROR(INDEX(잔가map!$C$14:$AR$18,MATCH(차량DB!$Z$5,잔가map!$B$14:$B$18,0),MATCH(차량DB!Y570,잔가map!$C$13:$AR$13,0)),"")</f>
        <v>0.75</v>
      </c>
      <c r="AA570" s="527">
        <f>IFERROR(INDEX(잔가map!$C$14:$AR$18,MATCH(차량DB!$AA$5,잔가map!$B$14:$B$18,0),MATCH(차량DB!Y570,잔가map!$C$13:$AR$13,0)),"")</f>
        <v>0.67</v>
      </c>
      <c r="AB570" s="527">
        <f>IFERROR(INDEX(잔가map!$C$14:$AR$18,MATCH(차량DB!$AB$5,잔가map!$B$14:$B$18,0),MATCH(차량DB!Y570,잔가map!$C$13:$AR$13,0)),"")</f>
        <v>0.57999999999999996</v>
      </c>
      <c r="AC570" s="527">
        <f>IFERROR(INDEX(잔가map!$C$14:$AR$18,MATCH(차량DB!$AC$5,잔가map!$B$14:$B$18,0),MATCH(차량DB!Y570,잔가map!$C$13:$AR$13,0)),"")</f>
        <v>0.5</v>
      </c>
      <c r="AD570" s="527">
        <f>IFERROR(INDEX(잔가map!$C$14:$AR$18,MATCH(차량DB!$AD$5,잔가map!$B$14:$B$18,0),MATCH(차량DB!Y570,잔가map!$C$13:$AR$13,0)),"")</f>
        <v>0.44000000000000006</v>
      </c>
      <c r="AE570" s="643"/>
      <c r="AF570" s="644"/>
      <c r="AG570" s="644"/>
      <c r="AH570" s="644"/>
      <c r="AI570" s="644"/>
      <c r="AJ570" s="644"/>
      <c r="AK570" s="547"/>
      <c r="AL570" s="576"/>
    </row>
    <row r="571" spans="5:38" x14ac:dyDescent="0.3">
      <c r="E571" s="293" t="s">
        <v>422</v>
      </c>
      <c r="F571" s="605" t="s">
        <v>678</v>
      </c>
      <c r="G571" s="294">
        <v>1</v>
      </c>
      <c r="H571" s="295" t="s">
        <v>45</v>
      </c>
      <c r="I571" s="294">
        <v>123800000</v>
      </c>
      <c r="P571" s="295" t="s">
        <v>576</v>
      </c>
      <c r="R571" s="500">
        <v>0</v>
      </c>
      <c r="S571" s="639" t="s">
        <v>1258</v>
      </c>
      <c r="T571" s="640"/>
      <c r="U571" s="640"/>
      <c r="V571" s="640"/>
      <c r="W571" s="640"/>
      <c r="X571" s="640"/>
      <c r="Y571" s="553" t="s">
        <v>359</v>
      </c>
      <c r="Z571" s="527">
        <f>IFERROR(INDEX(잔가map!$C$14:$AR$18,MATCH(차량DB!$Z$5,잔가map!$B$14:$B$18,0),MATCH(차량DB!Y571,잔가map!$C$13:$AR$13,0)),"")</f>
        <v>0.72</v>
      </c>
      <c r="AA571" s="527">
        <f>IFERROR(INDEX(잔가map!$C$14:$AR$18,MATCH(차량DB!$AA$5,잔가map!$B$14:$B$18,0),MATCH(차량DB!Y571,잔가map!$C$13:$AR$13,0)),"")</f>
        <v>0.64</v>
      </c>
      <c r="AB571" s="527">
        <f>IFERROR(INDEX(잔가map!$C$14:$AR$18,MATCH(차량DB!$AB$5,잔가map!$B$14:$B$18,0),MATCH(차량DB!Y571,잔가map!$C$13:$AR$13,0)),"")</f>
        <v>0.54999999999999993</v>
      </c>
      <c r="AC571" s="527">
        <f>IFERROR(INDEX(잔가map!$C$14:$AR$18,MATCH(차량DB!$AC$5,잔가map!$B$14:$B$18,0),MATCH(차량DB!Y571,잔가map!$C$13:$AR$13,0)),"")</f>
        <v>0.47000000000000003</v>
      </c>
      <c r="AD571" s="527">
        <f>IFERROR(INDEX(잔가map!$C$14:$AR$18,MATCH(차량DB!$AD$5,잔가map!$B$14:$B$18,0),MATCH(차량DB!Y571,잔가map!$C$13:$AR$13,0)),"")</f>
        <v>0.41000000000000003</v>
      </c>
      <c r="AE571" s="643"/>
      <c r="AF571" s="644"/>
      <c r="AG571" s="644"/>
      <c r="AH571" s="644"/>
      <c r="AI571" s="644"/>
      <c r="AJ571" s="644"/>
      <c r="AK571" s="547"/>
      <c r="AL571" s="576"/>
    </row>
    <row r="572" spans="5:38" x14ac:dyDescent="0.3">
      <c r="E572" s="293" t="s">
        <v>422</v>
      </c>
      <c r="F572" s="605" t="s">
        <v>531</v>
      </c>
      <c r="G572" s="294">
        <v>1</v>
      </c>
      <c r="H572" s="295" t="s">
        <v>45</v>
      </c>
      <c r="I572" s="294">
        <v>148500000</v>
      </c>
      <c r="P572" s="295" t="s">
        <v>576</v>
      </c>
      <c r="R572" s="500">
        <v>0</v>
      </c>
      <c r="S572" s="639" t="s">
        <v>1254</v>
      </c>
      <c r="T572" s="640"/>
      <c r="U572" s="640"/>
      <c r="V572" s="640"/>
      <c r="W572" s="640"/>
      <c r="X572" s="640"/>
      <c r="Y572" s="553" t="s">
        <v>359</v>
      </c>
      <c r="Z572" s="527">
        <f>IFERROR(INDEX(잔가map!$C$14:$AR$18,MATCH(차량DB!$Z$5,잔가map!$B$14:$B$18,0),MATCH(차량DB!Y572,잔가map!$C$13:$AR$13,0)),"")</f>
        <v>0.72</v>
      </c>
      <c r="AA572" s="527">
        <f>IFERROR(INDEX(잔가map!$C$14:$AR$18,MATCH(차량DB!$AA$5,잔가map!$B$14:$B$18,0),MATCH(차량DB!Y572,잔가map!$C$13:$AR$13,0)),"")</f>
        <v>0.64</v>
      </c>
      <c r="AB572" s="527">
        <f>IFERROR(INDEX(잔가map!$C$14:$AR$18,MATCH(차량DB!$AB$5,잔가map!$B$14:$B$18,0),MATCH(차량DB!Y572,잔가map!$C$13:$AR$13,0)),"")</f>
        <v>0.54999999999999993</v>
      </c>
      <c r="AC572" s="527">
        <f>IFERROR(INDEX(잔가map!$C$14:$AR$18,MATCH(차량DB!$AC$5,잔가map!$B$14:$B$18,0),MATCH(차량DB!Y572,잔가map!$C$13:$AR$13,0)),"")</f>
        <v>0.47000000000000003</v>
      </c>
      <c r="AD572" s="527">
        <f>IFERROR(INDEX(잔가map!$C$14:$AR$18,MATCH(차량DB!$AD$5,잔가map!$B$14:$B$18,0),MATCH(차량DB!Y572,잔가map!$C$13:$AR$13,0)),"")</f>
        <v>0.41000000000000003</v>
      </c>
      <c r="AE572" s="643"/>
      <c r="AF572" s="644"/>
      <c r="AG572" s="644"/>
      <c r="AH572" s="644"/>
      <c r="AI572" s="644"/>
      <c r="AJ572" s="644"/>
      <c r="AK572" s="547"/>
      <c r="AL572" s="576"/>
    </row>
    <row r="573" spans="5:38" x14ac:dyDescent="0.3">
      <c r="E573" s="293" t="s">
        <v>422</v>
      </c>
      <c r="F573" s="605" t="s">
        <v>706</v>
      </c>
      <c r="G573" s="294">
        <v>1</v>
      </c>
      <c r="H573" s="295" t="s">
        <v>45</v>
      </c>
      <c r="I573" s="294">
        <v>180300000</v>
      </c>
      <c r="P573" s="295" t="s">
        <v>576</v>
      </c>
      <c r="R573" s="500">
        <v>0</v>
      </c>
      <c r="S573" s="639" t="s">
        <v>1254</v>
      </c>
      <c r="T573" s="640"/>
      <c r="U573" s="640"/>
      <c r="V573" s="640"/>
      <c r="W573" s="640"/>
      <c r="X573" s="640"/>
      <c r="Y573" s="553" t="s">
        <v>359</v>
      </c>
      <c r="Z573" s="527">
        <f>IFERROR(INDEX(잔가map!$C$14:$AR$18,MATCH(차량DB!$Z$5,잔가map!$B$14:$B$18,0),MATCH(차량DB!Y573,잔가map!$C$13:$AR$13,0)),"")</f>
        <v>0.72</v>
      </c>
      <c r="AA573" s="527">
        <f>IFERROR(INDEX(잔가map!$C$14:$AR$18,MATCH(차량DB!$AA$5,잔가map!$B$14:$B$18,0),MATCH(차량DB!Y573,잔가map!$C$13:$AR$13,0)),"")</f>
        <v>0.64</v>
      </c>
      <c r="AB573" s="527">
        <f>IFERROR(INDEX(잔가map!$C$14:$AR$18,MATCH(차량DB!$AB$5,잔가map!$B$14:$B$18,0),MATCH(차량DB!Y573,잔가map!$C$13:$AR$13,0)),"")</f>
        <v>0.54999999999999993</v>
      </c>
      <c r="AC573" s="527">
        <f>IFERROR(INDEX(잔가map!$C$14:$AR$18,MATCH(차량DB!$AC$5,잔가map!$B$14:$B$18,0),MATCH(차량DB!Y573,잔가map!$C$13:$AR$13,0)),"")</f>
        <v>0.47000000000000003</v>
      </c>
      <c r="AD573" s="527">
        <f>IFERROR(INDEX(잔가map!$C$14:$AR$18,MATCH(차량DB!$AD$5,잔가map!$B$14:$B$18,0),MATCH(차량DB!Y573,잔가map!$C$13:$AR$13,0)),"")</f>
        <v>0.41000000000000003</v>
      </c>
      <c r="AE573" s="643"/>
      <c r="AF573" s="644"/>
      <c r="AG573" s="644"/>
      <c r="AH573" s="644"/>
      <c r="AI573" s="644"/>
      <c r="AJ573" s="644"/>
      <c r="AK573" s="547"/>
      <c r="AL573" s="576"/>
    </row>
    <row r="574" spans="5:38" x14ac:dyDescent="0.3">
      <c r="E574" s="293" t="s">
        <v>422</v>
      </c>
      <c r="F574" s="605" t="s">
        <v>1055</v>
      </c>
      <c r="G574" s="294">
        <v>1</v>
      </c>
      <c r="H574" s="295" t="s">
        <v>45</v>
      </c>
      <c r="I574" s="294">
        <v>138000000</v>
      </c>
      <c r="P574" s="295" t="s">
        <v>576</v>
      </c>
      <c r="R574" s="500">
        <v>0</v>
      </c>
      <c r="S574" s="639" t="s">
        <v>1259</v>
      </c>
      <c r="T574" s="640"/>
      <c r="U574" s="640"/>
      <c r="V574" s="640"/>
      <c r="W574" s="640"/>
      <c r="X574" s="640"/>
      <c r="Y574" s="553" t="s">
        <v>359</v>
      </c>
      <c r="Z574" s="527">
        <f>IFERROR(INDEX(잔가map!$C$14:$AR$18,MATCH(차량DB!$Z$5,잔가map!$B$14:$B$18,0),MATCH(차량DB!Y574,잔가map!$C$13:$AR$13,0)),"")</f>
        <v>0.72</v>
      </c>
      <c r="AA574" s="527">
        <f>IFERROR(INDEX(잔가map!$C$14:$AR$18,MATCH(차량DB!$AA$5,잔가map!$B$14:$B$18,0),MATCH(차량DB!Y574,잔가map!$C$13:$AR$13,0)),"")</f>
        <v>0.64</v>
      </c>
      <c r="AB574" s="527">
        <f>IFERROR(INDEX(잔가map!$C$14:$AR$18,MATCH(차량DB!$AB$5,잔가map!$B$14:$B$18,0),MATCH(차량DB!Y574,잔가map!$C$13:$AR$13,0)),"")</f>
        <v>0.54999999999999993</v>
      </c>
      <c r="AC574" s="527">
        <f>IFERROR(INDEX(잔가map!$C$14:$AR$18,MATCH(차량DB!$AC$5,잔가map!$B$14:$B$18,0),MATCH(차량DB!Y574,잔가map!$C$13:$AR$13,0)),"")</f>
        <v>0.47000000000000003</v>
      </c>
      <c r="AD574" s="527">
        <f>IFERROR(INDEX(잔가map!$C$14:$AR$18,MATCH(차량DB!$AD$5,잔가map!$B$14:$B$18,0),MATCH(차량DB!Y574,잔가map!$C$13:$AR$13,0)),"")</f>
        <v>0.41000000000000003</v>
      </c>
      <c r="AE574" s="643"/>
      <c r="AF574" s="644"/>
      <c r="AG574" s="644"/>
      <c r="AH574" s="644"/>
      <c r="AI574" s="644"/>
      <c r="AJ574" s="644"/>
      <c r="AK574" s="547"/>
      <c r="AL574" s="576"/>
    </row>
    <row r="575" spans="5:38" x14ac:dyDescent="0.3">
      <c r="E575" s="293" t="s">
        <v>422</v>
      </c>
      <c r="F575" s="605" t="s">
        <v>1054</v>
      </c>
      <c r="G575" s="294">
        <v>1</v>
      </c>
      <c r="H575" s="295" t="s">
        <v>45</v>
      </c>
      <c r="I575" s="294">
        <v>154500000</v>
      </c>
      <c r="P575" s="295" t="s">
        <v>576</v>
      </c>
      <c r="R575" s="500">
        <v>0</v>
      </c>
      <c r="S575" s="639" t="s">
        <v>1259</v>
      </c>
      <c r="T575" s="640"/>
      <c r="U575" s="640"/>
      <c r="V575" s="640"/>
      <c r="W575" s="640"/>
      <c r="X575" s="640"/>
      <c r="Y575" s="553" t="s">
        <v>359</v>
      </c>
      <c r="Z575" s="527">
        <f>IFERROR(INDEX(잔가map!$C$14:$AR$18,MATCH(차량DB!$Z$5,잔가map!$B$14:$B$18,0),MATCH(차량DB!Y575,잔가map!$C$13:$AR$13,0)),"")</f>
        <v>0.72</v>
      </c>
      <c r="AA575" s="527">
        <f>IFERROR(INDEX(잔가map!$C$14:$AR$18,MATCH(차량DB!$AA$5,잔가map!$B$14:$B$18,0),MATCH(차량DB!Y575,잔가map!$C$13:$AR$13,0)),"")</f>
        <v>0.64</v>
      </c>
      <c r="AB575" s="527">
        <f>IFERROR(INDEX(잔가map!$C$14:$AR$18,MATCH(차량DB!$AB$5,잔가map!$B$14:$B$18,0),MATCH(차량DB!Y575,잔가map!$C$13:$AR$13,0)),"")</f>
        <v>0.54999999999999993</v>
      </c>
      <c r="AC575" s="527">
        <f>IFERROR(INDEX(잔가map!$C$14:$AR$18,MATCH(차량DB!$AC$5,잔가map!$B$14:$B$18,0),MATCH(차량DB!Y575,잔가map!$C$13:$AR$13,0)),"")</f>
        <v>0.47000000000000003</v>
      </c>
      <c r="AD575" s="527">
        <f>IFERROR(INDEX(잔가map!$C$14:$AR$18,MATCH(차량DB!$AD$5,잔가map!$B$14:$B$18,0),MATCH(차량DB!Y575,잔가map!$C$13:$AR$13,0)),"")</f>
        <v>0.41000000000000003</v>
      </c>
      <c r="AE575" s="643"/>
      <c r="AF575" s="644"/>
      <c r="AG575" s="644"/>
      <c r="AH575" s="644"/>
      <c r="AI575" s="644"/>
      <c r="AJ575" s="644"/>
      <c r="AK575" s="547"/>
      <c r="AL575" s="576"/>
    </row>
    <row r="576" spans="5:38" x14ac:dyDescent="0.3">
      <c r="E576" s="293" t="s">
        <v>422</v>
      </c>
      <c r="F576" s="605" t="s">
        <v>1056</v>
      </c>
      <c r="G576" s="294">
        <v>1</v>
      </c>
      <c r="H576" s="295" t="s">
        <v>45</v>
      </c>
      <c r="I576" s="294">
        <v>202400000</v>
      </c>
      <c r="P576" s="295" t="s">
        <v>576</v>
      </c>
      <c r="R576" s="500">
        <v>0</v>
      </c>
      <c r="S576" s="639" t="s">
        <v>1256</v>
      </c>
      <c r="T576" s="640"/>
      <c r="U576" s="640"/>
      <c r="V576" s="640"/>
      <c r="W576" s="640"/>
      <c r="X576" s="640"/>
      <c r="Y576" s="553" t="s">
        <v>359</v>
      </c>
      <c r="Z576" s="527">
        <f>IFERROR(INDEX(잔가map!$C$14:$AR$18,MATCH(차량DB!$Z$5,잔가map!$B$14:$B$18,0),MATCH(차량DB!Y576,잔가map!$C$13:$AR$13,0)),"")</f>
        <v>0.72</v>
      </c>
      <c r="AA576" s="527">
        <f>IFERROR(INDEX(잔가map!$C$14:$AR$18,MATCH(차량DB!$AA$5,잔가map!$B$14:$B$18,0),MATCH(차량DB!Y576,잔가map!$C$13:$AR$13,0)),"")</f>
        <v>0.64</v>
      </c>
      <c r="AB576" s="527">
        <f>IFERROR(INDEX(잔가map!$C$14:$AR$18,MATCH(차량DB!$AB$5,잔가map!$B$14:$B$18,0),MATCH(차량DB!Y576,잔가map!$C$13:$AR$13,0)),"")</f>
        <v>0.54999999999999993</v>
      </c>
      <c r="AC576" s="527">
        <f>IFERROR(INDEX(잔가map!$C$14:$AR$18,MATCH(차량DB!$AC$5,잔가map!$B$14:$B$18,0),MATCH(차량DB!Y576,잔가map!$C$13:$AR$13,0)),"")</f>
        <v>0.47000000000000003</v>
      </c>
      <c r="AD576" s="527">
        <f>IFERROR(INDEX(잔가map!$C$14:$AR$18,MATCH(차량DB!$AD$5,잔가map!$B$14:$B$18,0),MATCH(차량DB!Y576,잔가map!$C$13:$AR$13,0)),"")</f>
        <v>0.41000000000000003</v>
      </c>
      <c r="AE576" s="643"/>
      <c r="AF576" s="644"/>
      <c r="AG576" s="644"/>
      <c r="AH576" s="644"/>
      <c r="AI576" s="644"/>
      <c r="AJ576" s="644"/>
      <c r="AK576" s="547"/>
      <c r="AL576" s="576"/>
    </row>
    <row r="577" spans="5:38" x14ac:dyDescent="0.3">
      <c r="E577" s="293" t="s">
        <v>422</v>
      </c>
      <c r="F577" s="605" t="s">
        <v>532</v>
      </c>
      <c r="G577" s="294">
        <v>1</v>
      </c>
      <c r="H577" s="295" t="s">
        <v>45</v>
      </c>
      <c r="I577" s="294">
        <v>200000000</v>
      </c>
      <c r="P577" s="295" t="s">
        <v>576</v>
      </c>
      <c r="R577" s="500">
        <v>0</v>
      </c>
      <c r="S577" s="639" t="s">
        <v>1256</v>
      </c>
      <c r="T577" s="640"/>
      <c r="U577" s="640"/>
      <c r="V577" s="640"/>
      <c r="W577" s="640"/>
      <c r="X577" s="640"/>
      <c r="Y577" s="553" t="s">
        <v>359</v>
      </c>
      <c r="Z577" s="527">
        <f>IFERROR(INDEX(잔가map!$C$14:$AR$18,MATCH(차량DB!$Z$5,잔가map!$B$14:$B$18,0),MATCH(차량DB!Y577,잔가map!$C$13:$AR$13,0)),"")</f>
        <v>0.72</v>
      </c>
      <c r="AA577" s="527">
        <f>IFERROR(INDEX(잔가map!$C$14:$AR$18,MATCH(차량DB!$AA$5,잔가map!$B$14:$B$18,0),MATCH(차량DB!Y577,잔가map!$C$13:$AR$13,0)),"")</f>
        <v>0.64</v>
      </c>
      <c r="AB577" s="527">
        <f>IFERROR(INDEX(잔가map!$C$14:$AR$18,MATCH(차량DB!$AB$5,잔가map!$B$14:$B$18,0),MATCH(차량DB!Y577,잔가map!$C$13:$AR$13,0)),"")</f>
        <v>0.54999999999999993</v>
      </c>
      <c r="AC577" s="527">
        <f>IFERROR(INDEX(잔가map!$C$14:$AR$18,MATCH(차량DB!$AC$5,잔가map!$B$14:$B$18,0),MATCH(차량DB!Y577,잔가map!$C$13:$AR$13,0)),"")</f>
        <v>0.47000000000000003</v>
      </c>
      <c r="AD577" s="527">
        <f>IFERROR(INDEX(잔가map!$C$14:$AR$18,MATCH(차량DB!$AD$5,잔가map!$B$14:$B$18,0),MATCH(차량DB!Y577,잔가map!$C$13:$AR$13,0)),"")</f>
        <v>0.41000000000000003</v>
      </c>
      <c r="AE577" s="643"/>
      <c r="AF577" s="644"/>
      <c r="AG577" s="644"/>
      <c r="AH577" s="644"/>
      <c r="AI577" s="644"/>
      <c r="AJ577" s="644"/>
      <c r="AK577" s="547"/>
      <c r="AL577" s="576"/>
    </row>
    <row r="578" spans="5:38" x14ac:dyDescent="0.3">
      <c r="E578" s="293" t="s">
        <v>422</v>
      </c>
      <c r="F578" s="605" t="s">
        <v>533</v>
      </c>
      <c r="G578" s="294">
        <v>1</v>
      </c>
      <c r="H578" s="295" t="s">
        <v>45</v>
      </c>
      <c r="I578" s="294">
        <v>237600000</v>
      </c>
      <c r="P578" s="295" t="s">
        <v>576</v>
      </c>
      <c r="R578" s="500">
        <v>0</v>
      </c>
      <c r="S578" s="639" t="s">
        <v>1256</v>
      </c>
      <c r="T578" s="640"/>
      <c r="U578" s="640"/>
      <c r="V578" s="640"/>
      <c r="W578" s="640"/>
      <c r="X578" s="640"/>
      <c r="Y578" s="553" t="s">
        <v>359</v>
      </c>
      <c r="Z578" s="527">
        <f>IFERROR(INDEX(잔가map!$C$14:$AR$18,MATCH(차량DB!$Z$5,잔가map!$B$14:$B$18,0),MATCH(차량DB!Y578,잔가map!$C$13:$AR$13,0)),"")</f>
        <v>0.72</v>
      </c>
      <c r="AA578" s="527">
        <f>IFERROR(INDEX(잔가map!$C$14:$AR$18,MATCH(차량DB!$AA$5,잔가map!$B$14:$B$18,0),MATCH(차량DB!Y578,잔가map!$C$13:$AR$13,0)),"")</f>
        <v>0.64</v>
      </c>
      <c r="AB578" s="527">
        <f>IFERROR(INDEX(잔가map!$C$14:$AR$18,MATCH(차량DB!$AB$5,잔가map!$B$14:$B$18,0),MATCH(차량DB!Y578,잔가map!$C$13:$AR$13,0)),"")</f>
        <v>0.54999999999999993</v>
      </c>
      <c r="AC578" s="527">
        <f>IFERROR(INDEX(잔가map!$C$14:$AR$18,MATCH(차량DB!$AC$5,잔가map!$B$14:$B$18,0),MATCH(차량DB!Y578,잔가map!$C$13:$AR$13,0)),"")</f>
        <v>0.47000000000000003</v>
      </c>
      <c r="AD578" s="527">
        <f>IFERROR(INDEX(잔가map!$C$14:$AR$18,MATCH(차량DB!$AD$5,잔가map!$B$14:$B$18,0),MATCH(차량DB!Y578,잔가map!$C$13:$AR$13,0)),"")</f>
        <v>0.41000000000000003</v>
      </c>
      <c r="AE578" s="643"/>
      <c r="AF578" s="644"/>
      <c r="AG578" s="644"/>
      <c r="AH578" s="644"/>
      <c r="AI578" s="644"/>
      <c r="AJ578" s="644"/>
      <c r="AK578" s="547"/>
      <c r="AL578" s="576"/>
    </row>
    <row r="579" spans="5:38" x14ac:dyDescent="0.3">
      <c r="E579" s="293" t="s">
        <v>546</v>
      </c>
      <c r="F579" s="605" t="s">
        <v>550</v>
      </c>
      <c r="G579" s="294">
        <v>1</v>
      </c>
      <c r="H579" s="295" t="s">
        <v>58</v>
      </c>
      <c r="P579" s="295" t="s">
        <v>576</v>
      </c>
      <c r="R579" s="500">
        <v>0</v>
      </c>
      <c r="S579" s="639"/>
      <c r="T579" s="640"/>
      <c r="U579" s="640"/>
      <c r="V579" s="640"/>
      <c r="W579" s="640"/>
      <c r="X579" s="640"/>
      <c r="Y579" s="553"/>
      <c r="Z579" s="527" t="str">
        <f>IFERROR(INDEX(잔가map!$C$14:$AR$18,MATCH(차량DB!$Z$5,잔가map!$B$14:$B$18,0),MATCH(차량DB!Y579,잔가map!$C$13:$AR$13,0)),"")</f>
        <v/>
      </c>
      <c r="AA579" s="527" t="str">
        <f>IFERROR(INDEX(잔가map!$C$14:$AR$18,MATCH(차량DB!$AA$5,잔가map!$B$14:$B$18,0),MATCH(차량DB!Y579,잔가map!$C$13:$AR$13,0)),"")</f>
        <v/>
      </c>
      <c r="AB579" s="527" t="str">
        <f>IFERROR(INDEX(잔가map!$C$14:$AR$18,MATCH(차량DB!$AB$5,잔가map!$B$14:$B$18,0),MATCH(차량DB!Y579,잔가map!$C$13:$AR$13,0)),"")</f>
        <v/>
      </c>
      <c r="AC579" s="527" t="str">
        <f>IFERROR(INDEX(잔가map!$C$14:$AR$18,MATCH(차량DB!$AC$5,잔가map!$B$14:$B$18,0),MATCH(차량DB!Y579,잔가map!$C$13:$AR$13,0)),"")</f>
        <v/>
      </c>
      <c r="AD579" s="527" t="str">
        <f>IFERROR(INDEX(잔가map!$C$14:$AR$18,MATCH(차량DB!$AD$5,잔가map!$B$14:$B$18,0),MATCH(차량DB!Y579,잔가map!$C$13:$AR$13,0)),"")</f>
        <v/>
      </c>
      <c r="AE579" s="643"/>
      <c r="AF579" s="644"/>
      <c r="AG579" s="644"/>
      <c r="AH579" s="644"/>
      <c r="AI579" s="644"/>
      <c r="AJ579" s="644"/>
      <c r="AK579" s="547"/>
      <c r="AL579" s="576"/>
    </row>
    <row r="580" spans="5:38" x14ac:dyDescent="0.3">
      <c r="E580" s="293" t="s">
        <v>546</v>
      </c>
      <c r="F580" s="605" t="s">
        <v>551</v>
      </c>
      <c r="G580" s="294">
        <v>1</v>
      </c>
      <c r="H580" s="295" t="s">
        <v>58</v>
      </c>
      <c r="P580" s="295" t="s">
        <v>576</v>
      </c>
      <c r="R580" s="500">
        <v>0</v>
      </c>
      <c r="S580" s="639"/>
      <c r="T580" s="640"/>
      <c r="U580" s="640"/>
      <c r="V580" s="640"/>
      <c r="W580" s="640"/>
      <c r="X580" s="640"/>
      <c r="Y580" s="553"/>
      <c r="Z580" s="527" t="str">
        <f>IFERROR(INDEX(잔가map!$C$14:$AR$18,MATCH(차량DB!$Z$5,잔가map!$B$14:$B$18,0),MATCH(차량DB!Y580,잔가map!$C$13:$AR$13,0)),"")</f>
        <v/>
      </c>
      <c r="AA580" s="527" t="str">
        <f>IFERROR(INDEX(잔가map!$C$14:$AR$18,MATCH(차량DB!$AA$5,잔가map!$B$14:$B$18,0),MATCH(차량DB!Y580,잔가map!$C$13:$AR$13,0)),"")</f>
        <v/>
      </c>
      <c r="AB580" s="527" t="str">
        <f>IFERROR(INDEX(잔가map!$C$14:$AR$18,MATCH(차량DB!$AB$5,잔가map!$B$14:$B$18,0),MATCH(차량DB!Y580,잔가map!$C$13:$AR$13,0)),"")</f>
        <v/>
      </c>
      <c r="AC580" s="527" t="str">
        <f>IFERROR(INDEX(잔가map!$C$14:$AR$18,MATCH(차량DB!$AC$5,잔가map!$B$14:$B$18,0),MATCH(차량DB!Y580,잔가map!$C$13:$AR$13,0)),"")</f>
        <v/>
      </c>
      <c r="AD580" s="527" t="str">
        <f>IFERROR(INDEX(잔가map!$C$14:$AR$18,MATCH(차량DB!$AD$5,잔가map!$B$14:$B$18,0),MATCH(차량DB!Y580,잔가map!$C$13:$AR$13,0)),"")</f>
        <v/>
      </c>
      <c r="AE580" s="643"/>
      <c r="AF580" s="644"/>
      <c r="AG580" s="644"/>
      <c r="AH580" s="644"/>
      <c r="AI580" s="644"/>
      <c r="AJ580" s="644"/>
      <c r="AK580" s="547"/>
      <c r="AL580" s="576"/>
    </row>
    <row r="581" spans="5:38" x14ac:dyDescent="0.3">
      <c r="E581" s="293" t="s">
        <v>546</v>
      </c>
      <c r="F581" s="605" t="s">
        <v>552</v>
      </c>
      <c r="G581" s="294">
        <v>1</v>
      </c>
      <c r="H581" s="295" t="s">
        <v>45</v>
      </c>
      <c r="P581" s="295" t="s">
        <v>576</v>
      </c>
      <c r="R581" s="500">
        <v>0</v>
      </c>
      <c r="S581" s="639"/>
      <c r="T581" s="640"/>
      <c r="U581" s="640"/>
      <c r="V581" s="640"/>
      <c r="W581" s="640"/>
      <c r="X581" s="640"/>
      <c r="Y581" s="553"/>
      <c r="Z581" s="527" t="str">
        <f>IFERROR(INDEX(잔가map!$C$14:$AR$18,MATCH(차량DB!$Z$5,잔가map!$B$14:$B$18,0),MATCH(차량DB!Y581,잔가map!$C$13:$AR$13,0)),"")</f>
        <v/>
      </c>
      <c r="AA581" s="527" t="str">
        <f>IFERROR(INDEX(잔가map!$C$14:$AR$18,MATCH(차량DB!$AA$5,잔가map!$B$14:$B$18,0),MATCH(차량DB!Y581,잔가map!$C$13:$AR$13,0)),"")</f>
        <v/>
      </c>
      <c r="AB581" s="527" t="str">
        <f>IFERROR(INDEX(잔가map!$C$14:$AR$18,MATCH(차량DB!$AB$5,잔가map!$B$14:$B$18,0),MATCH(차량DB!Y581,잔가map!$C$13:$AR$13,0)),"")</f>
        <v/>
      </c>
      <c r="AC581" s="527" t="str">
        <f>IFERROR(INDEX(잔가map!$C$14:$AR$18,MATCH(차량DB!$AC$5,잔가map!$B$14:$B$18,0),MATCH(차량DB!Y581,잔가map!$C$13:$AR$13,0)),"")</f>
        <v/>
      </c>
      <c r="AD581" s="527" t="str">
        <f>IFERROR(INDEX(잔가map!$C$14:$AR$18,MATCH(차량DB!$AD$5,잔가map!$B$14:$B$18,0),MATCH(차량DB!Y581,잔가map!$C$13:$AR$13,0)),"")</f>
        <v/>
      </c>
      <c r="AE581" s="643"/>
      <c r="AF581" s="644"/>
      <c r="AG581" s="644"/>
      <c r="AH581" s="644"/>
      <c r="AI581" s="644"/>
      <c r="AJ581" s="644"/>
      <c r="AK581" s="547"/>
      <c r="AL581" s="576"/>
    </row>
    <row r="582" spans="5:38" x14ac:dyDescent="0.3">
      <c r="E582" s="293" t="s">
        <v>546</v>
      </c>
      <c r="F582" s="605" t="s">
        <v>553</v>
      </c>
      <c r="G582" s="294">
        <v>1</v>
      </c>
      <c r="H582" s="295" t="s">
        <v>45</v>
      </c>
      <c r="P582" s="295" t="s">
        <v>576</v>
      </c>
      <c r="R582" s="500">
        <v>0</v>
      </c>
      <c r="S582" s="639"/>
      <c r="T582" s="640"/>
      <c r="U582" s="640"/>
      <c r="V582" s="640"/>
      <c r="W582" s="640"/>
      <c r="X582" s="640"/>
      <c r="Y582" s="553"/>
      <c r="Z582" s="527" t="str">
        <f>IFERROR(INDEX(잔가map!$C$14:$AR$18,MATCH(차량DB!$Z$5,잔가map!$B$14:$B$18,0),MATCH(차량DB!Y582,잔가map!$C$13:$AR$13,0)),"")</f>
        <v/>
      </c>
      <c r="AA582" s="527" t="str">
        <f>IFERROR(INDEX(잔가map!$C$14:$AR$18,MATCH(차량DB!$AA$5,잔가map!$B$14:$B$18,0),MATCH(차량DB!Y582,잔가map!$C$13:$AR$13,0)),"")</f>
        <v/>
      </c>
      <c r="AB582" s="527" t="str">
        <f>IFERROR(INDEX(잔가map!$C$14:$AR$18,MATCH(차량DB!$AB$5,잔가map!$B$14:$B$18,0),MATCH(차량DB!Y582,잔가map!$C$13:$AR$13,0)),"")</f>
        <v/>
      </c>
      <c r="AC582" s="527" t="str">
        <f>IFERROR(INDEX(잔가map!$C$14:$AR$18,MATCH(차량DB!$AC$5,잔가map!$B$14:$B$18,0),MATCH(차량DB!Y582,잔가map!$C$13:$AR$13,0)),"")</f>
        <v/>
      </c>
      <c r="AD582" s="527" t="str">
        <f>IFERROR(INDEX(잔가map!$C$14:$AR$18,MATCH(차량DB!$AD$5,잔가map!$B$14:$B$18,0),MATCH(차량DB!Y582,잔가map!$C$13:$AR$13,0)),"")</f>
        <v/>
      </c>
      <c r="AE582" s="643"/>
      <c r="AF582" s="644"/>
      <c r="AG582" s="644"/>
      <c r="AH582" s="644"/>
      <c r="AI582" s="644"/>
      <c r="AJ582" s="644"/>
      <c r="AK582" s="547"/>
      <c r="AL582" s="576"/>
    </row>
    <row r="583" spans="5:38" x14ac:dyDescent="0.3">
      <c r="E583" s="293" t="s">
        <v>546</v>
      </c>
      <c r="F583" s="605" t="s">
        <v>554</v>
      </c>
      <c r="G583" s="294">
        <v>1</v>
      </c>
      <c r="H583" s="295" t="s">
        <v>45</v>
      </c>
      <c r="P583" s="295" t="s">
        <v>576</v>
      </c>
      <c r="R583" s="500">
        <v>0</v>
      </c>
      <c r="S583" s="639"/>
      <c r="T583" s="640"/>
      <c r="U583" s="640"/>
      <c r="V583" s="640"/>
      <c r="W583" s="640"/>
      <c r="X583" s="640"/>
      <c r="Y583" s="553"/>
      <c r="Z583" s="527" t="str">
        <f>IFERROR(INDEX(잔가map!$C$14:$AR$18,MATCH(차량DB!$Z$5,잔가map!$B$14:$B$18,0),MATCH(차량DB!Y583,잔가map!$C$13:$AR$13,0)),"")</f>
        <v/>
      </c>
      <c r="AA583" s="527" t="str">
        <f>IFERROR(INDEX(잔가map!$C$14:$AR$18,MATCH(차량DB!$AA$5,잔가map!$B$14:$B$18,0),MATCH(차량DB!Y583,잔가map!$C$13:$AR$13,0)),"")</f>
        <v/>
      </c>
      <c r="AB583" s="527" t="str">
        <f>IFERROR(INDEX(잔가map!$C$14:$AR$18,MATCH(차량DB!$AB$5,잔가map!$B$14:$B$18,0),MATCH(차량DB!Y583,잔가map!$C$13:$AR$13,0)),"")</f>
        <v/>
      </c>
      <c r="AC583" s="527" t="str">
        <f>IFERROR(INDEX(잔가map!$C$14:$AR$18,MATCH(차량DB!$AC$5,잔가map!$B$14:$B$18,0),MATCH(차량DB!Y583,잔가map!$C$13:$AR$13,0)),"")</f>
        <v/>
      </c>
      <c r="AD583" s="527" t="str">
        <f>IFERROR(INDEX(잔가map!$C$14:$AR$18,MATCH(차량DB!$AD$5,잔가map!$B$14:$B$18,0),MATCH(차량DB!Y583,잔가map!$C$13:$AR$13,0)),"")</f>
        <v/>
      </c>
      <c r="AE583" s="643"/>
      <c r="AF583" s="644"/>
      <c r="AG583" s="644"/>
      <c r="AH583" s="644"/>
      <c r="AI583" s="644"/>
      <c r="AJ583" s="644"/>
      <c r="AK583" s="547"/>
      <c r="AL583" s="576"/>
    </row>
    <row r="584" spans="5:38" x14ac:dyDescent="0.3">
      <c r="E584" s="293" t="s">
        <v>546</v>
      </c>
      <c r="F584" s="605" t="s">
        <v>555</v>
      </c>
      <c r="G584" s="294">
        <v>1</v>
      </c>
      <c r="H584" s="295" t="s">
        <v>45</v>
      </c>
      <c r="P584" s="295" t="s">
        <v>576</v>
      </c>
      <c r="R584" s="500">
        <v>0</v>
      </c>
      <c r="S584" s="639"/>
      <c r="T584" s="640"/>
      <c r="U584" s="640"/>
      <c r="V584" s="640"/>
      <c r="W584" s="640"/>
      <c r="X584" s="640"/>
      <c r="Y584" s="553"/>
      <c r="Z584" s="527" t="str">
        <f>IFERROR(INDEX(잔가map!$C$14:$AR$18,MATCH(차량DB!$Z$5,잔가map!$B$14:$B$18,0),MATCH(차량DB!Y584,잔가map!$C$13:$AR$13,0)),"")</f>
        <v/>
      </c>
      <c r="AA584" s="527" t="str">
        <f>IFERROR(INDEX(잔가map!$C$14:$AR$18,MATCH(차량DB!$AA$5,잔가map!$B$14:$B$18,0),MATCH(차량DB!Y584,잔가map!$C$13:$AR$13,0)),"")</f>
        <v/>
      </c>
      <c r="AB584" s="527" t="str">
        <f>IFERROR(INDEX(잔가map!$C$14:$AR$18,MATCH(차량DB!$AB$5,잔가map!$B$14:$B$18,0),MATCH(차량DB!Y584,잔가map!$C$13:$AR$13,0)),"")</f>
        <v/>
      </c>
      <c r="AC584" s="527" t="str">
        <f>IFERROR(INDEX(잔가map!$C$14:$AR$18,MATCH(차량DB!$AC$5,잔가map!$B$14:$B$18,0),MATCH(차량DB!Y584,잔가map!$C$13:$AR$13,0)),"")</f>
        <v/>
      </c>
      <c r="AD584" s="527" t="str">
        <f>IFERROR(INDEX(잔가map!$C$14:$AR$18,MATCH(차량DB!$AD$5,잔가map!$B$14:$B$18,0),MATCH(차량DB!Y584,잔가map!$C$13:$AR$13,0)),"")</f>
        <v/>
      </c>
      <c r="AE584" s="643"/>
      <c r="AF584" s="644"/>
      <c r="AG584" s="644"/>
      <c r="AH584" s="644"/>
      <c r="AI584" s="644"/>
      <c r="AJ584" s="644"/>
      <c r="AK584" s="547"/>
      <c r="AL584" s="576"/>
    </row>
    <row r="585" spans="5:38" x14ac:dyDescent="0.3">
      <c r="E585" s="293" t="s">
        <v>546</v>
      </c>
      <c r="F585" s="605" t="s">
        <v>556</v>
      </c>
      <c r="G585" s="294">
        <v>1</v>
      </c>
      <c r="H585" s="295" t="s">
        <v>45</v>
      </c>
      <c r="P585" s="295" t="s">
        <v>576</v>
      </c>
      <c r="R585" s="500">
        <v>0</v>
      </c>
      <c r="S585" s="639"/>
      <c r="T585" s="640"/>
      <c r="U585" s="640"/>
      <c r="V585" s="640"/>
      <c r="W585" s="640"/>
      <c r="X585" s="640"/>
      <c r="Y585" s="553"/>
      <c r="Z585" s="527" t="str">
        <f>IFERROR(INDEX(잔가map!$C$14:$AR$18,MATCH(차량DB!$Z$5,잔가map!$B$14:$B$18,0),MATCH(차량DB!Y585,잔가map!$C$13:$AR$13,0)),"")</f>
        <v/>
      </c>
      <c r="AA585" s="527" t="str">
        <f>IFERROR(INDEX(잔가map!$C$14:$AR$18,MATCH(차량DB!$AA$5,잔가map!$B$14:$B$18,0),MATCH(차량DB!Y585,잔가map!$C$13:$AR$13,0)),"")</f>
        <v/>
      </c>
      <c r="AB585" s="527" t="str">
        <f>IFERROR(INDEX(잔가map!$C$14:$AR$18,MATCH(차량DB!$AB$5,잔가map!$B$14:$B$18,0),MATCH(차량DB!Y585,잔가map!$C$13:$AR$13,0)),"")</f>
        <v/>
      </c>
      <c r="AC585" s="527" t="str">
        <f>IFERROR(INDEX(잔가map!$C$14:$AR$18,MATCH(차량DB!$AC$5,잔가map!$B$14:$B$18,0),MATCH(차량DB!Y585,잔가map!$C$13:$AR$13,0)),"")</f>
        <v/>
      </c>
      <c r="AD585" s="527" t="str">
        <f>IFERROR(INDEX(잔가map!$C$14:$AR$18,MATCH(차량DB!$AD$5,잔가map!$B$14:$B$18,0),MATCH(차량DB!Y585,잔가map!$C$13:$AR$13,0)),"")</f>
        <v/>
      </c>
      <c r="AE585" s="643"/>
      <c r="AF585" s="644"/>
      <c r="AG585" s="644"/>
      <c r="AH585" s="644"/>
      <c r="AI585" s="644"/>
      <c r="AJ585" s="644"/>
      <c r="AK585" s="547"/>
      <c r="AL585" s="576"/>
    </row>
    <row r="586" spans="5:38" x14ac:dyDescent="0.3">
      <c r="E586" s="293" t="s">
        <v>423</v>
      </c>
      <c r="F586" s="605" t="s">
        <v>1057</v>
      </c>
      <c r="G586" s="294">
        <v>2393</v>
      </c>
      <c r="H586" s="295" t="s">
        <v>45</v>
      </c>
      <c r="I586" s="294">
        <v>65700000</v>
      </c>
      <c r="P586" s="295" t="s">
        <v>576</v>
      </c>
      <c r="R586" s="500"/>
      <c r="S586" s="639"/>
      <c r="T586" s="640"/>
      <c r="U586" s="640"/>
      <c r="V586" s="640"/>
      <c r="W586" s="640"/>
      <c r="X586" s="640"/>
      <c r="Y586" s="553"/>
      <c r="Z586" s="527" t="str">
        <f>IFERROR(INDEX(잔가map!$C$14:$AR$18,MATCH(차량DB!$Z$5,잔가map!$B$14:$B$18,0),MATCH(차량DB!Y586,잔가map!$C$13:$AR$13,0)),"")</f>
        <v/>
      </c>
      <c r="AA586" s="527" t="str">
        <f>IFERROR(INDEX(잔가map!$C$14:$AR$18,MATCH(차량DB!$AA$5,잔가map!$B$14:$B$18,0),MATCH(차량DB!Y586,잔가map!$C$13:$AR$13,0)),"")</f>
        <v/>
      </c>
      <c r="AB586" s="527" t="str">
        <f>IFERROR(INDEX(잔가map!$C$14:$AR$18,MATCH(차량DB!$AB$5,잔가map!$B$14:$B$18,0),MATCH(차량DB!Y586,잔가map!$C$13:$AR$13,0)),"")</f>
        <v/>
      </c>
      <c r="AC586" s="527" t="str">
        <f>IFERROR(INDEX(잔가map!$C$14:$AR$18,MATCH(차량DB!$AC$5,잔가map!$B$14:$B$18,0),MATCH(차량DB!Y586,잔가map!$C$13:$AR$13,0)),"")</f>
        <v/>
      </c>
      <c r="AD586" s="527" t="str">
        <f>IFERROR(INDEX(잔가map!$C$14:$AR$18,MATCH(차량DB!$AD$5,잔가map!$B$14:$B$18,0),MATCH(차량DB!Y586,잔가map!$C$13:$AR$13,0)),"")</f>
        <v/>
      </c>
      <c r="AE586" s="643"/>
      <c r="AF586" s="644"/>
      <c r="AG586" s="644"/>
      <c r="AH586" s="644"/>
      <c r="AI586" s="644"/>
      <c r="AJ586" s="644"/>
      <c r="AK586" s="547"/>
      <c r="AL586" s="576"/>
    </row>
    <row r="587" spans="5:38" x14ac:dyDescent="0.3">
      <c r="E587" s="293" t="s">
        <v>423</v>
      </c>
      <c r="F587" s="605" t="s">
        <v>1058</v>
      </c>
      <c r="G587" s="294">
        <v>2487</v>
      </c>
      <c r="H587" s="295" t="s">
        <v>45</v>
      </c>
      <c r="I587" s="294">
        <v>57500000</v>
      </c>
      <c r="P587" s="295" t="s">
        <v>576</v>
      </c>
      <c r="R587" s="500"/>
      <c r="S587" s="639"/>
      <c r="T587" s="640"/>
      <c r="U587" s="640"/>
      <c r="V587" s="640"/>
      <c r="W587" s="640"/>
      <c r="X587" s="640"/>
      <c r="Y587" s="553"/>
      <c r="Z587" s="527" t="str">
        <f>IFERROR(INDEX(잔가map!$C$14:$AR$18,MATCH(차량DB!$Z$5,잔가map!$B$14:$B$18,0),MATCH(차량DB!Y587,잔가map!$C$13:$AR$13,0)),"")</f>
        <v/>
      </c>
      <c r="AA587" s="527" t="str">
        <f>IFERROR(INDEX(잔가map!$C$14:$AR$18,MATCH(차량DB!$AA$5,잔가map!$B$14:$B$18,0),MATCH(차량DB!Y587,잔가map!$C$13:$AR$13,0)),"")</f>
        <v/>
      </c>
      <c r="AB587" s="527" t="str">
        <f>IFERROR(INDEX(잔가map!$C$14:$AR$18,MATCH(차량DB!$AB$5,잔가map!$B$14:$B$18,0),MATCH(차량DB!Y587,잔가map!$C$13:$AR$13,0)),"")</f>
        <v/>
      </c>
      <c r="AC587" s="527" t="str">
        <f>IFERROR(INDEX(잔가map!$C$14:$AR$18,MATCH(차량DB!$AC$5,잔가map!$B$14:$B$18,0),MATCH(차량DB!Y587,잔가map!$C$13:$AR$13,0)),"")</f>
        <v/>
      </c>
      <c r="AD587" s="527" t="str">
        <f>IFERROR(INDEX(잔가map!$C$14:$AR$18,MATCH(차량DB!$AD$5,잔가map!$B$14:$B$18,0),MATCH(차량DB!Y587,잔가map!$C$13:$AR$13,0)),"")</f>
        <v/>
      </c>
      <c r="AE587" s="643"/>
      <c r="AF587" s="644"/>
      <c r="AG587" s="644"/>
      <c r="AH587" s="644"/>
      <c r="AI587" s="644"/>
      <c r="AJ587" s="644"/>
      <c r="AK587" s="547"/>
      <c r="AL587" s="576"/>
    </row>
    <row r="588" spans="5:38" x14ac:dyDescent="0.3">
      <c r="E588" s="293" t="s">
        <v>423</v>
      </c>
      <c r="F588" s="605" t="s">
        <v>534</v>
      </c>
      <c r="G588" s="294">
        <v>1497</v>
      </c>
      <c r="H588" s="295" t="s">
        <v>45</v>
      </c>
      <c r="I588" s="294">
        <v>25900000</v>
      </c>
      <c r="P588" s="295" t="s">
        <v>576</v>
      </c>
      <c r="R588" s="500">
        <v>0</v>
      </c>
      <c r="S588" s="639"/>
      <c r="T588" s="640"/>
      <c r="U588" s="640"/>
      <c r="V588" s="640"/>
      <c r="W588" s="640"/>
      <c r="X588" s="640"/>
      <c r="Y588" s="553"/>
      <c r="Z588" s="527" t="str">
        <f>IFERROR(INDEX(잔가map!$C$14:$AR$18,MATCH(차량DB!$Z$5,잔가map!$B$14:$B$18,0),MATCH(차량DB!Y588,잔가map!$C$13:$AR$13,0)),"")</f>
        <v/>
      </c>
      <c r="AA588" s="527" t="str">
        <f>IFERROR(INDEX(잔가map!$C$14:$AR$18,MATCH(차량DB!$AA$5,잔가map!$B$14:$B$18,0),MATCH(차량DB!Y588,잔가map!$C$13:$AR$13,0)),"")</f>
        <v/>
      </c>
      <c r="AB588" s="527" t="str">
        <f>IFERROR(INDEX(잔가map!$C$14:$AR$18,MATCH(차량DB!$AB$5,잔가map!$B$14:$B$18,0),MATCH(차량DB!Y588,잔가map!$C$13:$AR$13,0)),"")</f>
        <v/>
      </c>
      <c r="AC588" s="527" t="str">
        <f>IFERROR(INDEX(잔가map!$C$14:$AR$18,MATCH(차량DB!$AC$5,잔가map!$B$14:$B$18,0),MATCH(차량DB!Y588,잔가map!$C$13:$AR$13,0)),"")</f>
        <v/>
      </c>
      <c r="AD588" s="527" t="str">
        <f>IFERROR(INDEX(잔가map!$C$14:$AR$18,MATCH(차량DB!$AD$5,잔가map!$B$14:$B$18,0),MATCH(차량DB!Y588,잔가map!$C$13:$AR$13,0)),"")</f>
        <v/>
      </c>
      <c r="AE588" s="643"/>
      <c r="AF588" s="644"/>
      <c r="AG588" s="644"/>
      <c r="AH588" s="644"/>
      <c r="AI588" s="644"/>
      <c r="AJ588" s="644"/>
      <c r="AK588" s="547"/>
      <c r="AL588" s="576"/>
    </row>
    <row r="589" spans="5:38" x14ac:dyDescent="0.3">
      <c r="E589" s="293" t="s">
        <v>423</v>
      </c>
      <c r="F589" s="605" t="s">
        <v>535</v>
      </c>
      <c r="G589" s="294">
        <v>1798</v>
      </c>
      <c r="H589" s="295" t="s">
        <v>45</v>
      </c>
      <c r="I589" s="294">
        <v>33970000</v>
      </c>
      <c r="P589" s="295" t="s">
        <v>576</v>
      </c>
      <c r="R589" s="500">
        <v>0</v>
      </c>
      <c r="S589" s="639"/>
      <c r="T589" s="640"/>
      <c r="U589" s="640"/>
      <c r="V589" s="640"/>
      <c r="W589" s="640"/>
      <c r="X589" s="640"/>
      <c r="Y589" s="553"/>
      <c r="Z589" s="527" t="str">
        <f>IFERROR(INDEX(잔가map!$C$14:$AR$18,MATCH(차량DB!$Z$5,잔가map!$B$14:$B$18,0),MATCH(차량DB!Y589,잔가map!$C$13:$AR$13,0)),"")</f>
        <v/>
      </c>
      <c r="AA589" s="527" t="str">
        <f>IFERROR(INDEX(잔가map!$C$14:$AR$18,MATCH(차량DB!$AA$5,잔가map!$B$14:$B$18,0),MATCH(차량DB!Y589,잔가map!$C$13:$AR$13,0)),"")</f>
        <v/>
      </c>
      <c r="AB589" s="527" t="str">
        <f>IFERROR(INDEX(잔가map!$C$14:$AR$18,MATCH(차량DB!$AB$5,잔가map!$B$14:$B$18,0),MATCH(차량DB!Y589,잔가map!$C$13:$AR$13,0)),"")</f>
        <v/>
      </c>
      <c r="AC589" s="527" t="str">
        <f>IFERROR(INDEX(잔가map!$C$14:$AR$18,MATCH(차량DB!$AC$5,잔가map!$B$14:$B$18,0),MATCH(차량DB!Y589,잔가map!$C$13:$AR$13,0)),"")</f>
        <v/>
      </c>
      <c r="AD589" s="527" t="str">
        <f>IFERROR(INDEX(잔가map!$C$14:$AR$18,MATCH(차량DB!$AD$5,잔가map!$B$14:$B$18,0),MATCH(차량DB!Y589,잔가map!$C$13:$AR$13,0)),"")</f>
        <v/>
      </c>
      <c r="AE589" s="643"/>
      <c r="AF589" s="644"/>
      <c r="AG589" s="644"/>
      <c r="AH589" s="644"/>
      <c r="AI589" s="644"/>
      <c r="AJ589" s="644"/>
      <c r="AK589" s="547"/>
      <c r="AL589" s="576"/>
    </row>
    <row r="590" spans="5:38" x14ac:dyDescent="0.3">
      <c r="E590" s="293" t="s">
        <v>423</v>
      </c>
      <c r="F590" s="605" t="s">
        <v>536</v>
      </c>
      <c r="G590" s="294">
        <v>1798</v>
      </c>
      <c r="H590" s="295" t="s">
        <v>45</v>
      </c>
      <c r="I590" s="294">
        <v>37120000</v>
      </c>
      <c r="P590" s="295" t="s">
        <v>576</v>
      </c>
      <c r="R590" s="500">
        <v>0</v>
      </c>
      <c r="S590" s="639"/>
      <c r="T590" s="640"/>
      <c r="U590" s="640"/>
      <c r="V590" s="640"/>
      <c r="W590" s="640"/>
      <c r="X590" s="640"/>
      <c r="Y590" s="553"/>
      <c r="Z590" s="527" t="str">
        <f>IFERROR(INDEX(잔가map!$C$14:$AR$18,MATCH(차량DB!$Z$5,잔가map!$B$14:$B$18,0),MATCH(차량DB!Y590,잔가map!$C$13:$AR$13,0)),"")</f>
        <v/>
      </c>
      <c r="AA590" s="527" t="str">
        <f>IFERROR(INDEX(잔가map!$C$14:$AR$18,MATCH(차량DB!$AA$5,잔가map!$B$14:$B$18,0),MATCH(차량DB!Y590,잔가map!$C$13:$AR$13,0)),"")</f>
        <v/>
      </c>
      <c r="AB590" s="527" t="str">
        <f>IFERROR(INDEX(잔가map!$C$14:$AR$18,MATCH(차량DB!$AB$5,잔가map!$B$14:$B$18,0),MATCH(차량DB!Y590,잔가map!$C$13:$AR$13,0)),"")</f>
        <v/>
      </c>
      <c r="AC590" s="527" t="str">
        <f>IFERROR(INDEX(잔가map!$C$14:$AR$18,MATCH(차량DB!$AC$5,잔가map!$B$14:$B$18,0),MATCH(차량DB!Y590,잔가map!$C$13:$AR$13,0)),"")</f>
        <v/>
      </c>
      <c r="AD590" s="527" t="str">
        <f>IFERROR(INDEX(잔가map!$C$14:$AR$18,MATCH(차량DB!$AD$5,잔가map!$B$14:$B$18,0),MATCH(차량DB!Y590,잔가map!$C$13:$AR$13,0)),"")</f>
        <v/>
      </c>
      <c r="AE590" s="643"/>
      <c r="AF590" s="644"/>
      <c r="AG590" s="644"/>
      <c r="AH590" s="644"/>
      <c r="AI590" s="644"/>
      <c r="AJ590" s="644"/>
      <c r="AK590" s="547"/>
      <c r="AL590" s="576"/>
    </row>
    <row r="591" spans="5:38" x14ac:dyDescent="0.3">
      <c r="E591" s="293" t="s">
        <v>423</v>
      </c>
      <c r="F591" s="605" t="s">
        <v>537</v>
      </c>
      <c r="G591" s="294">
        <v>1798</v>
      </c>
      <c r="H591" s="295" t="s">
        <v>45</v>
      </c>
      <c r="I591" s="294">
        <v>49340000</v>
      </c>
      <c r="P591" s="295" t="s">
        <v>576</v>
      </c>
      <c r="R591" s="500">
        <v>0</v>
      </c>
      <c r="S591" s="639"/>
      <c r="T591" s="640"/>
      <c r="U591" s="640"/>
      <c r="V591" s="640"/>
      <c r="W591" s="640"/>
      <c r="X591" s="640"/>
      <c r="Y591" s="553"/>
      <c r="Z591" s="527" t="str">
        <f>IFERROR(INDEX(잔가map!$C$14:$AR$18,MATCH(차량DB!$Z$5,잔가map!$B$14:$B$18,0),MATCH(차량DB!Y591,잔가map!$C$13:$AR$13,0)),"")</f>
        <v/>
      </c>
      <c r="AA591" s="527" t="str">
        <f>IFERROR(INDEX(잔가map!$C$14:$AR$18,MATCH(차량DB!$AA$5,잔가map!$B$14:$B$18,0),MATCH(차량DB!Y591,잔가map!$C$13:$AR$13,0)),"")</f>
        <v/>
      </c>
      <c r="AB591" s="527" t="str">
        <f>IFERROR(INDEX(잔가map!$C$14:$AR$18,MATCH(차량DB!$AB$5,잔가map!$B$14:$B$18,0),MATCH(차량DB!Y591,잔가map!$C$13:$AR$13,0)),"")</f>
        <v/>
      </c>
      <c r="AC591" s="527" t="str">
        <f>IFERROR(INDEX(잔가map!$C$14:$AR$18,MATCH(차량DB!$AC$5,잔가map!$B$14:$B$18,0),MATCH(차량DB!Y591,잔가map!$C$13:$AR$13,0)),"")</f>
        <v/>
      </c>
      <c r="AD591" s="527" t="str">
        <f>IFERROR(INDEX(잔가map!$C$14:$AR$18,MATCH(차량DB!$AD$5,잔가map!$B$14:$B$18,0),MATCH(차량DB!Y591,잔가map!$C$13:$AR$13,0)),"")</f>
        <v/>
      </c>
      <c r="AE591" s="643"/>
      <c r="AF591" s="644"/>
      <c r="AG591" s="644"/>
      <c r="AH591" s="644"/>
      <c r="AI591" s="644"/>
      <c r="AJ591" s="644"/>
      <c r="AK591" s="547"/>
      <c r="AL591" s="576"/>
    </row>
    <row r="592" spans="5:38" x14ac:dyDescent="0.3">
      <c r="E592" s="293" t="s">
        <v>423</v>
      </c>
      <c r="F592" s="605" t="s">
        <v>1062</v>
      </c>
      <c r="G592" s="294">
        <v>2487</v>
      </c>
      <c r="H592" s="295" t="s">
        <v>58</v>
      </c>
      <c r="I592" s="294">
        <v>44300000</v>
      </c>
      <c r="P592" s="295" t="s">
        <v>576</v>
      </c>
      <c r="R592" s="500">
        <v>0</v>
      </c>
      <c r="S592" s="639"/>
      <c r="T592" s="640"/>
      <c r="U592" s="640"/>
      <c r="V592" s="640"/>
      <c r="W592" s="640"/>
      <c r="X592" s="640"/>
      <c r="Y592" s="553"/>
      <c r="Z592" s="527" t="str">
        <f>IFERROR(INDEX(잔가map!$C$14:$AR$18,MATCH(차량DB!$Z$5,잔가map!$B$14:$B$18,0),MATCH(차량DB!Y592,잔가map!$C$13:$AR$13,0)),"")</f>
        <v/>
      </c>
      <c r="AA592" s="527" t="str">
        <f>IFERROR(INDEX(잔가map!$C$14:$AR$18,MATCH(차량DB!$AA$5,잔가map!$B$14:$B$18,0),MATCH(차량DB!Y592,잔가map!$C$13:$AR$13,0)),"")</f>
        <v/>
      </c>
      <c r="AB592" s="527" t="str">
        <f>IFERROR(INDEX(잔가map!$C$14:$AR$18,MATCH(차량DB!$AB$5,잔가map!$B$14:$B$18,0),MATCH(차량DB!Y592,잔가map!$C$13:$AR$13,0)),"")</f>
        <v/>
      </c>
      <c r="AC592" s="527" t="str">
        <f>IFERROR(INDEX(잔가map!$C$14:$AR$18,MATCH(차량DB!$AC$5,잔가map!$B$14:$B$18,0),MATCH(차량DB!Y592,잔가map!$C$13:$AR$13,0)),"")</f>
        <v/>
      </c>
      <c r="AD592" s="527" t="str">
        <f>IFERROR(INDEX(잔가map!$C$14:$AR$18,MATCH(차량DB!$AD$5,잔가map!$B$14:$B$18,0),MATCH(차량DB!Y592,잔가map!$C$13:$AR$13,0)),"")</f>
        <v/>
      </c>
      <c r="AE592" s="643"/>
      <c r="AF592" s="644"/>
      <c r="AG592" s="644"/>
      <c r="AH592" s="644"/>
      <c r="AI592" s="644"/>
      <c r="AJ592" s="644"/>
      <c r="AK592" s="547"/>
      <c r="AL592" s="576"/>
    </row>
    <row r="593" spans="1:38" x14ac:dyDescent="0.3">
      <c r="E593" s="293" t="s">
        <v>423</v>
      </c>
      <c r="F593" s="605" t="s">
        <v>1063</v>
      </c>
      <c r="G593" s="294">
        <v>2487</v>
      </c>
      <c r="H593" s="295" t="s">
        <v>58</v>
      </c>
      <c r="I593" s="294">
        <v>50200000</v>
      </c>
      <c r="P593" s="295" t="s">
        <v>576</v>
      </c>
      <c r="R593" s="500">
        <v>0</v>
      </c>
      <c r="S593" s="639"/>
      <c r="T593" s="640"/>
      <c r="U593" s="640"/>
      <c r="V593" s="640"/>
      <c r="W593" s="640"/>
      <c r="X593" s="640"/>
      <c r="Y593" s="553"/>
      <c r="Z593" s="527" t="str">
        <f>IFERROR(INDEX(잔가map!$C$14:$AR$18,MATCH(차량DB!$Z$5,잔가map!$B$14:$B$18,0),MATCH(차량DB!Y593,잔가map!$C$13:$AR$13,0)),"")</f>
        <v/>
      </c>
      <c r="AA593" s="527" t="str">
        <f>IFERROR(INDEX(잔가map!$C$14:$AR$18,MATCH(차량DB!$AA$5,잔가map!$B$14:$B$18,0),MATCH(차량DB!Y593,잔가map!$C$13:$AR$13,0)),"")</f>
        <v/>
      </c>
      <c r="AB593" s="527" t="str">
        <f>IFERROR(INDEX(잔가map!$C$14:$AR$18,MATCH(차량DB!$AB$5,잔가map!$B$14:$B$18,0),MATCH(차량DB!Y593,잔가map!$C$13:$AR$13,0)),"")</f>
        <v/>
      </c>
      <c r="AC593" s="527" t="str">
        <f>IFERROR(INDEX(잔가map!$C$14:$AR$18,MATCH(차량DB!$AC$5,잔가map!$B$14:$B$18,0),MATCH(차량DB!Y593,잔가map!$C$13:$AR$13,0)),"")</f>
        <v/>
      </c>
      <c r="AD593" s="527" t="str">
        <f>IFERROR(INDEX(잔가map!$C$14:$AR$18,MATCH(차량DB!$AD$5,잔가map!$B$14:$B$18,0),MATCH(차량DB!Y593,잔가map!$C$13:$AR$13,0)),"")</f>
        <v/>
      </c>
      <c r="AE593" s="643"/>
      <c r="AF593" s="644"/>
      <c r="AG593" s="644"/>
      <c r="AH593" s="644"/>
      <c r="AI593" s="644"/>
      <c r="AJ593" s="644"/>
      <c r="AK593" s="547"/>
      <c r="AL593" s="576"/>
    </row>
    <row r="594" spans="1:38" x14ac:dyDescent="0.3">
      <c r="E594" s="293" t="s">
        <v>423</v>
      </c>
      <c r="F594" s="605" t="s">
        <v>1064</v>
      </c>
      <c r="G594" s="294">
        <v>2487</v>
      </c>
      <c r="H594" s="295" t="s">
        <v>58</v>
      </c>
      <c r="I594" s="294">
        <v>56500000</v>
      </c>
      <c r="P594" s="295" t="s">
        <v>576</v>
      </c>
      <c r="R594" s="500"/>
      <c r="S594" s="639"/>
      <c r="T594" s="640"/>
      <c r="U594" s="640"/>
      <c r="V594" s="640"/>
      <c r="W594" s="640"/>
      <c r="X594" s="640"/>
      <c r="Y594" s="553"/>
      <c r="Z594" s="527" t="str">
        <f>IFERROR(INDEX(잔가map!$C$14:$AR$18,MATCH(차량DB!$Z$5,잔가map!$B$14:$B$18,0),MATCH(차량DB!Y594,잔가map!$C$13:$AR$13,0)),"")</f>
        <v/>
      </c>
      <c r="AA594" s="527" t="str">
        <f>IFERROR(INDEX(잔가map!$C$14:$AR$18,MATCH(차량DB!$AA$5,잔가map!$B$14:$B$18,0),MATCH(차량DB!Y594,잔가map!$C$13:$AR$13,0)),"")</f>
        <v/>
      </c>
      <c r="AB594" s="527" t="str">
        <f>IFERROR(INDEX(잔가map!$C$14:$AR$18,MATCH(차량DB!$AB$5,잔가map!$B$14:$B$18,0),MATCH(차량DB!Y594,잔가map!$C$13:$AR$13,0)),"")</f>
        <v/>
      </c>
      <c r="AC594" s="527" t="str">
        <f>IFERROR(INDEX(잔가map!$C$14:$AR$18,MATCH(차량DB!$AC$5,잔가map!$B$14:$B$18,0),MATCH(차량DB!Y594,잔가map!$C$13:$AR$13,0)),"")</f>
        <v/>
      </c>
      <c r="AD594" s="527" t="str">
        <f>IFERROR(INDEX(잔가map!$C$14:$AR$18,MATCH(차량DB!$AD$5,잔가map!$B$14:$B$18,0),MATCH(차량DB!Y594,잔가map!$C$13:$AR$13,0)),"")</f>
        <v/>
      </c>
      <c r="AE594" s="643"/>
      <c r="AF594" s="644"/>
      <c r="AG594" s="644"/>
      <c r="AH594" s="644"/>
      <c r="AI594" s="644"/>
      <c r="AJ594" s="644"/>
      <c r="AK594" s="547"/>
      <c r="AL594" s="576"/>
    </row>
    <row r="595" spans="1:38" x14ac:dyDescent="0.3">
      <c r="E595" s="293" t="s">
        <v>423</v>
      </c>
      <c r="F595" s="605" t="s">
        <v>538</v>
      </c>
      <c r="G595" s="294">
        <v>2487</v>
      </c>
      <c r="H595" s="295" t="s">
        <v>45</v>
      </c>
      <c r="I595" s="294">
        <v>39000000</v>
      </c>
      <c r="P595" s="295" t="s">
        <v>576</v>
      </c>
      <c r="R595" s="500">
        <v>0</v>
      </c>
      <c r="S595" s="639"/>
      <c r="T595" s="640"/>
      <c r="U595" s="640"/>
      <c r="V595" s="640"/>
      <c r="W595" s="640"/>
      <c r="X595" s="640"/>
      <c r="Y595" s="553"/>
      <c r="Z595" s="527" t="str">
        <f>IFERROR(INDEX(잔가map!$C$14:$AR$18,MATCH(차량DB!$Z$5,잔가map!$B$14:$B$18,0),MATCH(차량DB!Y595,잔가map!$C$13:$AR$13,0)),"")</f>
        <v/>
      </c>
      <c r="AA595" s="527" t="str">
        <f>IFERROR(INDEX(잔가map!$C$14:$AR$18,MATCH(차량DB!$AA$5,잔가map!$B$14:$B$18,0),MATCH(차량DB!Y595,잔가map!$C$13:$AR$13,0)),"")</f>
        <v/>
      </c>
      <c r="AB595" s="527" t="str">
        <f>IFERROR(INDEX(잔가map!$C$14:$AR$18,MATCH(차량DB!$AB$5,잔가map!$B$14:$B$18,0),MATCH(차량DB!Y595,잔가map!$C$13:$AR$13,0)),"")</f>
        <v/>
      </c>
      <c r="AC595" s="527" t="str">
        <f>IFERROR(INDEX(잔가map!$C$14:$AR$18,MATCH(차량DB!$AC$5,잔가map!$B$14:$B$18,0),MATCH(차량DB!Y595,잔가map!$C$13:$AR$13,0)),"")</f>
        <v/>
      </c>
      <c r="AD595" s="527" t="str">
        <f>IFERROR(INDEX(잔가map!$C$14:$AR$18,MATCH(차량DB!$AD$5,잔가map!$B$14:$B$18,0),MATCH(차량DB!Y595,잔가map!$C$13:$AR$13,0)),"")</f>
        <v/>
      </c>
      <c r="AE595" s="643"/>
      <c r="AF595" s="644"/>
      <c r="AG595" s="644"/>
      <c r="AH595" s="644"/>
      <c r="AI595" s="644"/>
      <c r="AJ595" s="644"/>
      <c r="AK595" s="547"/>
      <c r="AL595" s="576"/>
    </row>
    <row r="596" spans="1:38" s="494" customFormat="1" x14ac:dyDescent="0.3">
      <c r="A596" s="295"/>
      <c r="B596" s="295"/>
      <c r="C596" s="295"/>
      <c r="D596" s="295"/>
      <c r="E596" s="293" t="s">
        <v>423</v>
      </c>
      <c r="F596" s="605" t="s">
        <v>633</v>
      </c>
      <c r="G596" s="294">
        <v>2487</v>
      </c>
      <c r="H596" s="295" t="s">
        <v>45</v>
      </c>
      <c r="I596" s="294">
        <v>45200000</v>
      </c>
      <c r="J596" s="487"/>
      <c r="K596" s="487"/>
      <c r="L596" s="487"/>
      <c r="M596" s="487"/>
      <c r="N596" s="487"/>
      <c r="O596" s="294"/>
      <c r="P596" s="295" t="s">
        <v>576</v>
      </c>
      <c r="Q596" s="295"/>
      <c r="R596" s="500">
        <v>0</v>
      </c>
      <c r="S596" s="639"/>
      <c r="T596" s="640"/>
      <c r="U596" s="640"/>
      <c r="V596" s="640"/>
      <c r="W596" s="640"/>
      <c r="X596" s="640"/>
      <c r="Y596" s="553"/>
      <c r="Z596" s="527" t="str">
        <f>IFERROR(INDEX(잔가map!$C$14:$AR$18,MATCH(차량DB!$Z$5,잔가map!$B$14:$B$18,0),MATCH(차량DB!Y596,잔가map!$C$13:$AR$13,0)),"")</f>
        <v/>
      </c>
      <c r="AA596" s="527" t="str">
        <f>IFERROR(INDEX(잔가map!$C$14:$AR$18,MATCH(차량DB!$AA$5,잔가map!$B$14:$B$18,0),MATCH(차량DB!Y596,잔가map!$C$13:$AR$13,0)),"")</f>
        <v/>
      </c>
      <c r="AB596" s="527" t="str">
        <f>IFERROR(INDEX(잔가map!$C$14:$AR$18,MATCH(차량DB!$AB$5,잔가map!$B$14:$B$18,0),MATCH(차량DB!Y596,잔가map!$C$13:$AR$13,0)),"")</f>
        <v/>
      </c>
      <c r="AC596" s="527" t="str">
        <f>IFERROR(INDEX(잔가map!$C$14:$AR$18,MATCH(차량DB!$AC$5,잔가map!$B$14:$B$18,0),MATCH(차량DB!Y596,잔가map!$C$13:$AR$13,0)),"")</f>
        <v/>
      </c>
      <c r="AD596" s="527" t="str">
        <f>IFERROR(INDEX(잔가map!$C$14:$AR$18,MATCH(차량DB!$AD$5,잔가map!$B$14:$B$18,0),MATCH(차량DB!Y596,잔가map!$C$13:$AR$13,0)),"")</f>
        <v/>
      </c>
      <c r="AE596" s="643"/>
      <c r="AF596" s="644"/>
      <c r="AG596" s="644"/>
      <c r="AH596" s="644"/>
      <c r="AI596" s="644"/>
      <c r="AJ596" s="644"/>
      <c r="AK596" s="547"/>
      <c r="AL596" s="576"/>
    </row>
    <row r="597" spans="1:38" x14ac:dyDescent="0.3">
      <c r="E597" s="293" t="s">
        <v>423</v>
      </c>
      <c r="F597" s="605" t="s">
        <v>539</v>
      </c>
      <c r="G597" s="294">
        <v>2487</v>
      </c>
      <c r="H597" s="295" t="s">
        <v>45</v>
      </c>
      <c r="I597" s="294">
        <v>44600000</v>
      </c>
      <c r="P597" s="295" t="s">
        <v>576</v>
      </c>
      <c r="R597" s="500">
        <v>0</v>
      </c>
      <c r="S597" s="639"/>
      <c r="T597" s="640"/>
      <c r="U597" s="640"/>
      <c r="V597" s="640"/>
      <c r="W597" s="640"/>
      <c r="X597" s="640"/>
      <c r="Y597" s="553"/>
      <c r="Z597" s="527" t="str">
        <f>IFERROR(INDEX(잔가map!$C$14:$AR$18,MATCH(차량DB!$Z$5,잔가map!$B$14:$B$18,0),MATCH(차량DB!Y597,잔가map!$C$13:$AR$13,0)),"")</f>
        <v/>
      </c>
      <c r="AA597" s="527" t="str">
        <f>IFERROR(INDEX(잔가map!$C$14:$AR$18,MATCH(차량DB!$AA$5,잔가map!$B$14:$B$18,0),MATCH(차량DB!Y597,잔가map!$C$13:$AR$13,0)),"")</f>
        <v/>
      </c>
      <c r="AB597" s="527" t="str">
        <f>IFERROR(INDEX(잔가map!$C$14:$AR$18,MATCH(차량DB!$AB$5,잔가map!$B$14:$B$18,0),MATCH(차량DB!Y597,잔가map!$C$13:$AR$13,0)),"")</f>
        <v/>
      </c>
      <c r="AC597" s="527" t="str">
        <f>IFERROR(INDEX(잔가map!$C$14:$AR$18,MATCH(차량DB!$AC$5,잔가map!$B$14:$B$18,0),MATCH(차량DB!Y597,잔가map!$C$13:$AR$13,0)),"")</f>
        <v/>
      </c>
      <c r="AD597" s="527" t="str">
        <f>IFERROR(INDEX(잔가map!$C$14:$AR$18,MATCH(차량DB!$AD$5,잔가map!$B$14:$B$18,0),MATCH(차량DB!Y597,잔가map!$C$13:$AR$13,0)),"")</f>
        <v/>
      </c>
      <c r="AE597" s="643"/>
      <c r="AF597" s="644"/>
      <c r="AG597" s="644"/>
      <c r="AH597" s="644"/>
      <c r="AI597" s="644"/>
      <c r="AJ597" s="644"/>
      <c r="AK597" s="547"/>
      <c r="AL597" s="576"/>
    </row>
    <row r="598" spans="1:38" x14ac:dyDescent="0.3">
      <c r="E598" s="293" t="s">
        <v>423</v>
      </c>
      <c r="F598" s="605" t="s">
        <v>1060</v>
      </c>
      <c r="G598" s="294">
        <v>1998</v>
      </c>
      <c r="H598" s="295" t="s">
        <v>45</v>
      </c>
      <c r="I598" s="294">
        <v>40900000</v>
      </c>
      <c r="P598" s="295" t="s">
        <v>576</v>
      </c>
      <c r="R598" s="500"/>
      <c r="S598" s="639"/>
      <c r="T598" s="640"/>
      <c r="U598" s="640"/>
      <c r="V598" s="640"/>
      <c r="W598" s="640"/>
      <c r="X598" s="640"/>
      <c r="Y598" s="553"/>
      <c r="Z598" s="527" t="str">
        <f>IFERROR(INDEX(잔가map!$C$14:$AR$18,MATCH(차량DB!$Z$5,잔가map!$B$14:$B$18,0),MATCH(차량DB!Y598,잔가map!$C$13:$AR$13,0)),"")</f>
        <v/>
      </c>
      <c r="AA598" s="527" t="str">
        <f>IFERROR(INDEX(잔가map!$C$14:$AR$18,MATCH(차량DB!$AA$5,잔가map!$B$14:$B$18,0),MATCH(차량DB!Y598,잔가map!$C$13:$AR$13,0)),"")</f>
        <v/>
      </c>
      <c r="AB598" s="527" t="str">
        <f>IFERROR(INDEX(잔가map!$C$14:$AR$18,MATCH(차량DB!$AB$5,잔가map!$B$14:$B$18,0),MATCH(차량DB!Y598,잔가map!$C$13:$AR$13,0)),"")</f>
        <v/>
      </c>
      <c r="AC598" s="527" t="str">
        <f>IFERROR(INDEX(잔가map!$C$14:$AR$18,MATCH(차량DB!$AC$5,잔가map!$B$14:$B$18,0),MATCH(차량DB!Y598,잔가map!$C$13:$AR$13,0)),"")</f>
        <v/>
      </c>
      <c r="AD598" s="527" t="str">
        <f>IFERROR(INDEX(잔가map!$C$14:$AR$18,MATCH(차량DB!$AD$5,잔가map!$B$14:$B$18,0),MATCH(차량DB!Y598,잔가map!$C$13:$AR$13,0)),"")</f>
        <v/>
      </c>
      <c r="AE598" s="643"/>
      <c r="AF598" s="644"/>
      <c r="AG598" s="644"/>
      <c r="AH598" s="644"/>
      <c r="AI598" s="644"/>
      <c r="AJ598" s="644"/>
      <c r="AK598" s="547"/>
      <c r="AL598" s="576"/>
    </row>
    <row r="599" spans="1:38" x14ac:dyDescent="0.3">
      <c r="E599" s="293" t="s">
        <v>423</v>
      </c>
      <c r="F599" s="605" t="s">
        <v>1059</v>
      </c>
      <c r="G599" s="294">
        <v>1998</v>
      </c>
      <c r="H599" s="295" t="s">
        <v>45</v>
      </c>
      <c r="I599" s="294">
        <v>46900000</v>
      </c>
      <c r="P599" s="295" t="s">
        <v>576</v>
      </c>
      <c r="R599" s="500"/>
      <c r="S599" s="639"/>
      <c r="T599" s="640"/>
      <c r="U599" s="640"/>
      <c r="V599" s="640"/>
      <c r="W599" s="640"/>
      <c r="X599" s="640"/>
      <c r="Y599" s="553"/>
      <c r="Z599" s="527" t="str">
        <f>IFERROR(INDEX(잔가map!$C$14:$AR$18,MATCH(차량DB!$Z$5,잔가map!$B$14:$B$18,0),MATCH(차량DB!Y599,잔가map!$C$13:$AR$13,0)),"")</f>
        <v/>
      </c>
      <c r="AA599" s="527" t="str">
        <f>IFERROR(INDEX(잔가map!$C$14:$AR$18,MATCH(차량DB!$AA$5,잔가map!$B$14:$B$18,0),MATCH(차량DB!Y599,잔가map!$C$13:$AR$13,0)),"")</f>
        <v/>
      </c>
      <c r="AB599" s="527" t="str">
        <f>IFERROR(INDEX(잔가map!$C$14:$AR$18,MATCH(차량DB!$AB$5,잔가map!$B$14:$B$18,0),MATCH(차량DB!Y599,잔가map!$C$13:$AR$13,0)),"")</f>
        <v/>
      </c>
      <c r="AC599" s="527" t="str">
        <f>IFERROR(INDEX(잔가map!$C$14:$AR$18,MATCH(차량DB!$AC$5,잔가map!$B$14:$B$18,0),MATCH(차량DB!Y599,잔가map!$C$13:$AR$13,0)),"")</f>
        <v/>
      </c>
      <c r="AD599" s="527" t="str">
        <f>IFERROR(INDEX(잔가map!$C$14:$AR$18,MATCH(차량DB!$AD$5,잔가map!$B$14:$B$18,0),MATCH(차량DB!Y599,잔가map!$C$13:$AR$13,0)),"")</f>
        <v/>
      </c>
      <c r="AE599" s="643"/>
      <c r="AF599" s="644"/>
      <c r="AG599" s="644"/>
      <c r="AH599" s="644"/>
      <c r="AI599" s="644"/>
      <c r="AJ599" s="644"/>
      <c r="AK599" s="547"/>
      <c r="AL599" s="576"/>
    </row>
    <row r="600" spans="1:38" x14ac:dyDescent="0.3">
      <c r="E600" s="293" t="s">
        <v>423</v>
      </c>
      <c r="F600" s="605" t="s">
        <v>1061</v>
      </c>
      <c r="G600" s="294">
        <v>2998</v>
      </c>
      <c r="H600" s="295" t="s">
        <v>45</v>
      </c>
      <c r="I600" s="294">
        <v>79800000</v>
      </c>
      <c r="P600" s="295" t="s">
        <v>576</v>
      </c>
      <c r="R600" s="500">
        <v>0</v>
      </c>
      <c r="S600" s="639"/>
      <c r="T600" s="640"/>
      <c r="U600" s="640"/>
      <c r="V600" s="640"/>
      <c r="W600" s="640"/>
      <c r="X600" s="640"/>
      <c r="Y600" s="553"/>
      <c r="Z600" s="527" t="str">
        <f>IFERROR(INDEX(잔가map!$C$14:$AR$18,MATCH(차량DB!$Z$5,잔가map!$B$14:$B$18,0),MATCH(차량DB!Y600,잔가map!$C$13:$AR$13,0)),"")</f>
        <v/>
      </c>
      <c r="AA600" s="527" t="str">
        <f>IFERROR(INDEX(잔가map!$C$14:$AR$18,MATCH(차량DB!$AA$5,잔가map!$B$14:$B$18,0),MATCH(차량DB!Y600,잔가map!$C$13:$AR$13,0)),"")</f>
        <v/>
      </c>
      <c r="AB600" s="527" t="str">
        <f>IFERROR(INDEX(잔가map!$C$14:$AR$18,MATCH(차량DB!$AB$5,잔가map!$B$14:$B$18,0),MATCH(차량DB!Y600,잔가map!$C$13:$AR$13,0)),"")</f>
        <v/>
      </c>
      <c r="AC600" s="527" t="str">
        <f>IFERROR(INDEX(잔가map!$C$14:$AR$18,MATCH(차량DB!$AC$5,잔가map!$B$14:$B$18,0),MATCH(차량DB!Y600,잔가map!$C$13:$AR$13,0)),"")</f>
        <v/>
      </c>
      <c r="AD600" s="527" t="str">
        <f>IFERROR(INDEX(잔가map!$C$14:$AR$18,MATCH(차량DB!$AD$5,잔가map!$B$14:$B$18,0),MATCH(차량DB!Y600,잔가map!$C$13:$AR$13,0)),"")</f>
        <v/>
      </c>
      <c r="AE600" s="643"/>
      <c r="AF600" s="644"/>
      <c r="AG600" s="644"/>
      <c r="AH600" s="644"/>
      <c r="AI600" s="644"/>
      <c r="AJ600" s="644"/>
      <c r="AK600" s="547"/>
      <c r="AL600" s="576"/>
    </row>
    <row r="601" spans="1:38" x14ac:dyDescent="0.3">
      <c r="E601" s="293" t="s">
        <v>423</v>
      </c>
      <c r="F601" s="605" t="s">
        <v>1271</v>
      </c>
      <c r="G601" s="294">
        <v>2487</v>
      </c>
      <c r="H601" s="295" t="s">
        <v>305</v>
      </c>
      <c r="I601" s="294">
        <v>100490000</v>
      </c>
      <c r="P601" s="295" t="s">
        <v>1269</v>
      </c>
      <c r="R601" s="500">
        <v>0</v>
      </c>
      <c r="S601" s="639" t="s">
        <v>1262</v>
      </c>
      <c r="T601" s="640"/>
      <c r="U601" s="640"/>
      <c r="V601" s="640"/>
      <c r="W601" s="640"/>
      <c r="X601" s="640"/>
      <c r="Y601" s="553"/>
      <c r="Z601" s="527" t="str">
        <f>IFERROR(INDEX(잔가map!$C$14:$AR$18,MATCH(차량DB!$Z$5,잔가map!$B$14:$B$18,0),MATCH(차량DB!Y601,잔가map!$C$13:$AR$13,0)),"")</f>
        <v/>
      </c>
      <c r="AA601" s="527" t="str">
        <f>IFERROR(INDEX(잔가map!$C$14:$AR$18,MATCH(차량DB!$AA$5,잔가map!$B$14:$B$18,0),MATCH(차량DB!Y601,잔가map!$C$13:$AR$13,0)),"")</f>
        <v/>
      </c>
      <c r="AB601" s="527" t="str">
        <f>IFERROR(INDEX(잔가map!$C$14:$AR$18,MATCH(차량DB!$AB$5,잔가map!$B$14:$B$18,0),MATCH(차량DB!Y601,잔가map!$C$13:$AR$13,0)),"")</f>
        <v/>
      </c>
      <c r="AC601" s="527" t="str">
        <f>IFERROR(INDEX(잔가map!$C$14:$AR$18,MATCH(차량DB!$AC$5,잔가map!$B$14:$B$18,0),MATCH(차량DB!Y601,잔가map!$C$13:$AR$13,0)),"")</f>
        <v/>
      </c>
      <c r="AD601" s="527" t="str">
        <f>IFERROR(INDEX(잔가map!$C$14:$AR$18,MATCH(차량DB!$AD$5,잔가map!$B$14:$B$18,0),MATCH(차량DB!Y601,잔가map!$C$13:$AR$13,0)),"")</f>
        <v/>
      </c>
      <c r="AE601" s="643"/>
      <c r="AF601" s="644"/>
      <c r="AG601" s="644"/>
      <c r="AH601" s="644"/>
      <c r="AI601" s="644"/>
      <c r="AJ601" s="644"/>
      <c r="AK601" s="547"/>
      <c r="AL601" s="576"/>
    </row>
    <row r="602" spans="1:38" s="494" customFormat="1" x14ac:dyDescent="0.3">
      <c r="A602" s="295"/>
      <c r="B602" s="295"/>
      <c r="C602" s="295"/>
      <c r="D602" s="295"/>
      <c r="E602" s="293" t="s">
        <v>423</v>
      </c>
      <c r="F602" s="605" t="s">
        <v>1065</v>
      </c>
      <c r="G602" s="294">
        <v>2487</v>
      </c>
      <c r="H602" s="295" t="s">
        <v>305</v>
      </c>
      <c r="I602" s="294">
        <v>70600000</v>
      </c>
      <c r="J602" s="487"/>
      <c r="K602" s="487"/>
      <c r="L602" s="487"/>
      <c r="M602" s="487"/>
      <c r="N602" s="487"/>
      <c r="O602" s="294"/>
      <c r="P602" s="295" t="s">
        <v>576</v>
      </c>
      <c r="Q602" s="295"/>
      <c r="R602" s="500">
        <v>0</v>
      </c>
      <c r="S602" s="639"/>
      <c r="T602" s="640"/>
      <c r="U602" s="640"/>
      <c r="V602" s="640"/>
      <c r="W602" s="640"/>
      <c r="X602" s="640"/>
      <c r="Y602" s="553"/>
      <c r="Z602" s="527" t="str">
        <f>IFERROR(INDEX(잔가map!$C$14:$AR$18,MATCH(차량DB!$Z$5,잔가map!$B$14:$B$18,0),MATCH(차량DB!Y602,잔가map!$C$13:$AR$13,0)),"")</f>
        <v/>
      </c>
      <c r="AA602" s="527" t="str">
        <f>IFERROR(INDEX(잔가map!$C$14:$AR$18,MATCH(차량DB!$AA$5,잔가map!$B$14:$B$18,0),MATCH(차량DB!Y602,잔가map!$C$13:$AR$13,0)),"")</f>
        <v/>
      </c>
      <c r="AB602" s="527" t="str">
        <f>IFERROR(INDEX(잔가map!$C$14:$AR$18,MATCH(차량DB!$AB$5,잔가map!$B$14:$B$18,0),MATCH(차량DB!Y602,잔가map!$C$13:$AR$13,0)),"")</f>
        <v/>
      </c>
      <c r="AC602" s="527" t="str">
        <f>IFERROR(INDEX(잔가map!$C$14:$AR$18,MATCH(차량DB!$AC$5,잔가map!$B$14:$B$18,0),MATCH(차량DB!Y602,잔가map!$C$13:$AR$13,0)),"")</f>
        <v/>
      </c>
      <c r="AD602" s="527" t="str">
        <f>IFERROR(INDEX(잔가map!$C$14:$AR$18,MATCH(차량DB!$AD$5,잔가map!$B$14:$B$18,0),MATCH(차량DB!Y602,잔가map!$C$13:$AR$13,0)),"")</f>
        <v/>
      </c>
      <c r="AE602" s="643"/>
      <c r="AF602" s="644"/>
      <c r="AG602" s="644"/>
      <c r="AH602" s="644"/>
      <c r="AI602" s="644"/>
      <c r="AJ602" s="644"/>
      <c r="AK602" s="547"/>
      <c r="AL602" s="576"/>
    </row>
    <row r="603" spans="1:38" s="494" customFormat="1" x14ac:dyDescent="0.3">
      <c r="A603" s="295"/>
      <c r="B603" s="295"/>
      <c r="C603" s="295"/>
      <c r="D603" s="295"/>
      <c r="E603" s="293" t="s">
        <v>423</v>
      </c>
      <c r="F603" s="605" t="s">
        <v>1066</v>
      </c>
      <c r="G603" s="294">
        <v>2487</v>
      </c>
      <c r="H603" s="295" t="s">
        <v>305</v>
      </c>
      <c r="I603" s="294">
        <v>70500000</v>
      </c>
      <c r="J603" s="487"/>
      <c r="K603" s="487"/>
      <c r="L603" s="487"/>
      <c r="M603" s="487"/>
      <c r="N603" s="487"/>
      <c r="O603" s="294"/>
      <c r="P603" s="295" t="s">
        <v>576</v>
      </c>
      <c r="Q603" s="295"/>
      <c r="R603" s="500">
        <v>0</v>
      </c>
      <c r="S603" s="639"/>
      <c r="T603" s="640"/>
      <c r="U603" s="640"/>
      <c r="V603" s="640"/>
      <c r="W603" s="640"/>
      <c r="X603" s="640"/>
      <c r="Y603" s="553"/>
      <c r="Z603" s="527" t="str">
        <f>IFERROR(INDEX(잔가map!$C$14:$AR$18,MATCH(차량DB!$Z$5,잔가map!$B$14:$B$18,0),MATCH(차량DB!Y603,잔가map!$C$13:$AR$13,0)),"")</f>
        <v/>
      </c>
      <c r="AA603" s="527" t="str">
        <f>IFERROR(INDEX(잔가map!$C$14:$AR$18,MATCH(차량DB!$AA$5,잔가map!$B$14:$B$18,0),MATCH(차량DB!Y603,잔가map!$C$13:$AR$13,0)),"")</f>
        <v/>
      </c>
      <c r="AB603" s="527" t="str">
        <f>IFERROR(INDEX(잔가map!$C$14:$AR$18,MATCH(차량DB!$AB$5,잔가map!$B$14:$B$18,0),MATCH(차량DB!Y603,잔가map!$C$13:$AR$13,0)),"")</f>
        <v/>
      </c>
      <c r="AC603" s="527" t="str">
        <f>IFERROR(INDEX(잔가map!$C$14:$AR$18,MATCH(차량DB!$AC$5,잔가map!$B$14:$B$18,0),MATCH(차량DB!Y603,잔가map!$C$13:$AR$13,0)),"")</f>
        <v/>
      </c>
      <c r="AD603" s="527" t="str">
        <f>IFERROR(INDEX(잔가map!$C$14:$AR$18,MATCH(차량DB!$AD$5,잔가map!$B$14:$B$18,0),MATCH(차량DB!Y603,잔가map!$C$13:$AR$13,0)),"")</f>
        <v/>
      </c>
      <c r="AE603" s="643"/>
      <c r="AF603" s="644"/>
      <c r="AG603" s="644"/>
      <c r="AH603" s="644"/>
      <c r="AI603" s="644"/>
      <c r="AJ603" s="644"/>
      <c r="AK603" s="547"/>
      <c r="AL603" s="576"/>
    </row>
    <row r="604" spans="1:38" x14ac:dyDescent="0.3">
      <c r="E604" s="293" t="s">
        <v>557</v>
      </c>
      <c r="F604" s="605" t="s">
        <v>1073</v>
      </c>
      <c r="G604" s="294">
        <v>1498</v>
      </c>
      <c r="H604" s="295" t="s">
        <v>45</v>
      </c>
      <c r="I604" s="294">
        <v>32330000</v>
      </c>
      <c r="P604" s="295" t="s">
        <v>576</v>
      </c>
      <c r="R604" s="500"/>
      <c r="S604" s="639"/>
      <c r="T604" s="640"/>
      <c r="U604" s="640"/>
      <c r="V604" s="640"/>
      <c r="W604" s="640"/>
      <c r="X604" s="640"/>
      <c r="Y604" s="553"/>
      <c r="Z604" s="527" t="str">
        <f>IFERROR(INDEX(잔가map!$C$14:$AR$18,MATCH(차량DB!$Z$5,잔가map!$B$14:$B$18,0),MATCH(차량DB!Y604,잔가map!$C$13:$AR$13,0)),"")</f>
        <v/>
      </c>
      <c r="AA604" s="527" t="str">
        <f>IFERROR(INDEX(잔가map!$C$14:$AR$18,MATCH(차량DB!$AA$5,잔가map!$B$14:$B$18,0),MATCH(차량DB!Y604,잔가map!$C$13:$AR$13,0)),"")</f>
        <v/>
      </c>
      <c r="AB604" s="527" t="str">
        <f>IFERROR(INDEX(잔가map!$C$14:$AR$18,MATCH(차량DB!$AB$5,잔가map!$B$14:$B$18,0),MATCH(차량DB!Y604,잔가map!$C$13:$AR$13,0)),"")</f>
        <v/>
      </c>
      <c r="AC604" s="527" t="str">
        <f>IFERROR(INDEX(잔가map!$C$14:$AR$18,MATCH(차량DB!$AC$5,잔가map!$B$14:$B$18,0),MATCH(차량DB!Y604,잔가map!$C$13:$AR$13,0)),"")</f>
        <v/>
      </c>
      <c r="AD604" s="527" t="str">
        <f>IFERROR(INDEX(잔가map!$C$14:$AR$18,MATCH(차량DB!$AD$5,잔가map!$B$14:$B$18,0),MATCH(차량DB!Y604,잔가map!$C$13:$AR$13,0)),"")</f>
        <v/>
      </c>
      <c r="AE604" s="643"/>
      <c r="AF604" s="644"/>
      <c r="AG604" s="644"/>
      <c r="AH604" s="644"/>
      <c r="AI604" s="644"/>
      <c r="AJ604" s="644"/>
      <c r="AK604" s="547"/>
      <c r="AL604" s="576"/>
    </row>
    <row r="605" spans="1:38" x14ac:dyDescent="0.3">
      <c r="E605" s="293" t="s">
        <v>557</v>
      </c>
      <c r="F605" s="605" t="s">
        <v>1074</v>
      </c>
      <c r="G605" s="294">
        <v>1498</v>
      </c>
      <c r="H605" s="295" t="s">
        <v>45</v>
      </c>
      <c r="I605" s="294">
        <v>35860000</v>
      </c>
      <c r="P605" s="295" t="s">
        <v>576</v>
      </c>
      <c r="R605" s="500"/>
      <c r="S605" s="639"/>
      <c r="T605" s="640"/>
      <c r="U605" s="640"/>
      <c r="V605" s="640"/>
      <c r="W605" s="640"/>
      <c r="X605" s="640"/>
      <c r="Y605" s="553"/>
      <c r="Z605" s="527" t="str">
        <f>IFERROR(INDEX(잔가map!$C$14:$AR$18,MATCH(차량DB!$Z$5,잔가map!$B$14:$B$18,0),MATCH(차량DB!Y605,잔가map!$C$13:$AR$13,0)),"")</f>
        <v/>
      </c>
      <c r="AA605" s="527" t="str">
        <f>IFERROR(INDEX(잔가map!$C$14:$AR$18,MATCH(차량DB!$AA$5,잔가map!$B$14:$B$18,0),MATCH(차량DB!Y605,잔가map!$C$13:$AR$13,0)),"")</f>
        <v/>
      </c>
      <c r="AB605" s="527" t="str">
        <f>IFERROR(INDEX(잔가map!$C$14:$AR$18,MATCH(차량DB!$AB$5,잔가map!$B$14:$B$18,0),MATCH(차량DB!Y605,잔가map!$C$13:$AR$13,0)),"")</f>
        <v/>
      </c>
      <c r="AC605" s="527" t="str">
        <f>IFERROR(INDEX(잔가map!$C$14:$AR$18,MATCH(차량DB!$AC$5,잔가map!$B$14:$B$18,0),MATCH(차량DB!Y605,잔가map!$C$13:$AR$13,0)),"")</f>
        <v/>
      </c>
      <c r="AD605" s="527" t="str">
        <f>IFERROR(INDEX(잔가map!$C$14:$AR$18,MATCH(차량DB!$AD$5,잔가map!$B$14:$B$18,0),MATCH(차량DB!Y605,잔가map!$C$13:$AR$13,0)),"")</f>
        <v/>
      </c>
      <c r="AE605" s="643"/>
      <c r="AF605" s="644"/>
      <c r="AG605" s="644"/>
      <c r="AH605" s="644"/>
      <c r="AI605" s="644"/>
      <c r="AJ605" s="644"/>
      <c r="AK605" s="547"/>
      <c r="AL605" s="576"/>
    </row>
    <row r="606" spans="1:38" x14ac:dyDescent="0.3">
      <c r="E606" s="293" t="s">
        <v>557</v>
      </c>
      <c r="F606" s="605" t="s">
        <v>1072</v>
      </c>
      <c r="G606" s="294">
        <v>1984</v>
      </c>
      <c r="H606" s="295" t="s">
        <v>45</v>
      </c>
      <c r="I606" s="294">
        <v>45090000</v>
      </c>
      <c r="P606" s="295" t="s">
        <v>576</v>
      </c>
      <c r="R606" s="500"/>
      <c r="S606" s="639"/>
      <c r="T606" s="640"/>
      <c r="U606" s="640"/>
      <c r="V606" s="640"/>
      <c r="W606" s="640"/>
      <c r="X606" s="640"/>
      <c r="Y606" s="553"/>
      <c r="Z606" s="527" t="str">
        <f>IFERROR(INDEX(잔가map!$C$14:$AR$18,MATCH(차량DB!$Z$5,잔가map!$B$14:$B$18,0),MATCH(차량DB!Y606,잔가map!$C$13:$AR$13,0)),"")</f>
        <v/>
      </c>
      <c r="AA606" s="527" t="str">
        <f>IFERROR(INDEX(잔가map!$C$14:$AR$18,MATCH(차량DB!$AA$5,잔가map!$B$14:$B$18,0),MATCH(차량DB!Y606,잔가map!$C$13:$AR$13,0)),"")</f>
        <v/>
      </c>
      <c r="AB606" s="527" t="str">
        <f>IFERROR(INDEX(잔가map!$C$14:$AR$18,MATCH(차량DB!$AB$5,잔가map!$B$14:$B$18,0),MATCH(차량DB!Y606,잔가map!$C$13:$AR$13,0)),"")</f>
        <v/>
      </c>
      <c r="AC606" s="527" t="str">
        <f>IFERROR(INDEX(잔가map!$C$14:$AR$18,MATCH(차량DB!$AC$5,잔가map!$B$14:$B$18,0),MATCH(차량DB!Y606,잔가map!$C$13:$AR$13,0)),"")</f>
        <v/>
      </c>
      <c r="AD606" s="527" t="str">
        <f>IFERROR(INDEX(잔가map!$C$14:$AR$18,MATCH(차량DB!$AD$5,잔가map!$B$14:$B$18,0),MATCH(차량DB!Y606,잔가map!$C$13:$AR$13,0)),"")</f>
        <v/>
      </c>
      <c r="AE606" s="643"/>
      <c r="AF606" s="644"/>
      <c r="AG606" s="644"/>
      <c r="AH606" s="644"/>
      <c r="AI606" s="644"/>
      <c r="AJ606" s="644"/>
      <c r="AK606" s="547"/>
      <c r="AL606" s="576"/>
    </row>
    <row r="607" spans="1:38" x14ac:dyDescent="0.3">
      <c r="E607" s="293" t="s">
        <v>557</v>
      </c>
      <c r="F607" s="605" t="s">
        <v>1070</v>
      </c>
      <c r="G607" s="294">
        <v>1968</v>
      </c>
      <c r="H607" s="295" t="s">
        <v>45</v>
      </c>
      <c r="I607" s="294">
        <v>37730000</v>
      </c>
      <c r="P607" s="295" t="s">
        <v>576</v>
      </c>
      <c r="R607" s="500">
        <v>0</v>
      </c>
      <c r="S607" s="639"/>
      <c r="T607" s="640"/>
      <c r="U607" s="640"/>
      <c r="V607" s="640"/>
      <c r="W607" s="640"/>
      <c r="X607" s="640"/>
      <c r="Y607" s="553"/>
      <c r="Z607" s="527" t="str">
        <f>IFERROR(INDEX(잔가map!$C$14:$AR$18,MATCH(차량DB!$Z$5,잔가map!$B$14:$B$18,0),MATCH(차량DB!Y607,잔가map!$C$13:$AR$13,0)),"")</f>
        <v/>
      </c>
      <c r="AA607" s="527" t="str">
        <f>IFERROR(INDEX(잔가map!$C$14:$AR$18,MATCH(차량DB!$AA$5,잔가map!$B$14:$B$18,0),MATCH(차량DB!Y607,잔가map!$C$13:$AR$13,0)),"")</f>
        <v/>
      </c>
      <c r="AB607" s="527" t="str">
        <f>IFERROR(INDEX(잔가map!$C$14:$AR$18,MATCH(차량DB!$AB$5,잔가map!$B$14:$B$18,0),MATCH(차량DB!Y607,잔가map!$C$13:$AR$13,0)),"")</f>
        <v/>
      </c>
      <c r="AC607" s="527" t="str">
        <f>IFERROR(INDEX(잔가map!$C$14:$AR$18,MATCH(차량DB!$AC$5,잔가map!$B$14:$B$18,0),MATCH(차량DB!Y607,잔가map!$C$13:$AR$13,0)),"")</f>
        <v/>
      </c>
      <c r="AD607" s="527" t="str">
        <f>IFERROR(INDEX(잔가map!$C$14:$AR$18,MATCH(차량DB!$AD$5,잔가map!$B$14:$B$18,0),MATCH(차량DB!Y607,잔가map!$C$13:$AR$13,0)),"")</f>
        <v/>
      </c>
      <c r="AE607" s="643"/>
      <c r="AF607" s="644"/>
      <c r="AG607" s="644"/>
      <c r="AH607" s="644"/>
      <c r="AI607" s="644"/>
      <c r="AJ607" s="644"/>
      <c r="AK607" s="547"/>
      <c r="AL607" s="576"/>
    </row>
    <row r="608" spans="1:38" x14ac:dyDescent="0.3">
      <c r="E608" s="293" t="s">
        <v>557</v>
      </c>
      <c r="F608" s="605" t="s">
        <v>1071</v>
      </c>
      <c r="G608" s="294">
        <v>1968</v>
      </c>
      <c r="H608" s="295" t="s">
        <v>45</v>
      </c>
      <c r="I608" s="294">
        <v>39200000</v>
      </c>
      <c r="P608" s="295" t="s">
        <v>576</v>
      </c>
      <c r="R608" s="500">
        <v>0</v>
      </c>
      <c r="S608" s="639"/>
      <c r="T608" s="640"/>
      <c r="U608" s="640"/>
      <c r="V608" s="640"/>
      <c r="W608" s="640"/>
      <c r="X608" s="640"/>
      <c r="Y608" s="553"/>
      <c r="Z608" s="527" t="str">
        <f>IFERROR(INDEX(잔가map!$C$14:$AR$18,MATCH(차량DB!$Z$5,잔가map!$B$14:$B$18,0),MATCH(차량DB!Y608,잔가map!$C$13:$AR$13,0)),"")</f>
        <v/>
      </c>
      <c r="AA608" s="527" t="str">
        <f>IFERROR(INDEX(잔가map!$C$14:$AR$18,MATCH(차량DB!$AA$5,잔가map!$B$14:$B$18,0),MATCH(차량DB!Y608,잔가map!$C$13:$AR$13,0)),"")</f>
        <v/>
      </c>
      <c r="AB608" s="527" t="str">
        <f>IFERROR(INDEX(잔가map!$C$14:$AR$18,MATCH(차량DB!$AB$5,잔가map!$B$14:$B$18,0),MATCH(차량DB!Y608,잔가map!$C$13:$AR$13,0)),"")</f>
        <v/>
      </c>
      <c r="AC608" s="527" t="str">
        <f>IFERROR(INDEX(잔가map!$C$14:$AR$18,MATCH(차량DB!$AC$5,잔가map!$B$14:$B$18,0),MATCH(차량DB!Y608,잔가map!$C$13:$AR$13,0)),"")</f>
        <v/>
      </c>
      <c r="AD608" s="527" t="str">
        <f>IFERROR(INDEX(잔가map!$C$14:$AR$18,MATCH(차량DB!$AD$5,잔가map!$B$14:$B$18,0),MATCH(차량DB!Y608,잔가map!$C$13:$AR$13,0)),"")</f>
        <v/>
      </c>
      <c r="AE608" s="643"/>
      <c r="AF608" s="644"/>
      <c r="AG608" s="644"/>
      <c r="AH608" s="644"/>
      <c r="AI608" s="644"/>
      <c r="AJ608" s="644"/>
      <c r="AK608" s="547"/>
      <c r="AL608" s="576"/>
    </row>
    <row r="609" spans="5:38" x14ac:dyDescent="0.3">
      <c r="E609" s="293" t="s">
        <v>557</v>
      </c>
      <c r="F609" s="605" t="s">
        <v>1067</v>
      </c>
      <c r="G609" s="294">
        <v>1968</v>
      </c>
      <c r="H609" s="295" t="s">
        <v>702</v>
      </c>
      <c r="I609" s="294">
        <v>57670000</v>
      </c>
      <c r="P609" s="295" t="s">
        <v>576</v>
      </c>
      <c r="R609" s="500">
        <v>0</v>
      </c>
      <c r="S609" s="639"/>
      <c r="T609" s="640"/>
      <c r="U609" s="640"/>
      <c r="V609" s="640"/>
      <c r="W609" s="640"/>
      <c r="X609" s="640"/>
      <c r="Y609" s="553"/>
      <c r="Z609" s="527" t="str">
        <f>IFERROR(INDEX(잔가map!$C$14:$AR$18,MATCH(차량DB!$Z$5,잔가map!$B$14:$B$18,0),MATCH(차량DB!Y609,잔가map!$C$13:$AR$13,0)),"")</f>
        <v/>
      </c>
      <c r="AA609" s="527" t="str">
        <f>IFERROR(INDEX(잔가map!$C$14:$AR$18,MATCH(차량DB!$AA$5,잔가map!$B$14:$B$18,0),MATCH(차량DB!Y609,잔가map!$C$13:$AR$13,0)),"")</f>
        <v/>
      </c>
      <c r="AB609" s="527" t="str">
        <f>IFERROR(INDEX(잔가map!$C$14:$AR$18,MATCH(차량DB!$AB$5,잔가map!$B$14:$B$18,0),MATCH(차량DB!Y609,잔가map!$C$13:$AR$13,0)),"")</f>
        <v/>
      </c>
      <c r="AC609" s="527" t="str">
        <f>IFERROR(INDEX(잔가map!$C$14:$AR$18,MATCH(차량DB!$AC$5,잔가map!$B$14:$B$18,0),MATCH(차량DB!Y609,잔가map!$C$13:$AR$13,0)),"")</f>
        <v/>
      </c>
      <c r="AD609" s="527" t="str">
        <f>IFERROR(INDEX(잔가map!$C$14:$AR$18,MATCH(차량DB!$AD$5,잔가map!$B$14:$B$18,0),MATCH(차량DB!Y609,잔가map!$C$13:$AR$13,0)),"")</f>
        <v/>
      </c>
      <c r="AE609" s="643"/>
      <c r="AF609" s="644"/>
      <c r="AG609" s="644"/>
      <c r="AH609" s="644"/>
      <c r="AI609" s="644"/>
      <c r="AJ609" s="644"/>
      <c r="AK609" s="547"/>
      <c r="AL609" s="576"/>
    </row>
    <row r="610" spans="5:38" x14ac:dyDescent="0.3">
      <c r="E610" s="293" t="s">
        <v>0</v>
      </c>
      <c r="F610" s="605" t="s">
        <v>1068</v>
      </c>
      <c r="G610" s="294">
        <v>1968</v>
      </c>
      <c r="H610" s="295" t="s">
        <v>45</v>
      </c>
      <c r="I610" s="294">
        <v>60810000</v>
      </c>
      <c r="P610" s="295" t="s">
        <v>576</v>
      </c>
      <c r="R610" s="500">
        <v>0</v>
      </c>
      <c r="S610" s="639"/>
      <c r="T610" s="640"/>
      <c r="U610" s="640"/>
      <c r="V610" s="640"/>
      <c r="W610" s="640"/>
      <c r="X610" s="640"/>
      <c r="Y610" s="553"/>
      <c r="Z610" s="527" t="str">
        <f>IFERROR(INDEX(잔가map!$C$14:$AR$18,MATCH(차량DB!$Z$5,잔가map!$B$14:$B$18,0),MATCH(차량DB!Y610,잔가map!$C$13:$AR$13,0)),"")</f>
        <v/>
      </c>
      <c r="AA610" s="527" t="str">
        <f>IFERROR(INDEX(잔가map!$C$14:$AR$18,MATCH(차량DB!$AA$5,잔가map!$B$14:$B$18,0),MATCH(차량DB!Y610,잔가map!$C$13:$AR$13,0)),"")</f>
        <v/>
      </c>
      <c r="AB610" s="527" t="str">
        <f>IFERROR(INDEX(잔가map!$C$14:$AR$18,MATCH(차량DB!$AB$5,잔가map!$B$14:$B$18,0),MATCH(차량DB!Y610,잔가map!$C$13:$AR$13,0)),"")</f>
        <v/>
      </c>
      <c r="AC610" s="527" t="str">
        <f>IFERROR(INDEX(잔가map!$C$14:$AR$18,MATCH(차량DB!$AC$5,잔가map!$B$14:$B$18,0),MATCH(차량DB!Y610,잔가map!$C$13:$AR$13,0)),"")</f>
        <v/>
      </c>
      <c r="AD610" s="527" t="str">
        <f>IFERROR(INDEX(잔가map!$C$14:$AR$18,MATCH(차량DB!$AD$5,잔가map!$B$14:$B$18,0),MATCH(차량DB!Y610,잔가map!$C$13:$AR$13,0)),"")</f>
        <v/>
      </c>
      <c r="AE610" s="643"/>
      <c r="AF610" s="644"/>
      <c r="AG610" s="644"/>
      <c r="AH610" s="644"/>
      <c r="AI610" s="644"/>
      <c r="AJ610" s="644"/>
      <c r="AK610" s="547"/>
      <c r="AL610" s="576"/>
    </row>
    <row r="611" spans="5:38" x14ac:dyDescent="0.3">
      <c r="E611" s="293" t="s">
        <v>0</v>
      </c>
      <c r="F611" s="605" t="s">
        <v>1069</v>
      </c>
      <c r="G611" s="294">
        <v>1968</v>
      </c>
      <c r="H611" s="295" t="s">
        <v>45</v>
      </c>
      <c r="I611" s="294">
        <v>62580000</v>
      </c>
      <c r="P611" s="295" t="s">
        <v>576</v>
      </c>
      <c r="R611" s="500">
        <v>0</v>
      </c>
      <c r="S611" s="639"/>
      <c r="T611" s="640"/>
      <c r="U611" s="640"/>
      <c r="V611" s="640"/>
      <c r="W611" s="640"/>
      <c r="X611" s="640"/>
      <c r="Y611" s="553"/>
      <c r="Z611" s="527" t="str">
        <f>IFERROR(INDEX(잔가map!$C$14:$AR$18,MATCH(차량DB!$Z$5,잔가map!$B$14:$B$18,0),MATCH(차량DB!Y611,잔가map!$C$13:$AR$13,0)),"")</f>
        <v/>
      </c>
      <c r="AA611" s="527" t="str">
        <f>IFERROR(INDEX(잔가map!$C$14:$AR$18,MATCH(차량DB!$AA$5,잔가map!$B$14:$B$18,0),MATCH(차량DB!Y611,잔가map!$C$13:$AR$13,0)),"")</f>
        <v/>
      </c>
      <c r="AB611" s="527" t="str">
        <f>IFERROR(INDEX(잔가map!$C$14:$AR$18,MATCH(차량DB!$AB$5,잔가map!$B$14:$B$18,0),MATCH(차량DB!Y611,잔가map!$C$13:$AR$13,0)),"")</f>
        <v/>
      </c>
      <c r="AC611" s="527" t="str">
        <f>IFERROR(INDEX(잔가map!$C$14:$AR$18,MATCH(차량DB!$AC$5,잔가map!$B$14:$B$18,0),MATCH(차량DB!Y611,잔가map!$C$13:$AR$13,0)),"")</f>
        <v/>
      </c>
      <c r="AD611" s="527" t="str">
        <f>IFERROR(INDEX(잔가map!$C$14:$AR$18,MATCH(차량DB!$AD$5,잔가map!$B$14:$B$18,0),MATCH(차량DB!Y611,잔가map!$C$13:$AR$13,0)),"")</f>
        <v/>
      </c>
      <c r="AE611" s="643"/>
      <c r="AF611" s="644"/>
      <c r="AG611" s="644"/>
      <c r="AH611" s="644"/>
      <c r="AI611" s="644"/>
      <c r="AJ611" s="644"/>
      <c r="AK611" s="547"/>
      <c r="AL611" s="576"/>
    </row>
    <row r="612" spans="5:38" x14ac:dyDescent="0.3">
      <c r="E612" s="293" t="s">
        <v>0</v>
      </c>
      <c r="F612" s="605" t="s">
        <v>1078</v>
      </c>
      <c r="G612" s="294">
        <v>1968</v>
      </c>
      <c r="H612" s="295" t="s">
        <v>305</v>
      </c>
      <c r="I612" s="294">
        <v>48040000</v>
      </c>
      <c r="P612" s="295" t="s">
        <v>576</v>
      </c>
      <c r="R612" s="500">
        <v>0</v>
      </c>
      <c r="S612" s="639"/>
      <c r="T612" s="640"/>
      <c r="U612" s="640"/>
      <c r="V612" s="640"/>
      <c r="W612" s="640"/>
      <c r="X612" s="640"/>
      <c r="Y612" s="553"/>
      <c r="Z612" s="527" t="str">
        <f>IFERROR(INDEX(잔가map!$C$14:$AR$18,MATCH(차량DB!$Z$5,잔가map!$B$14:$B$18,0),MATCH(차량DB!Y612,잔가map!$C$13:$AR$13,0)),"")</f>
        <v/>
      </c>
      <c r="AA612" s="527" t="str">
        <f>IFERROR(INDEX(잔가map!$C$14:$AR$18,MATCH(차량DB!$AA$5,잔가map!$B$14:$B$18,0),MATCH(차량DB!Y612,잔가map!$C$13:$AR$13,0)),"")</f>
        <v/>
      </c>
      <c r="AB612" s="527" t="str">
        <f>IFERROR(INDEX(잔가map!$C$14:$AR$18,MATCH(차량DB!$AB$5,잔가map!$B$14:$B$18,0),MATCH(차량DB!Y612,잔가map!$C$13:$AR$13,0)),"")</f>
        <v/>
      </c>
      <c r="AC612" s="527" t="str">
        <f>IFERROR(INDEX(잔가map!$C$14:$AR$18,MATCH(차량DB!$AC$5,잔가map!$B$14:$B$18,0),MATCH(차량DB!Y612,잔가map!$C$13:$AR$13,0)),"")</f>
        <v/>
      </c>
      <c r="AD612" s="527" t="str">
        <f>IFERROR(INDEX(잔가map!$C$14:$AR$18,MATCH(차량DB!$AD$5,잔가map!$B$14:$B$18,0),MATCH(차량DB!Y612,잔가map!$C$13:$AR$13,0)),"")</f>
        <v/>
      </c>
      <c r="AE612" s="643"/>
      <c r="AF612" s="644"/>
      <c r="AG612" s="644"/>
      <c r="AH612" s="644"/>
      <c r="AI612" s="644"/>
      <c r="AJ612" s="644"/>
      <c r="AK612" s="547"/>
      <c r="AL612" s="576"/>
    </row>
    <row r="613" spans="5:38" x14ac:dyDescent="0.3">
      <c r="E613" s="293" t="s">
        <v>0</v>
      </c>
      <c r="F613" s="605" t="s">
        <v>1079</v>
      </c>
      <c r="G613" s="294">
        <v>1968</v>
      </c>
      <c r="H613" s="295" t="s">
        <v>305</v>
      </c>
      <c r="I613" s="294">
        <v>50986000</v>
      </c>
      <c r="P613" s="295" t="s">
        <v>576</v>
      </c>
      <c r="R613" s="500">
        <v>0</v>
      </c>
      <c r="S613" s="639"/>
      <c r="T613" s="640"/>
      <c r="U613" s="640"/>
      <c r="V613" s="640"/>
      <c r="W613" s="640"/>
      <c r="X613" s="640"/>
      <c r="Y613" s="553"/>
      <c r="Z613" s="527" t="str">
        <f>IFERROR(INDEX(잔가map!$C$14:$AR$18,MATCH(차량DB!$Z$5,잔가map!$B$14:$B$18,0),MATCH(차량DB!Y613,잔가map!$C$13:$AR$13,0)),"")</f>
        <v/>
      </c>
      <c r="AA613" s="527" t="str">
        <f>IFERROR(INDEX(잔가map!$C$14:$AR$18,MATCH(차량DB!$AA$5,잔가map!$B$14:$B$18,0),MATCH(차량DB!Y613,잔가map!$C$13:$AR$13,0)),"")</f>
        <v/>
      </c>
      <c r="AB613" s="527" t="str">
        <f>IFERROR(INDEX(잔가map!$C$14:$AR$18,MATCH(차량DB!$AB$5,잔가map!$B$14:$B$18,0),MATCH(차량DB!Y613,잔가map!$C$13:$AR$13,0)),"")</f>
        <v/>
      </c>
      <c r="AC613" s="527" t="str">
        <f>IFERROR(INDEX(잔가map!$C$14:$AR$18,MATCH(차량DB!$AC$5,잔가map!$B$14:$B$18,0),MATCH(차량DB!Y613,잔가map!$C$13:$AR$13,0)),"")</f>
        <v/>
      </c>
      <c r="AD613" s="527" t="str">
        <f>IFERROR(INDEX(잔가map!$C$14:$AR$18,MATCH(차량DB!$AD$5,잔가map!$B$14:$B$18,0),MATCH(차량DB!Y613,잔가map!$C$13:$AR$13,0)),"")</f>
        <v/>
      </c>
      <c r="AE613" s="643"/>
      <c r="AF613" s="644"/>
      <c r="AG613" s="644"/>
      <c r="AH613" s="644"/>
      <c r="AI613" s="644"/>
      <c r="AJ613" s="644"/>
      <c r="AK613" s="547"/>
      <c r="AL613" s="576"/>
    </row>
    <row r="614" spans="5:38" x14ac:dyDescent="0.3">
      <c r="E614" s="293" t="s">
        <v>0</v>
      </c>
      <c r="F614" s="605" t="s">
        <v>1080</v>
      </c>
      <c r="G614" s="294">
        <v>1984</v>
      </c>
      <c r="H614" s="295" t="s">
        <v>305</v>
      </c>
      <c r="I614" s="294">
        <v>50986000</v>
      </c>
      <c r="P614" s="295" t="s">
        <v>576</v>
      </c>
      <c r="R614" s="500">
        <v>0</v>
      </c>
      <c r="S614" s="639"/>
      <c r="T614" s="640"/>
      <c r="U614" s="640"/>
      <c r="V614" s="640"/>
      <c r="W614" s="640"/>
      <c r="X614" s="640"/>
      <c r="Y614" s="553"/>
      <c r="Z614" s="527" t="str">
        <f>IFERROR(INDEX(잔가map!$C$14:$AR$18,MATCH(차량DB!$Z$5,잔가map!$B$14:$B$18,0),MATCH(차량DB!Y614,잔가map!$C$13:$AR$13,0)),"")</f>
        <v/>
      </c>
      <c r="AA614" s="527" t="str">
        <f>IFERROR(INDEX(잔가map!$C$14:$AR$18,MATCH(차량DB!$AA$5,잔가map!$B$14:$B$18,0),MATCH(차량DB!Y614,잔가map!$C$13:$AR$13,0)),"")</f>
        <v/>
      </c>
      <c r="AB614" s="527" t="str">
        <f>IFERROR(INDEX(잔가map!$C$14:$AR$18,MATCH(차량DB!$AB$5,잔가map!$B$14:$B$18,0),MATCH(차량DB!Y614,잔가map!$C$13:$AR$13,0)),"")</f>
        <v/>
      </c>
      <c r="AC614" s="527" t="str">
        <f>IFERROR(INDEX(잔가map!$C$14:$AR$18,MATCH(차량DB!$AC$5,잔가map!$B$14:$B$18,0),MATCH(차량DB!Y614,잔가map!$C$13:$AR$13,0)),"")</f>
        <v/>
      </c>
      <c r="AD614" s="527" t="str">
        <f>IFERROR(INDEX(잔가map!$C$14:$AR$18,MATCH(차량DB!$AD$5,잔가map!$B$14:$B$18,0),MATCH(차량DB!Y614,잔가map!$C$13:$AR$13,0)),"")</f>
        <v/>
      </c>
      <c r="AE614" s="643"/>
      <c r="AF614" s="644"/>
      <c r="AG614" s="644"/>
      <c r="AH614" s="644"/>
      <c r="AI614" s="644"/>
      <c r="AJ614" s="644"/>
      <c r="AK614" s="547"/>
      <c r="AL614" s="576"/>
    </row>
    <row r="615" spans="5:38" x14ac:dyDescent="0.3">
      <c r="E615" s="293" t="s">
        <v>557</v>
      </c>
      <c r="F615" s="605" t="s">
        <v>1075</v>
      </c>
      <c r="G615" s="294">
        <v>1968</v>
      </c>
      <c r="H615" s="295" t="s">
        <v>58</v>
      </c>
      <c r="I615" s="294">
        <v>43130000</v>
      </c>
      <c r="P615" s="295" t="s">
        <v>576</v>
      </c>
      <c r="R615" s="500">
        <v>0</v>
      </c>
      <c r="S615" s="639"/>
      <c r="T615" s="640"/>
      <c r="U615" s="640"/>
      <c r="V615" s="640"/>
      <c r="W615" s="640"/>
      <c r="X615" s="640"/>
      <c r="Y615" s="553"/>
      <c r="Z615" s="527" t="str">
        <f>IFERROR(INDEX(잔가map!$C$14:$AR$18,MATCH(차량DB!$Z$5,잔가map!$B$14:$B$18,0),MATCH(차량DB!Y615,잔가map!$C$13:$AR$13,0)),"")</f>
        <v/>
      </c>
      <c r="AA615" s="527" t="str">
        <f>IFERROR(INDEX(잔가map!$C$14:$AR$18,MATCH(차량DB!$AA$5,잔가map!$B$14:$B$18,0),MATCH(차량DB!Y615,잔가map!$C$13:$AR$13,0)),"")</f>
        <v/>
      </c>
      <c r="AB615" s="527" t="str">
        <f>IFERROR(INDEX(잔가map!$C$14:$AR$18,MATCH(차량DB!$AB$5,잔가map!$B$14:$B$18,0),MATCH(차량DB!Y615,잔가map!$C$13:$AR$13,0)),"")</f>
        <v/>
      </c>
      <c r="AC615" s="527" t="str">
        <f>IFERROR(INDEX(잔가map!$C$14:$AR$18,MATCH(차량DB!$AC$5,잔가map!$B$14:$B$18,0),MATCH(차량DB!Y615,잔가map!$C$13:$AR$13,0)),"")</f>
        <v/>
      </c>
      <c r="AD615" s="527" t="str">
        <f>IFERROR(INDEX(잔가map!$C$14:$AR$18,MATCH(차량DB!$AD$5,잔가map!$B$14:$B$18,0),MATCH(차량DB!Y615,잔가map!$C$13:$AR$13,0)),"")</f>
        <v/>
      </c>
      <c r="AE615" s="643"/>
      <c r="AF615" s="644"/>
      <c r="AG615" s="644"/>
      <c r="AH615" s="644"/>
      <c r="AI615" s="644"/>
      <c r="AJ615" s="644"/>
      <c r="AK615" s="547"/>
      <c r="AL615" s="576"/>
    </row>
    <row r="616" spans="5:38" x14ac:dyDescent="0.3">
      <c r="E616" s="293" t="s">
        <v>557</v>
      </c>
      <c r="F616" s="605" t="s">
        <v>1076</v>
      </c>
      <c r="G616" s="294">
        <v>1968</v>
      </c>
      <c r="H616" s="295" t="s">
        <v>58</v>
      </c>
      <c r="I616" s="294">
        <v>47060000</v>
      </c>
      <c r="P616" s="295" t="s">
        <v>576</v>
      </c>
      <c r="R616" s="500">
        <v>0</v>
      </c>
      <c r="S616" s="639"/>
      <c r="T616" s="640"/>
      <c r="U616" s="640"/>
      <c r="V616" s="640"/>
      <c r="W616" s="640"/>
      <c r="X616" s="640"/>
      <c r="Y616" s="553"/>
      <c r="Z616" s="527" t="str">
        <f>IFERROR(INDEX(잔가map!$C$14:$AR$18,MATCH(차량DB!$Z$5,잔가map!$B$14:$B$18,0),MATCH(차량DB!Y616,잔가map!$C$13:$AR$13,0)),"")</f>
        <v/>
      </c>
      <c r="AA616" s="527" t="str">
        <f>IFERROR(INDEX(잔가map!$C$14:$AR$18,MATCH(차량DB!$AA$5,잔가map!$B$14:$B$18,0),MATCH(차량DB!Y616,잔가map!$C$13:$AR$13,0)),"")</f>
        <v/>
      </c>
      <c r="AB616" s="527" t="str">
        <f>IFERROR(INDEX(잔가map!$C$14:$AR$18,MATCH(차량DB!$AB$5,잔가map!$B$14:$B$18,0),MATCH(차량DB!Y616,잔가map!$C$13:$AR$13,0)),"")</f>
        <v/>
      </c>
      <c r="AC616" s="527" t="str">
        <f>IFERROR(INDEX(잔가map!$C$14:$AR$18,MATCH(차량DB!$AC$5,잔가map!$B$14:$B$18,0),MATCH(차량DB!Y616,잔가map!$C$13:$AR$13,0)),"")</f>
        <v/>
      </c>
      <c r="AD616" s="527" t="str">
        <f>IFERROR(INDEX(잔가map!$C$14:$AR$18,MATCH(차량DB!$AD$5,잔가map!$B$14:$B$18,0),MATCH(차량DB!Y616,잔가map!$C$13:$AR$13,0)),"")</f>
        <v/>
      </c>
      <c r="AE616" s="643"/>
      <c r="AF616" s="644"/>
      <c r="AG616" s="644"/>
      <c r="AH616" s="644"/>
      <c r="AI616" s="644"/>
      <c r="AJ616" s="644"/>
      <c r="AK616" s="547"/>
      <c r="AL616" s="576"/>
    </row>
    <row r="617" spans="5:38" x14ac:dyDescent="0.3">
      <c r="E617" s="293" t="s">
        <v>557</v>
      </c>
      <c r="F617" s="605" t="s">
        <v>1077</v>
      </c>
      <c r="G617" s="294">
        <v>1968</v>
      </c>
      <c r="H617" s="295" t="s">
        <v>58</v>
      </c>
      <c r="I617" s="294">
        <v>49020000</v>
      </c>
      <c r="P617" s="295" t="s">
        <v>576</v>
      </c>
      <c r="R617" s="500">
        <v>0</v>
      </c>
      <c r="S617" s="639"/>
      <c r="T617" s="640"/>
      <c r="U617" s="640"/>
      <c r="V617" s="640"/>
      <c r="W617" s="640"/>
      <c r="X617" s="640"/>
      <c r="Y617" s="553"/>
      <c r="Z617" s="527" t="str">
        <f>IFERROR(INDEX(잔가map!$C$14:$AR$18,MATCH(차량DB!$Z$5,잔가map!$B$14:$B$18,0),MATCH(차량DB!Y617,잔가map!$C$13:$AR$13,0)),"")</f>
        <v/>
      </c>
      <c r="AA617" s="527" t="str">
        <f>IFERROR(INDEX(잔가map!$C$14:$AR$18,MATCH(차량DB!$AA$5,잔가map!$B$14:$B$18,0),MATCH(차량DB!Y617,잔가map!$C$13:$AR$13,0)),"")</f>
        <v/>
      </c>
      <c r="AB617" s="527" t="str">
        <f>IFERROR(INDEX(잔가map!$C$14:$AR$18,MATCH(차량DB!$AB$5,잔가map!$B$14:$B$18,0),MATCH(차량DB!Y617,잔가map!$C$13:$AR$13,0)),"")</f>
        <v/>
      </c>
      <c r="AC617" s="527" t="str">
        <f>IFERROR(INDEX(잔가map!$C$14:$AR$18,MATCH(차량DB!$AC$5,잔가map!$B$14:$B$18,0),MATCH(차량DB!Y617,잔가map!$C$13:$AR$13,0)),"")</f>
        <v/>
      </c>
      <c r="AD617" s="527" t="str">
        <f>IFERROR(INDEX(잔가map!$C$14:$AR$18,MATCH(차량DB!$AD$5,잔가map!$B$14:$B$18,0),MATCH(차량DB!Y617,잔가map!$C$13:$AR$13,0)),"")</f>
        <v/>
      </c>
      <c r="AE617" s="643"/>
      <c r="AF617" s="644"/>
      <c r="AG617" s="644"/>
      <c r="AH617" s="644"/>
      <c r="AI617" s="644"/>
      <c r="AJ617" s="644"/>
      <c r="AK617" s="547"/>
      <c r="AL617" s="576"/>
    </row>
    <row r="618" spans="5:38" x14ac:dyDescent="0.3">
      <c r="E618" s="293" t="s">
        <v>557</v>
      </c>
      <c r="F618" s="604" t="s">
        <v>1081</v>
      </c>
      <c r="G618" s="294">
        <v>1968</v>
      </c>
      <c r="H618" s="295" t="s">
        <v>58</v>
      </c>
      <c r="I618" s="294">
        <v>32410000</v>
      </c>
      <c r="P618" s="295" t="s">
        <v>576</v>
      </c>
      <c r="R618" s="500">
        <v>0</v>
      </c>
      <c r="S618" s="639"/>
      <c r="T618" s="640"/>
      <c r="U618" s="640"/>
      <c r="V618" s="640"/>
      <c r="W618" s="640"/>
      <c r="X618" s="640"/>
      <c r="Y618" s="553"/>
      <c r="Z618" s="527" t="str">
        <f>IFERROR(INDEX(잔가map!$C$14:$AR$18,MATCH(차량DB!$Z$5,잔가map!$B$14:$B$18,0),MATCH(차량DB!Y618,잔가map!$C$13:$AR$13,0)),"")</f>
        <v/>
      </c>
      <c r="AA618" s="527" t="str">
        <f>IFERROR(INDEX(잔가map!$C$14:$AR$18,MATCH(차량DB!$AA$5,잔가map!$B$14:$B$18,0),MATCH(차량DB!Y618,잔가map!$C$13:$AR$13,0)),"")</f>
        <v/>
      </c>
      <c r="AB618" s="527" t="str">
        <f>IFERROR(INDEX(잔가map!$C$14:$AR$18,MATCH(차량DB!$AB$5,잔가map!$B$14:$B$18,0),MATCH(차량DB!Y618,잔가map!$C$13:$AR$13,0)),"")</f>
        <v/>
      </c>
      <c r="AC618" s="527" t="str">
        <f>IFERROR(INDEX(잔가map!$C$14:$AR$18,MATCH(차량DB!$AC$5,잔가map!$B$14:$B$18,0),MATCH(차량DB!Y618,잔가map!$C$13:$AR$13,0)),"")</f>
        <v/>
      </c>
      <c r="AD618" s="527" t="str">
        <f>IFERROR(INDEX(잔가map!$C$14:$AR$18,MATCH(차량DB!$AD$5,잔가map!$B$14:$B$18,0),MATCH(차량DB!Y618,잔가map!$C$13:$AR$13,0)),"")</f>
        <v/>
      </c>
      <c r="AE618" s="643"/>
      <c r="AF618" s="644"/>
      <c r="AG618" s="644"/>
      <c r="AH618" s="644"/>
      <c r="AI618" s="644"/>
      <c r="AJ618" s="644"/>
      <c r="AK618" s="547"/>
      <c r="AL618" s="576"/>
    </row>
    <row r="619" spans="5:38" x14ac:dyDescent="0.3">
      <c r="E619" s="293" t="s">
        <v>557</v>
      </c>
      <c r="F619" s="604" t="s">
        <v>1083</v>
      </c>
      <c r="G619" s="294">
        <v>1968</v>
      </c>
      <c r="H619" s="295" t="s">
        <v>58</v>
      </c>
      <c r="I619" s="294">
        <v>36340000</v>
      </c>
      <c r="P619" s="295" t="s">
        <v>576</v>
      </c>
      <c r="R619" s="500">
        <v>0</v>
      </c>
      <c r="S619" s="639"/>
      <c r="T619" s="640"/>
      <c r="U619" s="640"/>
      <c r="V619" s="640"/>
      <c r="W619" s="640"/>
      <c r="X619" s="640"/>
      <c r="Y619" s="553"/>
      <c r="Z619" s="527" t="str">
        <f>IFERROR(INDEX(잔가map!$C$14:$AR$18,MATCH(차량DB!$Z$5,잔가map!$B$14:$B$18,0),MATCH(차량DB!Y619,잔가map!$C$13:$AR$13,0)),"")</f>
        <v/>
      </c>
      <c r="AA619" s="527" t="str">
        <f>IFERROR(INDEX(잔가map!$C$14:$AR$18,MATCH(차량DB!$AA$5,잔가map!$B$14:$B$18,0),MATCH(차량DB!Y619,잔가map!$C$13:$AR$13,0)),"")</f>
        <v/>
      </c>
      <c r="AB619" s="527" t="str">
        <f>IFERROR(INDEX(잔가map!$C$14:$AR$18,MATCH(차량DB!$AB$5,잔가map!$B$14:$B$18,0),MATCH(차량DB!Y619,잔가map!$C$13:$AR$13,0)),"")</f>
        <v/>
      </c>
      <c r="AC619" s="527" t="str">
        <f>IFERROR(INDEX(잔가map!$C$14:$AR$18,MATCH(차량DB!$AC$5,잔가map!$B$14:$B$18,0),MATCH(차량DB!Y619,잔가map!$C$13:$AR$13,0)),"")</f>
        <v/>
      </c>
      <c r="AD619" s="527" t="str">
        <f>IFERROR(INDEX(잔가map!$C$14:$AR$18,MATCH(차량DB!$AD$5,잔가map!$B$14:$B$18,0),MATCH(차량DB!Y619,잔가map!$C$13:$AR$13,0)),"")</f>
        <v/>
      </c>
      <c r="AE619" s="643"/>
      <c r="AF619" s="644"/>
      <c r="AG619" s="644"/>
      <c r="AH619" s="644"/>
      <c r="AI619" s="644"/>
      <c r="AJ619" s="644"/>
      <c r="AK619" s="547"/>
      <c r="AL619" s="576"/>
    </row>
    <row r="620" spans="5:38" x14ac:dyDescent="0.3">
      <c r="E620" s="293" t="s">
        <v>557</v>
      </c>
      <c r="F620" s="604" t="s">
        <v>1082</v>
      </c>
      <c r="G620" s="294">
        <v>1968</v>
      </c>
      <c r="H620" s="295" t="s">
        <v>58</v>
      </c>
      <c r="I620" s="294">
        <v>38300000</v>
      </c>
      <c r="P620" s="295" t="s">
        <v>576</v>
      </c>
      <c r="R620" s="500">
        <v>0</v>
      </c>
      <c r="S620" s="639"/>
      <c r="T620" s="640"/>
      <c r="U620" s="640"/>
      <c r="V620" s="640"/>
      <c r="W620" s="640"/>
      <c r="X620" s="640"/>
      <c r="Y620" s="553"/>
      <c r="Z620" s="527" t="str">
        <f>IFERROR(INDEX(잔가map!$C$14:$AR$18,MATCH(차량DB!$Z$5,잔가map!$B$14:$B$18,0),MATCH(차량DB!Y620,잔가map!$C$13:$AR$13,0)),"")</f>
        <v/>
      </c>
      <c r="AA620" s="527" t="str">
        <f>IFERROR(INDEX(잔가map!$C$14:$AR$18,MATCH(차량DB!$AA$5,잔가map!$B$14:$B$18,0),MATCH(차량DB!Y620,잔가map!$C$13:$AR$13,0)),"")</f>
        <v/>
      </c>
      <c r="AB620" s="527" t="str">
        <f>IFERROR(INDEX(잔가map!$C$14:$AR$18,MATCH(차량DB!$AB$5,잔가map!$B$14:$B$18,0),MATCH(차량DB!Y620,잔가map!$C$13:$AR$13,0)),"")</f>
        <v/>
      </c>
      <c r="AC620" s="527" t="str">
        <f>IFERROR(INDEX(잔가map!$C$14:$AR$18,MATCH(차량DB!$AC$5,잔가map!$B$14:$B$18,0),MATCH(차량DB!Y620,잔가map!$C$13:$AR$13,0)),"")</f>
        <v/>
      </c>
      <c r="AD620" s="527" t="str">
        <f>IFERROR(INDEX(잔가map!$C$14:$AR$18,MATCH(차량DB!$AD$5,잔가map!$B$14:$B$18,0),MATCH(차량DB!Y620,잔가map!$C$13:$AR$13,0)),"")</f>
        <v/>
      </c>
      <c r="AE620" s="643"/>
      <c r="AF620" s="644"/>
      <c r="AG620" s="644"/>
      <c r="AH620" s="644"/>
      <c r="AI620" s="644"/>
      <c r="AJ620" s="644"/>
      <c r="AK620" s="547"/>
      <c r="AL620" s="576"/>
    </row>
    <row r="621" spans="5:38" x14ac:dyDescent="0.3">
      <c r="E621" s="293" t="s">
        <v>557</v>
      </c>
      <c r="F621" s="604" t="s">
        <v>540</v>
      </c>
      <c r="G621" s="294">
        <v>2967</v>
      </c>
      <c r="H621" s="295" t="s">
        <v>58</v>
      </c>
      <c r="I621" s="294">
        <v>88300000</v>
      </c>
      <c r="P621" s="295" t="s">
        <v>576</v>
      </c>
      <c r="R621" s="500">
        <v>0</v>
      </c>
      <c r="S621" s="639"/>
      <c r="T621" s="640"/>
      <c r="U621" s="640"/>
      <c r="V621" s="640"/>
      <c r="W621" s="640"/>
      <c r="X621" s="640"/>
      <c r="Y621" s="553"/>
      <c r="Z621" s="527" t="str">
        <f>IFERROR(INDEX(잔가map!$C$14:$AR$18,MATCH(차량DB!$Z$5,잔가map!$B$14:$B$18,0),MATCH(차량DB!Y621,잔가map!$C$13:$AR$13,0)),"")</f>
        <v/>
      </c>
      <c r="AA621" s="527" t="str">
        <f>IFERROR(INDEX(잔가map!$C$14:$AR$18,MATCH(차량DB!$AA$5,잔가map!$B$14:$B$18,0),MATCH(차량DB!Y621,잔가map!$C$13:$AR$13,0)),"")</f>
        <v/>
      </c>
      <c r="AB621" s="527" t="str">
        <f>IFERROR(INDEX(잔가map!$C$14:$AR$18,MATCH(차량DB!$AB$5,잔가map!$B$14:$B$18,0),MATCH(차량DB!Y621,잔가map!$C$13:$AR$13,0)),"")</f>
        <v/>
      </c>
      <c r="AC621" s="527" t="str">
        <f>IFERROR(INDEX(잔가map!$C$14:$AR$18,MATCH(차량DB!$AC$5,잔가map!$B$14:$B$18,0),MATCH(차량DB!Y621,잔가map!$C$13:$AR$13,0)),"")</f>
        <v/>
      </c>
      <c r="AD621" s="527" t="str">
        <f>IFERROR(INDEX(잔가map!$C$14:$AR$18,MATCH(차량DB!$AD$5,잔가map!$B$14:$B$18,0),MATCH(차량DB!Y621,잔가map!$C$13:$AR$13,0)),"")</f>
        <v/>
      </c>
      <c r="AE621" s="643"/>
      <c r="AF621" s="644"/>
      <c r="AG621" s="644"/>
      <c r="AH621" s="644"/>
      <c r="AI621" s="644"/>
      <c r="AJ621" s="644"/>
      <c r="AK621" s="547"/>
      <c r="AL621" s="576"/>
    </row>
    <row r="622" spans="5:38" x14ac:dyDescent="0.3">
      <c r="E622" s="293" t="s">
        <v>557</v>
      </c>
      <c r="F622" s="604" t="s">
        <v>541</v>
      </c>
      <c r="G622" s="294">
        <v>2967</v>
      </c>
      <c r="H622" s="295" t="s">
        <v>58</v>
      </c>
      <c r="I622" s="294">
        <v>97830000</v>
      </c>
      <c r="P622" s="295" t="s">
        <v>576</v>
      </c>
      <c r="R622" s="500">
        <v>0</v>
      </c>
      <c r="S622" s="639"/>
      <c r="T622" s="640"/>
      <c r="U622" s="640"/>
      <c r="V622" s="640"/>
      <c r="W622" s="640"/>
      <c r="X622" s="640"/>
      <c r="Y622" s="553"/>
      <c r="Z622" s="527" t="str">
        <f>IFERROR(INDEX(잔가map!$C$14:$AR$18,MATCH(차량DB!$Z$5,잔가map!$B$14:$B$18,0),MATCH(차량DB!Y622,잔가map!$C$13:$AR$13,0)),"")</f>
        <v/>
      </c>
      <c r="AA622" s="527" t="str">
        <f>IFERROR(INDEX(잔가map!$C$14:$AR$18,MATCH(차량DB!$AA$5,잔가map!$B$14:$B$18,0),MATCH(차량DB!Y622,잔가map!$C$13:$AR$13,0)),"")</f>
        <v/>
      </c>
      <c r="AB622" s="527" t="str">
        <f>IFERROR(INDEX(잔가map!$C$14:$AR$18,MATCH(차량DB!$AB$5,잔가map!$B$14:$B$18,0),MATCH(차량DB!Y622,잔가map!$C$13:$AR$13,0)),"")</f>
        <v/>
      </c>
      <c r="AC622" s="527" t="str">
        <f>IFERROR(INDEX(잔가map!$C$14:$AR$18,MATCH(차량DB!$AC$5,잔가map!$B$14:$B$18,0),MATCH(차량DB!Y622,잔가map!$C$13:$AR$13,0)),"")</f>
        <v/>
      </c>
      <c r="AD622" s="527" t="str">
        <f>IFERROR(INDEX(잔가map!$C$14:$AR$18,MATCH(차량DB!$AD$5,잔가map!$B$14:$B$18,0),MATCH(차량DB!Y622,잔가map!$C$13:$AR$13,0)),"")</f>
        <v/>
      </c>
      <c r="AE622" s="643"/>
      <c r="AF622" s="644"/>
      <c r="AG622" s="644"/>
      <c r="AH622" s="644"/>
      <c r="AI622" s="644"/>
      <c r="AJ622" s="644"/>
      <c r="AK622" s="547"/>
      <c r="AL622" s="576"/>
    </row>
    <row r="623" spans="5:38" x14ac:dyDescent="0.3">
      <c r="E623" s="293" t="s">
        <v>557</v>
      </c>
      <c r="F623" s="604" t="s">
        <v>542</v>
      </c>
      <c r="G623" s="294">
        <v>2967</v>
      </c>
      <c r="H623" s="295" t="s">
        <v>58</v>
      </c>
      <c r="I623" s="294">
        <v>102850000</v>
      </c>
      <c r="P623" s="295" t="s">
        <v>576</v>
      </c>
      <c r="R623" s="500">
        <v>0</v>
      </c>
      <c r="S623" s="639"/>
      <c r="T623" s="640"/>
      <c r="U623" s="640"/>
      <c r="V623" s="640"/>
      <c r="W623" s="640"/>
      <c r="X623" s="640"/>
      <c r="Y623" s="553"/>
      <c r="Z623" s="527" t="str">
        <f>IFERROR(INDEX(잔가map!$C$14:$AR$18,MATCH(차량DB!$Z$5,잔가map!$B$14:$B$18,0),MATCH(차량DB!Y623,잔가map!$C$13:$AR$13,0)),"")</f>
        <v/>
      </c>
      <c r="AA623" s="527" t="str">
        <f>IFERROR(INDEX(잔가map!$C$14:$AR$18,MATCH(차량DB!$AA$5,잔가map!$B$14:$B$18,0),MATCH(차량DB!Y623,잔가map!$C$13:$AR$13,0)),"")</f>
        <v/>
      </c>
      <c r="AB623" s="527" t="str">
        <f>IFERROR(INDEX(잔가map!$C$14:$AR$18,MATCH(차량DB!$AB$5,잔가map!$B$14:$B$18,0),MATCH(차량DB!Y623,잔가map!$C$13:$AR$13,0)),"")</f>
        <v/>
      </c>
      <c r="AC623" s="527" t="str">
        <f>IFERROR(INDEX(잔가map!$C$14:$AR$18,MATCH(차량DB!$AC$5,잔가map!$B$14:$B$18,0),MATCH(차량DB!Y623,잔가map!$C$13:$AR$13,0)),"")</f>
        <v/>
      </c>
      <c r="AD623" s="527" t="str">
        <f>IFERROR(INDEX(잔가map!$C$14:$AR$18,MATCH(차량DB!$AD$5,잔가map!$B$14:$B$18,0),MATCH(차량DB!Y623,잔가map!$C$13:$AR$13,0)),"")</f>
        <v/>
      </c>
      <c r="AE623" s="643"/>
      <c r="AF623" s="644"/>
      <c r="AG623" s="644"/>
      <c r="AH623" s="644"/>
      <c r="AI623" s="644"/>
      <c r="AJ623" s="644"/>
      <c r="AK623" s="547"/>
      <c r="AL623" s="576"/>
    </row>
    <row r="624" spans="5:38" x14ac:dyDescent="0.3">
      <c r="E624" s="293" t="s">
        <v>557</v>
      </c>
      <c r="F624" s="605" t="s">
        <v>543</v>
      </c>
      <c r="G624" s="294">
        <v>3956</v>
      </c>
      <c r="H624" s="295" t="s">
        <v>58</v>
      </c>
      <c r="I624" s="294">
        <v>121610000</v>
      </c>
      <c r="P624" s="295" t="s">
        <v>576</v>
      </c>
      <c r="R624" s="500">
        <v>0</v>
      </c>
      <c r="S624" s="639"/>
      <c r="T624" s="640"/>
      <c r="U624" s="640"/>
      <c r="V624" s="640"/>
      <c r="W624" s="640"/>
      <c r="X624" s="640"/>
      <c r="Y624" s="553"/>
      <c r="Z624" s="527" t="str">
        <f>IFERROR(INDEX(잔가map!$C$14:$AR$18,MATCH(차량DB!$Z$5,잔가map!$B$14:$B$18,0),MATCH(차량DB!Y624,잔가map!$C$13:$AR$13,0)),"")</f>
        <v/>
      </c>
      <c r="AA624" s="527" t="str">
        <f>IFERROR(INDEX(잔가map!$C$14:$AR$18,MATCH(차량DB!$AA$5,잔가map!$B$14:$B$18,0),MATCH(차량DB!Y624,잔가map!$C$13:$AR$13,0)),"")</f>
        <v/>
      </c>
      <c r="AB624" s="527" t="str">
        <f>IFERROR(INDEX(잔가map!$C$14:$AR$18,MATCH(차량DB!$AB$5,잔가map!$B$14:$B$18,0),MATCH(차량DB!Y624,잔가map!$C$13:$AR$13,0)),"")</f>
        <v/>
      </c>
      <c r="AC624" s="527" t="str">
        <f>IFERROR(INDEX(잔가map!$C$14:$AR$18,MATCH(차량DB!$AC$5,잔가map!$B$14:$B$18,0),MATCH(차량DB!Y624,잔가map!$C$13:$AR$13,0)),"")</f>
        <v/>
      </c>
      <c r="AD624" s="527" t="str">
        <f>IFERROR(INDEX(잔가map!$C$14:$AR$18,MATCH(차량DB!$AD$5,잔가map!$B$14:$B$18,0),MATCH(차량DB!Y624,잔가map!$C$13:$AR$13,0)),"")</f>
        <v/>
      </c>
      <c r="AE624" s="643"/>
      <c r="AF624" s="644"/>
      <c r="AG624" s="644"/>
      <c r="AH624" s="644"/>
      <c r="AI624" s="644"/>
      <c r="AJ624" s="644"/>
      <c r="AK624" s="547"/>
      <c r="AL624" s="576"/>
    </row>
    <row r="625" spans="5:38" x14ac:dyDescent="0.3">
      <c r="E625" s="293" t="s">
        <v>557</v>
      </c>
      <c r="F625" s="605" t="s">
        <v>544</v>
      </c>
      <c r="G625" s="294">
        <v>3956</v>
      </c>
      <c r="H625" s="295" t="s">
        <v>58</v>
      </c>
      <c r="I625" s="294">
        <v>125560000</v>
      </c>
      <c r="P625" s="295" t="s">
        <v>576</v>
      </c>
      <c r="R625" s="500">
        <v>0</v>
      </c>
      <c r="S625" s="639"/>
      <c r="T625" s="640"/>
      <c r="U625" s="640"/>
      <c r="V625" s="640"/>
      <c r="W625" s="640"/>
      <c r="X625" s="640"/>
      <c r="Y625" s="553"/>
      <c r="Z625" s="527" t="str">
        <f>IFERROR(INDEX(잔가map!$C$14:$AR$18,MATCH(차량DB!$Z$5,잔가map!$B$14:$B$18,0),MATCH(차량DB!Y625,잔가map!$C$13:$AR$13,0)),"")</f>
        <v/>
      </c>
      <c r="AA625" s="527" t="str">
        <f>IFERROR(INDEX(잔가map!$C$14:$AR$18,MATCH(차량DB!$AA$5,잔가map!$B$14:$B$18,0),MATCH(차량DB!Y625,잔가map!$C$13:$AR$13,0)),"")</f>
        <v/>
      </c>
      <c r="AB625" s="527" t="str">
        <f>IFERROR(INDEX(잔가map!$C$14:$AR$18,MATCH(차량DB!$AB$5,잔가map!$B$14:$B$18,0),MATCH(차량DB!Y625,잔가map!$C$13:$AR$13,0)),"")</f>
        <v/>
      </c>
      <c r="AC625" s="527" t="str">
        <f>IFERROR(INDEX(잔가map!$C$14:$AR$18,MATCH(차량DB!$AC$5,잔가map!$B$14:$B$18,0),MATCH(차량DB!Y625,잔가map!$C$13:$AR$13,0)),"")</f>
        <v/>
      </c>
      <c r="AD625" s="527" t="str">
        <f>IFERROR(INDEX(잔가map!$C$14:$AR$18,MATCH(차량DB!$AD$5,잔가map!$B$14:$B$18,0),MATCH(차량DB!Y625,잔가map!$C$13:$AR$13,0)),"")</f>
        <v/>
      </c>
      <c r="AE625" s="643"/>
      <c r="AF625" s="644"/>
      <c r="AG625" s="644"/>
      <c r="AH625" s="644"/>
      <c r="AI625" s="644"/>
      <c r="AJ625" s="644"/>
      <c r="AK625" s="547"/>
      <c r="AL625" s="576"/>
    </row>
    <row r="626" spans="5:38" x14ac:dyDescent="0.3">
      <c r="E626" s="293" t="s">
        <v>660</v>
      </c>
      <c r="F626" s="298" t="s">
        <v>648</v>
      </c>
      <c r="H626" s="295" t="s">
        <v>45</v>
      </c>
      <c r="P626" s="295" t="s">
        <v>576</v>
      </c>
      <c r="R626" s="500">
        <v>0</v>
      </c>
      <c r="S626" s="639"/>
      <c r="T626" s="640"/>
      <c r="U626" s="640"/>
      <c r="V626" s="640"/>
      <c r="W626" s="640"/>
      <c r="X626" s="640"/>
      <c r="Y626" s="553"/>
      <c r="Z626" s="527" t="str">
        <f>IFERROR(INDEX(잔가map!$C$14:$AR$18,MATCH(차량DB!$Z$5,잔가map!$B$14:$B$18,0),MATCH(차량DB!Y626,잔가map!$C$13:$AR$13,0)),"")</f>
        <v/>
      </c>
      <c r="AA626" s="527" t="str">
        <f>IFERROR(INDEX(잔가map!$C$14:$AR$18,MATCH(차량DB!$AA$5,잔가map!$B$14:$B$18,0),MATCH(차량DB!Y626,잔가map!$C$13:$AR$13,0)),"")</f>
        <v/>
      </c>
      <c r="AB626" s="527" t="str">
        <f>IFERROR(INDEX(잔가map!$C$14:$AR$18,MATCH(차량DB!$AB$5,잔가map!$B$14:$B$18,0),MATCH(차량DB!Y626,잔가map!$C$13:$AR$13,0)),"")</f>
        <v/>
      </c>
      <c r="AC626" s="527" t="str">
        <f>IFERROR(INDEX(잔가map!$C$14:$AR$18,MATCH(차량DB!$AC$5,잔가map!$B$14:$B$18,0),MATCH(차량DB!Y626,잔가map!$C$13:$AR$13,0)),"")</f>
        <v/>
      </c>
      <c r="AD626" s="527" t="str">
        <f>IFERROR(INDEX(잔가map!$C$14:$AR$18,MATCH(차량DB!$AD$5,잔가map!$B$14:$B$18,0),MATCH(차량DB!Y626,잔가map!$C$13:$AR$13,0)),"")</f>
        <v/>
      </c>
      <c r="AE626" s="643"/>
      <c r="AF626" s="644"/>
      <c r="AG626" s="644"/>
      <c r="AH626" s="644"/>
      <c r="AI626" s="644"/>
      <c r="AJ626" s="644"/>
      <c r="AK626" s="547"/>
      <c r="AL626" s="576"/>
    </row>
    <row r="627" spans="5:38" x14ac:dyDescent="0.3">
      <c r="E627" s="293" t="s">
        <v>660</v>
      </c>
      <c r="F627" s="298" t="s">
        <v>649</v>
      </c>
      <c r="H627" s="295" t="s">
        <v>45</v>
      </c>
      <c r="P627" s="295" t="s">
        <v>576</v>
      </c>
      <c r="R627" s="500">
        <v>0</v>
      </c>
      <c r="S627" s="639"/>
      <c r="T627" s="640"/>
      <c r="U627" s="640"/>
      <c r="V627" s="640"/>
      <c r="W627" s="640"/>
      <c r="X627" s="640"/>
      <c r="Y627" s="553"/>
      <c r="Z627" s="527" t="str">
        <f>IFERROR(INDEX(잔가map!$C$14:$AR$18,MATCH(차량DB!$Z$5,잔가map!$B$14:$B$18,0),MATCH(차량DB!Y627,잔가map!$C$13:$AR$13,0)),"")</f>
        <v/>
      </c>
      <c r="AA627" s="527" t="str">
        <f>IFERROR(INDEX(잔가map!$C$14:$AR$18,MATCH(차량DB!$AA$5,잔가map!$B$14:$B$18,0),MATCH(차량DB!Y627,잔가map!$C$13:$AR$13,0)),"")</f>
        <v/>
      </c>
      <c r="AB627" s="527" t="str">
        <f>IFERROR(INDEX(잔가map!$C$14:$AR$18,MATCH(차량DB!$AB$5,잔가map!$B$14:$B$18,0),MATCH(차량DB!Y627,잔가map!$C$13:$AR$13,0)),"")</f>
        <v/>
      </c>
      <c r="AC627" s="527" t="str">
        <f>IFERROR(INDEX(잔가map!$C$14:$AR$18,MATCH(차량DB!$AC$5,잔가map!$B$14:$B$18,0),MATCH(차량DB!Y627,잔가map!$C$13:$AR$13,0)),"")</f>
        <v/>
      </c>
      <c r="AD627" s="527" t="str">
        <f>IFERROR(INDEX(잔가map!$C$14:$AR$18,MATCH(차량DB!$AD$5,잔가map!$B$14:$B$18,0),MATCH(차량DB!Y627,잔가map!$C$13:$AR$13,0)),"")</f>
        <v/>
      </c>
      <c r="AE627" s="643"/>
      <c r="AF627" s="644"/>
      <c r="AG627" s="644"/>
      <c r="AH627" s="644"/>
      <c r="AI627" s="644"/>
      <c r="AJ627" s="644"/>
      <c r="AK627" s="547"/>
      <c r="AL627" s="576"/>
    </row>
    <row r="628" spans="5:38" x14ac:dyDescent="0.3">
      <c r="E628" s="293" t="s">
        <v>660</v>
      </c>
      <c r="F628" s="298" t="s">
        <v>650</v>
      </c>
      <c r="H628" s="295" t="s">
        <v>58</v>
      </c>
      <c r="P628" s="295" t="s">
        <v>576</v>
      </c>
      <c r="R628" s="500">
        <v>0</v>
      </c>
      <c r="S628" s="639"/>
      <c r="T628" s="640"/>
      <c r="U628" s="640"/>
      <c r="V628" s="640"/>
      <c r="W628" s="640"/>
      <c r="X628" s="640"/>
      <c r="Y628" s="553"/>
      <c r="Z628" s="527" t="str">
        <f>IFERROR(INDEX(잔가map!$C$14:$AR$18,MATCH(차량DB!$Z$5,잔가map!$B$14:$B$18,0),MATCH(차량DB!Y628,잔가map!$C$13:$AR$13,0)),"")</f>
        <v/>
      </c>
      <c r="AA628" s="527" t="str">
        <f>IFERROR(INDEX(잔가map!$C$14:$AR$18,MATCH(차량DB!$AA$5,잔가map!$B$14:$B$18,0),MATCH(차량DB!Y628,잔가map!$C$13:$AR$13,0)),"")</f>
        <v/>
      </c>
      <c r="AB628" s="527" t="str">
        <f>IFERROR(INDEX(잔가map!$C$14:$AR$18,MATCH(차량DB!$AB$5,잔가map!$B$14:$B$18,0),MATCH(차량DB!Y628,잔가map!$C$13:$AR$13,0)),"")</f>
        <v/>
      </c>
      <c r="AC628" s="527" t="str">
        <f>IFERROR(INDEX(잔가map!$C$14:$AR$18,MATCH(차량DB!$AC$5,잔가map!$B$14:$B$18,0),MATCH(차량DB!Y628,잔가map!$C$13:$AR$13,0)),"")</f>
        <v/>
      </c>
      <c r="AD628" s="527" t="str">
        <f>IFERROR(INDEX(잔가map!$C$14:$AR$18,MATCH(차량DB!$AD$5,잔가map!$B$14:$B$18,0),MATCH(차량DB!Y628,잔가map!$C$13:$AR$13,0)),"")</f>
        <v/>
      </c>
      <c r="AE628" s="643"/>
      <c r="AF628" s="644"/>
      <c r="AG628" s="644"/>
      <c r="AH628" s="644"/>
      <c r="AI628" s="644"/>
      <c r="AJ628" s="644"/>
      <c r="AK628" s="547"/>
      <c r="AL628" s="576"/>
    </row>
    <row r="629" spans="5:38" x14ac:dyDescent="0.3">
      <c r="E629" s="293" t="s">
        <v>660</v>
      </c>
      <c r="F629" s="298" t="s">
        <v>651</v>
      </c>
      <c r="H629" s="295" t="s">
        <v>45</v>
      </c>
      <c r="P629" s="295" t="s">
        <v>576</v>
      </c>
      <c r="R629" s="500">
        <v>0</v>
      </c>
      <c r="S629" s="639"/>
      <c r="T629" s="640"/>
      <c r="U629" s="640"/>
      <c r="V629" s="640"/>
      <c r="W629" s="640"/>
      <c r="X629" s="640"/>
      <c r="Y629" s="553"/>
      <c r="Z629" s="527" t="str">
        <f>IFERROR(INDEX(잔가map!$C$14:$AR$18,MATCH(차량DB!$Z$5,잔가map!$B$14:$B$18,0),MATCH(차량DB!Y629,잔가map!$C$13:$AR$13,0)),"")</f>
        <v/>
      </c>
      <c r="AA629" s="527" t="str">
        <f>IFERROR(INDEX(잔가map!$C$14:$AR$18,MATCH(차량DB!$AA$5,잔가map!$B$14:$B$18,0),MATCH(차량DB!Y629,잔가map!$C$13:$AR$13,0)),"")</f>
        <v/>
      </c>
      <c r="AB629" s="527" t="str">
        <f>IFERROR(INDEX(잔가map!$C$14:$AR$18,MATCH(차량DB!$AB$5,잔가map!$B$14:$B$18,0),MATCH(차량DB!Y629,잔가map!$C$13:$AR$13,0)),"")</f>
        <v/>
      </c>
      <c r="AC629" s="527" t="str">
        <f>IFERROR(INDEX(잔가map!$C$14:$AR$18,MATCH(차량DB!$AC$5,잔가map!$B$14:$B$18,0),MATCH(차량DB!Y629,잔가map!$C$13:$AR$13,0)),"")</f>
        <v/>
      </c>
      <c r="AD629" s="527" t="str">
        <f>IFERROR(INDEX(잔가map!$C$14:$AR$18,MATCH(차량DB!$AD$5,잔가map!$B$14:$B$18,0),MATCH(차량DB!Y629,잔가map!$C$13:$AR$13,0)),"")</f>
        <v/>
      </c>
      <c r="AE629" s="643"/>
      <c r="AF629" s="644"/>
      <c r="AG629" s="644"/>
      <c r="AH629" s="644"/>
      <c r="AI629" s="644"/>
      <c r="AJ629" s="644"/>
      <c r="AK629" s="547"/>
      <c r="AL629" s="576"/>
    </row>
    <row r="630" spans="5:38" x14ac:dyDescent="0.3">
      <c r="E630" s="293" t="s">
        <v>660</v>
      </c>
      <c r="F630" s="298" t="s">
        <v>652</v>
      </c>
      <c r="H630" s="295" t="s">
        <v>45</v>
      </c>
      <c r="P630" s="295" t="s">
        <v>576</v>
      </c>
      <c r="R630" s="500">
        <v>0</v>
      </c>
      <c r="S630" s="639"/>
      <c r="T630" s="640"/>
      <c r="U630" s="640"/>
      <c r="V630" s="640"/>
      <c r="W630" s="640"/>
      <c r="X630" s="640"/>
      <c r="Y630" s="553"/>
      <c r="Z630" s="527" t="str">
        <f>IFERROR(INDEX(잔가map!$C$14:$AR$18,MATCH(차량DB!$Z$5,잔가map!$B$14:$B$18,0),MATCH(차량DB!Y630,잔가map!$C$13:$AR$13,0)),"")</f>
        <v/>
      </c>
      <c r="AA630" s="527" t="str">
        <f>IFERROR(INDEX(잔가map!$C$14:$AR$18,MATCH(차량DB!$AA$5,잔가map!$B$14:$B$18,0),MATCH(차량DB!Y630,잔가map!$C$13:$AR$13,0)),"")</f>
        <v/>
      </c>
      <c r="AB630" s="527" t="str">
        <f>IFERROR(INDEX(잔가map!$C$14:$AR$18,MATCH(차량DB!$AB$5,잔가map!$B$14:$B$18,0),MATCH(차량DB!Y630,잔가map!$C$13:$AR$13,0)),"")</f>
        <v/>
      </c>
      <c r="AC630" s="527" t="str">
        <f>IFERROR(INDEX(잔가map!$C$14:$AR$18,MATCH(차량DB!$AC$5,잔가map!$B$14:$B$18,0),MATCH(차량DB!Y630,잔가map!$C$13:$AR$13,0)),"")</f>
        <v/>
      </c>
      <c r="AD630" s="527" t="str">
        <f>IFERROR(INDEX(잔가map!$C$14:$AR$18,MATCH(차량DB!$AD$5,잔가map!$B$14:$B$18,0),MATCH(차량DB!Y630,잔가map!$C$13:$AR$13,0)),"")</f>
        <v/>
      </c>
      <c r="AE630" s="643"/>
      <c r="AF630" s="644"/>
      <c r="AG630" s="644"/>
      <c r="AH630" s="644"/>
      <c r="AI630" s="644"/>
      <c r="AJ630" s="644"/>
      <c r="AK630" s="547"/>
      <c r="AL630" s="576"/>
    </row>
    <row r="631" spans="5:38" x14ac:dyDescent="0.3">
      <c r="E631" s="293" t="s">
        <v>660</v>
      </c>
      <c r="F631" s="298" t="s">
        <v>653</v>
      </c>
      <c r="H631" s="295" t="s">
        <v>45</v>
      </c>
      <c r="P631" s="295" t="s">
        <v>576</v>
      </c>
      <c r="R631" s="500">
        <v>0</v>
      </c>
      <c r="S631" s="639"/>
      <c r="T631" s="640"/>
      <c r="U631" s="640"/>
      <c r="V631" s="640"/>
      <c r="W631" s="640"/>
      <c r="X631" s="640"/>
      <c r="Y631" s="553"/>
      <c r="Z631" s="527" t="str">
        <f>IFERROR(INDEX(잔가map!$C$14:$AR$18,MATCH(차량DB!$Z$5,잔가map!$B$14:$B$18,0),MATCH(차량DB!Y631,잔가map!$C$13:$AR$13,0)),"")</f>
        <v/>
      </c>
      <c r="AA631" s="527" t="str">
        <f>IFERROR(INDEX(잔가map!$C$14:$AR$18,MATCH(차량DB!$AA$5,잔가map!$B$14:$B$18,0),MATCH(차량DB!Y631,잔가map!$C$13:$AR$13,0)),"")</f>
        <v/>
      </c>
      <c r="AB631" s="527" t="str">
        <f>IFERROR(INDEX(잔가map!$C$14:$AR$18,MATCH(차량DB!$AB$5,잔가map!$B$14:$B$18,0),MATCH(차량DB!Y631,잔가map!$C$13:$AR$13,0)),"")</f>
        <v/>
      </c>
      <c r="AC631" s="527" t="str">
        <f>IFERROR(INDEX(잔가map!$C$14:$AR$18,MATCH(차량DB!$AC$5,잔가map!$B$14:$B$18,0),MATCH(차량DB!Y631,잔가map!$C$13:$AR$13,0)),"")</f>
        <v/>
      </c>
      <c r="AD631" s="527" t="str">
        <f>IFERROR(INDEX(잔가map!$C$14:$AR$18,MATCH(차량DB!$AD$5,잔가map!$B$14:$B$18,0),MATCH(차량DB!Y631,잔가map!$C$13:$AR$13,0)),"")</f>
        <v/>
      </c>
      <c r="AE631" s="643"/>
      <c r="AF631" s="644"/>
      <c r="AG631" s="644"/>
      <c r="AH631" s="644"/>
      <c r="AI631" s="644"/>
      <c r="AJ631" s="644"/>
      <c r="AK631" s="547"/>
      <c r="AL631" s="576"/>
    </row>
    <row r="632" spans="5:38" x14ac:dyDescent="0.3">
      <c r="E632" s="293" t="s">
        <v>654</v>
      </c>
      <c r="F632" s="298" t="s">
        <v>657</v>
      </c>
      <c r="H632" s="295" t="s">
        <v>45</v>
      </c>
      <c r="P632" s="295" t="s">
        <v>576</v>
      </c>
      <c r="R632" s="500">
        <v>0</v>
      </c>
      <c r="S632" s="639"/>
      <c r="T632" s="640"/>
      <c r="U632" s="640"/>
      <c r="V632" s="640"/>
      <c r="W632" s="640"/>
      <c r="X632" s="640"/>
      <c r="Y632" s="553"/>
      <c r="Z632" s="527" t="str">
        <f>IFERROR(INDEX(잔가map!$C$14:$AR$18,MATCH(차량DB!$Z$5,잔가map!$B$14:$B$18,0),MATCH(차량DB!Y632,잔가map!$C$13:$AR$13,0)),"")</f>
        <v/>
      </c>
      <c r="AA632" s="527" t="str">
        <f>IFERROR(INDEX(잔가map!$C$14:$AR$18,MATCH(차량DB!$AA$5,잔가map!$B$14:$B$18,0),MATCH(차량DB!Y632,잔가map!$C$13:$AR$13,0)),"")</f>
        <v/>
      </c>
      <c r="AB632" s="527" t="str">
        <f>IFERROR(INDEX(잔가map!$C$14:$AR$18,MATCH(차량DB!$AB$5,잔가map!$B$14:$B$18,0),MATCH(차량DB!Y632,잔가map!$C$13:$AR$13,0)),"")</f>
        <v/>
      </c>
      <c r="AC632" s="527" t="str">
        <f>IFERROR(INDEX(잔가map!$C$14:$AR$18,MATCH(차량DB!$AC$5,잔가map!$B$14:$B$18,0),MATCH(차량DB!Y632,잔가map!$C$13:$AR$13,0)),"")</f>
        <v/>
      </c>
      <c r="AD632" s="527" t="str">
        <f>IFERROR(INDEX(잔가map!$C$14:$AR$18,MATCH(차량DB!$AD$5,잔가map!$B$14:$B$18,0),MATCH(차량DB!Y632,잔가map!$C$13:$AR$13,0)),"")</f>
        <v/>
      </c>
      <c r="AE632" s="643"/>
      <c r="AF632" s="644"/>
      <c r="AG632" s="644"/>
      <c r="AH632" s="644"/>
      <c r="AI632" s="644"/>
      <c r="AJ632" s="644"/>
      <c r="AK632" s="547"/>
      <c r="AL632" s="576"/>
    </row>
    <row r="633" spans="5:38" x14ac:dyDescent="0.3">
      <c r="E633" s="293" t="s">
        <v>654</v>
      </c>
      <c r="F633" s="298" t="s">
        <v>656</v>
      </c>
      <c r="H633" s="295" t="s">
        <v>45</v>
      </c>
      <c r="P633" s="295" t="s">
        <v>576</v>
      </c>
      <c r="R633" s="500">
        <v>0</v>
      </c>
      <c r="S633" s="639"/>
      <c r="T633" s="640"/>
      <c r="U633" s="640"/>
      <c r="V633" s="640"/>
      <c r="W633" s="640"/>
      <c r="X633" s="640"/>
      <c r="Y633" s="553"/>
      <c r="Z633" s="527" t="str">
        <f>IFERROR(INDEX(잔가map!$C$14:$AR$18,MATCH(차량DB!$Z$5,잔가map!$B$14:$B$18,0),MATCH(차량DB!Y633,잔가map!$C$13:$AR$13,0)),"")</f>
        <v/>
      </c>
      <c r="AA633" s="527" t="str">
        <f>IFERROR(INDEX(잔가map!$C$14:$AR$18,MATCH(차량DB!$AA$5,잔가map!$B$14:$B$18,0),MATCH(차량DB!Y633,잔가map!$C$13:$AR$13,0)),"")</f>
        <v/>
      </c>
      <c r="AB633" s="527" t="str">
        <f>IFERROR(INDEX(잔가map!$C$14:$AR$18,MATCH(차량DB!$AB$5,잔가map!$B$14:$B$18,0),MATCH(차량DB!Y633,잔가map!$C$13:$AR$13,0)),"")</f>
        <v/>
      </c>
      <c r="AC633" s="527" t="str">
        <f>IFERROR(INDEX(잔가map!$C$14:$AR$18,MATCH(차량DB!$AC$5,잔가map!$B$14:$B$18,0),MATCH(차량DB!Y633,잔가map!$C$13:$AR$13,0)),"")</f>
        <v/>
      </c>
      <c r="AD633" s="527" t="str">
        <f>IFERROR(INDEX(잔가map!$C$14:$AR$18,MATCH(차량DB!$AD$5,잔가map!$B$14:$B$18,0),MATCH(차량DB!Y633,잔가map!$C$13:$AR$13,0)),"")</f>
        <v/>
      </c>
      <c r="AE633" s="643"/>
      <c r="AF633" s="644"/>
      <c r="AG633" s="644"/>
      <c r="AH633" s="644"/>
      <c r="AI633" s="644"/>
      <c r="AJ633" s="644"/>
      <c r="AK633" s="547"/>
      <c r="AL633" s="576"/>
    </row>
    <row r="634" spans="5:38" x14ac:dyDescent="0.3">
      <c r="E634" s="293" t="s">
        <v>654</v>
      </c>
      <c r="F634" s="298" t="s">
        <v>658</v>
      </c>
      <c r="H634" s="295" t="s">
        <v>45</v>
      </c>
      <c r="P634" s="295" t="s">
        <v>576</v>
      </c>
      <c r="R634" s="500">
        <v>0</v>
      </c>
      <c r="S634" s="639"/>
      <c r="T634" s="640"/>
      <c r="U634" s="640"/>
      <c r="V634" s="640"/>
      <c r="W634" s="640"/>
      <c r="X634" s="640"/>
      <c r="Y634" s="553"/>
      <c r="Z634" s="527" t="str">
        <f>IFERROR(INDEX(잔가map!$C$14:$AR$18,MATCH(차량DB!$Z$5,잔가map!$B$14:$B$18,0),MATCH(차량DB!Y634,잔가map!$C$13:$AR$13,0)),"")</f>
        <v/>
      </c>
      <c r="AA634" s="527" t="str">
        <f>IFERROR(INDEX(잔가map!$C$14:$AR$18,MATCH(차량DB!$AA$5,잔가map!$B$14:$B$18,0),MATCH(차량DB!Y634,잔가map!$C$13:$AR$13,0)),"")</f>
        <v/>
      </c>
      <c r="AB634" s="527" t="str">
        <f>IFERROR(INDEX(잔가map!$C$14:$AR$18,MATCH(차량DB!$AB$5,잔가map!$B$14:$B$18,0),MATCH(차량DB!Y634,잔가map!$C$13:$AR$13,0)),"")</f>
        <v/>
      </c>
      <c r="AC634" s="527" t="str">
        <f>IFERROR(INDEX(잔가map!$C$14:$AR$18,MATCH(차량DB!$AC$5,잔가map!$B$14:$B$18,0),MATCH(차량DB!Y634,잔가map!$C$13:$AR$13,0)),"")</f>
        <v/>
      </c>
      <c r="AD634" s="527" t="str">
        <f>IFERROR(INDEX(잔가map!$C$14:$AR$18,MATCH(차량DB!$AD$5,잔가map!$B$14:$B$18,0),MATCH(차량DB!Y634,잔가map!$C$13:$AR$13,0)),"")</f>
        <v/>
      </c>
      <c r="AE634" s="643"/>
      <c r="AF634" s="644"/>
      <c r="AG634" s="644"/>
      <c r="AH634" s="644"/>
      <c r="AI634" s="644"/>
      <c r="AJ634" s="644"/>
      <c r="AK634" s="547"/>
      <c r="AL634" s="576"/>
    </row>
    <row r="635" spans="5:38" x14ac:dyDescent="0.3">
      <c r="E635" s="293" t="s">
        <v>424</v>
      </c>
      <c r="F635" s="605" t="s">
        <v>1084</v>
      </c>
      <c r="G635" s="294">
        <v>1969</v>
      </c>
      <c r="H635" s="295" t="s">
        <v>58</v>
      </c>
      <c r="I635" s="294">
        <v>47760000</v>
      </c>
      <c r="P635" s="295" t="s">
        <v>576</v>
      </c>
      <c r="R635" s="500">
        <v>0</v>
      </c>
      <c r="S635" s="639" t="s">
        <v>1248</v>
      </c>
      <c r="T635" s="640"/>
      <c r="U635" s="640"/>
      <c r="V635" s="640"/>
      <c r="W635" s="640"/>
      <c r="X635" s="640"/>
      <c r="Y635" s="553" t="s">
        <v>357</v>
      </c>
      <c r="Z635" s="527">
        <f>IFERROR(INDEX(잔가map!$C$14:$AR$18,MATCH(차량DB!$Z$5,잔가map!$B$14:$B$18,0),MATCH(차량DB!Y635,잔가map!$C$13:$AR$13,0)),"")</f>
        <v>0.75</v>
      </c>
      <c r="AA635" s="527">
        <f>IFERROR(INDEX(잔가map!$C$14:$AR$18,MATCH(차량DB!$AA$5,잔가map!$B$14:$B$18,0),MATCH(차량DB!Y635,잔가map!$C$13:$AR$13,0)),"")</f>
        <v>0.67</v>
      </c>
      <c r="AB635" s="527">
        <f>IFERROR(INDEX(잔가map!$C$14:$AR$18,MATCH(차량DB!$AB$5,잔가map!$B$14:$B$18,0),MATCH(차량DB!Y635,잔가map!$C$13:$AR$13,0)),"")</f>
        <v>0.57999999999999996</v>
      </c>
      <c r="AC635" s="527">
        <f>IFERROR(INDEX(잔가map!$C$14:$AR$18,MATCH(차량DB!$AC$5,잔가map!$B$14:$B$18,0),MATCH(차량DB!Y635,잔가map!$C$13:$AR$13,0)),"")</f>
        <v>0.5</v>
      </c>
      <c r="AD635" s="527">
        <f>IFERROR(INDEX(잔가map!$C$14:$AR$18,MATCH(차량DB!$AD$5,잔가map!$B$14:$B$18,0),MATCH(차량DB!Y635,잔가map!$C$13:$AR$13,0)),"")</f>
        <v>0.44000000000000006</v>
      </c>
      <c r="AE635" s="643"/>
      <c r="AF635" s="644"/>
      <c r="AG635" s="644"/>
      <c r="AH635" s="644"/>
      <c r="AI635" s="644"/>
      <c r="AJ635" s="644"/>
      <c r="AK635" s="547"/>
      <c r="AL635" s="576"/>
    </row>
    <row r="636" spans="5:38" x14ac:dyDescent="0.3">
      <c r="E636" s="293" t="s">
        <v>424</v>
      </c>
      <c r="F636" s="605" t="s">
        <v>1085</v>
      </c>
      <c r="G636" s="294">
        <v>1969</v>
      </c>
      <c r="H636" s="295" t="s">
        <v>58</v>
      </c>
      <c r="I636" s="294">
        <v>52100000</v>
      </c>
      <c r="P636" s="295" t="s">
        <v>576</v>
      </c>
      <c r="R636" s="500">
        <v>0</v>
      </c>
      <c r="S636" s="639" t="s">
        <v>1248</v>
      </c>
      <c r="T636" s="640"/>
      <c r="U636" s="640"/>
      <c r="V636" s="640"/>
      <c r="W636" s="640"/>
      <c r="X636" s="640"/>
      <c r="Y636" s="553" t="s">
        <v>357</v>
      </c>
      <c r="Z636" s="527">
        <f>IFERROR(INDEX(잔가map!$C$14:$AR$18,MATCH(차량DB!$Z$5,잔가map!$B$14:$B$18,0),MATCH(차량DB!Y636,잔가map!$C$13:$AR$13,0)),"")</f>
        <v>0.75</v>
      </c>
      <c r="AA636" s="527">
        <f>IFERROR(INDEX(잔가map!$C$14:$AR$18,MATCH(차량DB!$AA$5,잔가map!$B$14:$B$18,0),MATCH(차량DB!Y636,잔가map!$C$13:$AR$13,0)),"")</f>
        <v>0.67</v>
      </c>
      <c r="AB636" s="527">
        <f>IFERROR(INDEX(잔가map!$C$14:$AR$18,MATCH(차량DB!$AB$5,잔가map!$B$14:$B$18,0),MATCH(차량DB!Y636,잔가map!$C$13:$AR$13,0)),"")</f>
        <v>0.57999999999999996</v>
      </c>
      <c r="AC636" s="527">
        <f>IFERROR(INDEX(잔가map!$C$14:$AR$18,MATCH(차량DB!$AC$5,잔가map!$B$14:$B$18,0),MATCH(차량DB!Y636,잔가map!$C$13:$AR$13,0)),"")</f>
        <v>0.5</v>
      </c>
      <c r="AD636" s="527">
        <f>IFERROR(INDEX(잔가map!$C$14:$AR$18,MATCH(차량DB!$AD$5,잔가map!$B$14:$B$18,0),MATCH(차량DB!Y636,잔가map!$C$13:$AR$13,0)),"")</f>
        <v>0.44000000000000006</v>
      </c>
      <c r="AE636" s="643"/>
      <c r="AF636" s="644"/>
      <c r="AG636" s="644"/>
      <c r="AH636" s="644"/>
      <c r="AI636" s="644"/>
      <c r="AJ636" s="644"/>
      <c r="AK636" s="547"/>
      <c r="AL636" s="576"/>
    </row>
    <row r="637" spans="5:38" x14ac:dyDescent="0.3">
      <c r="E637" s="293" t="s">
        <v>424</v>
      </c>
      <c r="F637" s="604" t="s">
        <v>1086</v>
      </c>
      <c r="G637" s="294">
        <v>1969</v>
      </c>
      <c r="H637" s="295" t="s">
        <v>58</v>
      </c>
      <c r="I637" s="294">
        <v>62060000</v>
      </c>
      <c r="P637" s="295" t="s">
        <v>576</v>
      </c>
      <c r="R637" s="500">
        <v>0</v>
      </c>
      <c r="S637" s="639" t="s">
        <v>1248</v>
      </c>
      <c r="T637" s="640"/>
      <c r="U637" s="640"/>
      <c r="V637" s="640"/>
      <c r="W637" s="640"/>
      <c r="X637" s="640"/>
      <c r="Y637" s="553" t="s">
        <v>357</v>
      </c>
      <c r="Z637" s="527">
        <f>IFERROR(INDEX(잔가map!$C$14:$AR$18,MATCH(차량DB!$Z$5,잔가map!$B$14:$B$18,0),MATCH(차량DB!Y637,잔가map!$C$13:$AR$13,0)),"")</f>
        <v>0.75</v>
      </c>
      <c r="AA637" s="527">
        <f>IFERROR(INDEX(잔가map!$C$14:$AR$18,MATCH(차량DB!$AA$5,잔가map!$B$14:$B$18,0),MATCH(차량DB!Y637,잔가map!$C$13:$AR$13,0)),"")</f>
        <v>0.67</v>
      </c>
      <c r="AB637" s="527">
        <f>IFERROR(INDEX(잔가map!$C$14:$AR$18,MATCH(차량DB!$AB$5,잔가map!$B$14:$B$18,0),MATCH(차량DB!Y637,잔가map!$C$13:$AR$13,0)),"")</f>
        <v>0.57999999999999996</v>
      </c>
      <c r="AC637" s="527">
        <f>IFERROR(INDEX(잔가map!$C$14:$AR$18,MATCH(차량DB!$AC$5,잔가map!$B$14:$B$18,0),MATCH(차량DB!Y637,잔가map!$C$13:$AR$13,0)),"")</f>
        <v>0.5</v>
      </c>
      <c r="AD637" s="527">
        <f>IFERROR(INDEX(잔가map!$C$14:$AR$18,MATCH(차량DB!$AD$5,잔가map!$B$14:$B$18,0),MATCH(차량DB!Y637,잔가map!$C$13:$AR$13,0)),"")</f>
        <v>0.44000000000000006</v>
      </c>
      <c r="AE637" s="643"/>
      <c r="AF637" s="644"/>
      <c r="AG637" s="644"/>
      <c r="AH637" s="644"/>
      <c r="AI637" s="644"/>
      <c r="AJ637" s="644"/>
      <c r="AK637" s="547"/>
      <c r="AL637" s="576"/>
    </row>
    <row r="638" spans="5:38" x14ac:dyDescent="0.3">
      <c r="E638" s="293" t="s">
        <v>424</v>
      </c>
      <c r="F638" s="604" t="s">
        <v>1087</v>
      </c>
      <c r="G638" s="294">
        <v>1969</v>
      </c>
      <c r="H638" s="295" t="s">
        <v>58</v>
      </c>
      <c r="I638" s="294">
        <v>68080000</v>
      </c>
      <c r="P638" s="295" t="s">
        <v>576</v>
      </c>
      <c r="R638" s="500">
        <v>0</v>
      </c>
      <c r="S638" s="639" t="s">
        <v>1248</v>
      </c>
      <c r="T638" s="640"/>
      <c r="U638" s="640"/>
      <c r="V638" s="640"/>
      <c r="W638" s="640"/>
      <c r="X638" s="640"/>
      <c r="Y638" s="553" t="s">
        <v>357</v>
      </c>
      <c r="Z638" s="527">
        <f>IFERROR(INDEX(잔가map!$C$14:$AR$18,MATCH(차량DB!$Z$5,잔가map!$B$14:$B$18,0),MATCH(차량DB!Y638,잔가map!$C$13:$AR$13,0)),"")</f>
        <v>0.75</v>
      </c>
      <c r="AA638" s="527">
        <f>IFERROR(INDEX(잔가map!$C$14:$AR$18,MATCH(차량DB!$AA$5,잔가map!$B$14:$B$18,0),MATCH(차량DB!Y638,잔가map!$C$13:$AR$13,0)),"")</f>
        <v>0.67</v>
      </c>
      <c r="AB638" s="527">
        <f>IFERROR(INDEX(잔가map!$C$14:$AR$18,MATCH(차량DB!$AB$5,잔가map!$B$14:$B$18,0),MATCH(차량DB!Y638,잔가map!$C$13:$AR$13,0)),"")</f>
        <v>0.57999999999999996</v>
      </c>
      <c r="AC638" s="527">
        <f>IFERROR(INDEX(잔가map!$C$14:$AR$18,MATCH(차량DB!$AC$5,잔가map!$B$14:$B$18,0),MATCH(차량DB!Y638,잔가map!$C$13:$AR$13,0)),"")</f>
        <v>0.5</v>
      </c>
      <c r="AD638" s="527">
        <f>IFERROR(INDEX(잔가map!$C$14:$AR$18,MATCH(차량DB!$AD$5,잔가map!$B$14:$B$18,0),MATCH(차량DB!Y638,잔가map!$C$13:$AR$13,0)),"")</f>
        <v>0.44000000000000006</v>
      </c>
      <c r="AE638" s="643"/>
      <c r="AF638" s="644"/>
      <c r="AG638" s="644"/>
      <c r="AH638" s="644"/>
      <c r="AI638" s="644"/>
      <c r="AJ638" s="644"/>
      <c r="AK638" s="547"/>
      <c r="AL638" s="576"/>
    </row>
    <row r="639" spans="5:38" x14ac:dyDescent="0.3">
      <c r="E639" s="293" t="s">
        <v>424</v>
      </c>
      <c r="F639" s="604" t="s">
        <v>1088</v>
      </c>
      <c r="G639" s="294">
        <v>1969</v>
      </c>
      <c r="H639" s="295" t="s">
        <v>58</v>
      </c>
      <c r="I639" s="294">
        <v>72030000</v>
      </c>
      <c r="P639" s="295" t="s">
        <v>576</v>
      </c>
      <c r="R639" s="500">
        <v>0</v>
      </c>
      <c r="S639" s="639" t="s">
        <v>1248</v>
      </c>
      <c r="T639" s="640"/>
      <c r="U639" s="640"/>
      <c r="V639" s="640"/>
      <c r="W639" s="640"/>
      <c r="X639" s="640"/>
      <c r="Y639" s="553" t="s">
        <v>357</v>
      </c>
      <c r="Z639" s="527">
        <f>IFERROR(INDEX(잔가map!$C$14:$AR$18,MATCH(차량DB!$Z$5,잔가map!$B$14:$B$18,0),MATCH(차량DB!Y639,잔가map!$C$13:$AR$13,0)),"")</f>
        <v>0.75</v>
      </c>
      <c r="AA639" s="527">
        <f>IFERROR(INDEX(잔가map!$C$14:$AR$18,MATCH(차량DB!$AA$5,잔가map!$B$14:$B$18,0),MATCH(차량DB!Y639,잔가map!$C$13:$AR$13,0)),"")</f>
        <v>0.67</v>
      </c>
      <c r="AB639" s="527">
        <f>IFERROR(INDEX(잔가map!$C$14:$AR$18,MATCH(차량DB!$AB$5,잔가map!$B$14:$B$18,0),MATCH(차량DB!Y639,잔가map!$C$13:$AR$13,0)),"")</f>
        <v>0.57999999999999996</v>
      </c>
      <c r="AC639" s="527">
        <f>IFERROR(INDEX(잔가map!$C$14:$AR$18,MATCH(차량DB!$AC$5,잔가map!$B$14:$B$18,0),MATCH(차량DB!Y639,잔가map!$C$13:$AR$13,0)),"")</f>
        <v>0.5</v>
      </c>
      <c r="AD639" s="527">
        <f>IFERROR(INDEX(잔가map!$C$14:$AR$18,MATCH(차량DB!$AD$5,잔가map!$B$14:$B$18,0),MATCH(차량DB!Y639,잔가map!$C$13:$AR$13,0)),"")</f>
        <v>0.44000000000000006</v>
      </c>
      <c r="AE639" s="643"/>
      <c r="AF639" s="644"/>
      <c r="AG639" s="644"/>
      <c r="AH639" s="644"/>
      <c r="AI639" s="644"/>
      <c r="AJ639" s="644"/>
      <c r="AK639" s="547"/>
      <c r="AL639" s="576"/>
    </row>
    <row r="640" spans="5:38" x14ac:dyDescent="0.3">
      <c r="E640" s="293" t="s">
        <v>424</v>
      </c>
      <c r="F640" s="604" t="s">
        <v>1089</v>
      </c>
      <c r="G640" s="294">
        <v>1969</v>
      </c>
      <c r="H640" s="295" t="s">
        <v>58</v>
      </c>
      <c r="I640" s="294">
        <v>84640000</v>
      </c>
      <c r="P640" s="295" t="s">
        <v>576</v>
      </c>
      <c r="R640" s="500"/>
      <c r="S640" s="639" t="s">
        <v>1248</v>
      </c>
      <c r="T640" s="640"/>
      <c r="U640" s="640"/>
      <c r="V640" s="640"/>
      <c r="W640" s="640"/>
      <c r="X640" s="640"/>
      <c r="Y640" s="553" t="s">
        <v>357</v>
      </c>
      <c r="Z640" s="527">
        <f>IFERROR(INDEX(잔가map!$C$14:$AR$18,MATCH(차량DB!$Z$5,잔가map!$B$14:$B$18,0),MATCH(차량DB!Y640,잔가map!$C$13:$AR$13,0)),"")</f>
        <v>0.75</v>
      </c>
      <c r="AA640" s="527">
        <f>IFERROR(INDEX(잔가map!$C$14:$AR$18,MATCH(차량DB!$AA$5,잔가map!$B$14:$B$18,0),MATCH(차량DB!Y640,잔가map!$C$13:$AR$13,0)),"")</f>
        <v>0.67</v>
      </c>
      <c r="AB640" s="527">
        <f>IFERROR(INDEX(잔가map!$C$14:$AR$18,MATCH(차량DB!$AB$5,잔가map!$B$14:$B$18,0),MATCH(차량DB!Y640,잔가map!$C$13:$AR$13,0)),"")</f>
        <v>0.57999999999999996</v>
      </c>
      <c r="AC640" s="527">
        <f>IFERROR(INDEX(잔가map!$C$14:$AR$18,MATCH(차량DB!$AC$5,잔가map!$B$14:$B$18,0),MATCH(차량DB!Y640,잔가map!$C$13:$AR$13,0)),"")</f>
        <v>0.5</v>
      </c>
      <c r="AD640" s="527">
        <f>IFERROR(INDEX(잔가map!$C$14:$AR$18,MATCH(차량DB!$AD$5,잔가map!$B$14:$B$18,0),MATCH(차량DB!Y640,잔가map!$C$13:$AR$13,0)),"")</f>
        <v>0.44000000000000006</v>
      </c>
      <c r="AE640" s="643"/>
      <c r="AF640" s="644"/>
      <c r="AG640" s="644"/>
      <c r="AH640" s="644"/>
      <c r="AI640" s="644"/>
      <c r="AJ640" s="644"/>
      <c r="AK640" s="547"/>
      <c r="AL640" s="576"/>
    </row>
    <row r="641" spans="5:38" x14ac:dyDescent="0.3">
      <c r="E641" s="293" t="s">
        <v>424</v>
      </c>
      <c r="F641" s="604" t="s">
        <v>1090</v>
      </c>
      <c r="G641" s="294">
        <v>1969</v>
      </c>
      <c r="H641" s="295" t="s">
        <v>305</v>
      </c>
      <c r="I641" s="294">
        <v>84670000</v>
      </c>
      <c r="P641" s="295" t="s">
        <v>576</v>
      </c>
      <c r="R641" s="500">
        <v>0</v>
      </c>
      <c r="S641" s="639" t="s">
        <v>1251</v>
      </c>
      <c r="T641" s="640"/>
      <c r="U641" s="640"/>
      <c r="V641" s="640"/>
      <c r="W641" s="640"/>
      <c r="X641" s="640"/>
      <c r="Y641" s="553" t="s">
        <v>357</v>
      </c>
      <c r="Z641" s="527">
        <f>IFERROR(INDEX(잔가map!$C$14:$AR$18,MATCH(차량DB!$Z$5,잔가map!$B$14:$B$18,0),MATCH(차량DB!Y641,잔가map!$C$13:$AR$13,0)),"")</f>
        <v>0.75</v>
      </c>
      <c r="AA641" s="527">
        <f>IFERROR(INDEX(잔가map!$C$14:$AR$18,MATCH(차량DB!$AA$5,잔가map!$B$14:$B$18,0),MATCH(차량DB!Y641,잔가map!$C$13:$AR$13,0)),"")</f>
        <v>0.67</v>
      </c>
      <c r="AB641" s="527">
        <f>IFERROR(INDEX(잔가map!$C$14:$AR$18,MATCH(차량DB!$AB$5,잔가map!$B$14:$B$18,0),MATCH(차량DB!Y641,잔가map!$C$13:$AR$13,0)),"")</f>
        <v>0.57999999999999996</v>
      </c>
      <c r="AC641" s="527">
        <f>IFERROR(INDEX(잔가map!$C$14:$AR$18,MATCH(차량DB!$AC$5,잔가map!$B$14:$B$18,0),MATCH(차량DB!Y641,잔가map!$C$13:$AR$13,0)),"")</f>
        <v>0.5</v>
      </c>
      <c r="AD641" s="527">
        <f>IFERROR(INDEX(잔가map!$C$14:$AR$18,MATCH(차량DB!$AD$5,잔가map!$B$14:$B$18,0),MATCH(차량DB!Y641,잔가map!$C$13:$AR$13,0)),"")</f>
        <v>0.44000000000000006</v>
      </c>
      <c r="AE641" s="643"/>
      <c r="AF641" s="644"/>
      <c r="AG641" s="644"/>
      <c r="AH641" s="644"/>
      <c r="AI641" s="644"/>
      <c r="AJ641" s="644"/>
      <c r="AK641" s="547"/>
      <c r="AL641" s="576"/>
    </row>
    <row r="642" spans="5:38" x14ac:dyDescent="0.3">
      <c r="E642" s="293" t="s">
        <v>424</v>
      </c>
      <c r="F642" s="604" t="s">
        <v>1091</v>
      </c>
      <c r="G642" s="294">
        <v>1969</v>
      </c>
      <c r="H642" s="295" t="s">
        <v>305</v>
      </c>
      <c r="I642" s="294">
        <v>93850000</v>
      </c>
      <c r="P642" s="295" t="s">
        <v>576</v>
      </c>
      <c r="R642" s="500">
        <v>0</v>
      </c>
      <c r="S642" s="639" t="s">
        <v>1252</v>
      </c>
      <c r="T642" s="640"/>
      <c r="U642" s="640"/>
      <c r="V642" s="640"/>
      <c r="W642" s="640"/>
      <c r="X642" s="640"/>
      <c r="Y642" s="553" t="s">
        <v>357</v>
      </c>
      <c r="Z642" s="527">
        <f>IFERROR(INDEX(잔가map!$C$14:$AR$18,MATCH(차량DB!$Z$5,잔가map!$B$14:$B$18,0),MATCH(차량DB!Y642,잔가map!$C$13:$AR$13,0)),"")</f>
        <v>0.75</v>
      </c>
      <c r="AA642" s="527">
        <f>IFERROR(INDEX(잔가map!$C$14:$AR$18,MATCH(차량DB!$AA$5,잔가map!$B$14:$B$18,0),MATCH(차량DB!Y642,잔가map!$C$13:$AR$13,0)),"")</f>
        <v>0.67</v>
      </c>
      <c r="AB642" s="527">
        <f>IFERROR(INDEX(잔가map!$C$14:$AR$18,MATCH(차량DB!$AB$5,잔가map!$B$14:$B$18,0),MATCH(차량DB!Y642,잔가map!$C$13:$AR$13,0)),"")</f>
        <v>0.57999999999999996</v>
      </c>
      <c r="AC642" s="527">
        <f>IFERROR(INDEX(잔가map!$C$14:$AR$18,MATCH(차량DB!$AC$5,잔가map!$B$14:$B$18,0),MATCH(차량DB!Y642,잔가map!$C$13:$AR$13,0)),"")</f>
        <v>0.5</v>
      </c>
      <c r="AD642" s="527">
        <f>IFERROR(INDEX(잔가map!$C$14:$AR$18,MATCH(차량DB!$AD$5,잔가map!$B$14:$B$18,0),MATCH(차량DB!Y642,잔가map!$C$13:$AR$13,0)),"")</f>
        <v>0.44000000000000006</v>
      </c>
      <c r="AE642" s="643"/>
      <c r="AF642" s="644"/>
      <c r="AG642" s="644"/>
      <c r="AH642" s="644"/>
      <c r="AI642" s="644"/>
      <c r="AJ642" s="644"/>
      <c r="AK642" s="547"/>
      <c r="AL642" s="576"/>
    </row>
    <row r="643" spans="5:38" x14ac:dyDescent="0.3">
      <c r="E643" s="293" t="s">
        <v>424</v>
      </c>
      <c r="F643" s="605" t="s">
        <v>1092</v>
      </c>
      <c r="G643" s="294">
        <v>1969</v>
      </c>
      <c r="H643" s="295" t="s">
        <v>305</v>
      </c>
      <c r="I643" s="294">
        <v>113270000</v>
      </c>
      <c r="P643" s="295" t="s">
        <v>576</v>
      </c>
      <c r="R643" s="500">
        <v>0</v>
      </c>
      <c r="S643" s="639" t="s">
        <v>1248</v>
      </c>
      <c r="T643" s="640"/>
      <c r="U643" s="640"/>
      <c r="V643" s="640"/>
      <c r="W643" s="640"/>
      <c r="X643" s="640"/>
      <c r="Y643" s="553" t="s">
        <v>357</v>
      </c>
      <c r="Z643" s="527">
        <f>IFERROR(INDEX(잔가map!$C$14:$AR$18,MATCH(차량DB!$Z$5,잔가map!$B$14:$B$18,0),MATCH(차량DB!Y643,잔가map!$C$13:$AR$13,0)),"")</f>
        <v>0.75</v>
      </c>
      <c r="AA643" s="527">
        <f>IFERROR(INDEX(잔가map!$C$14:$AR$18,MATCH(차량DB!$AA$5,잔가map!$B$14:$B$18,0),MATCH(차량DB!Y643,잔가map!$C$13:$AR$13,0)),"")</f>
        <v>0.67</v>
      </c>
      <c r="AB643" s="527">
        <f>IFERROR(INDEX(잔가map!$C$14:$AR$18,MATCH(차량DB!$AB$5,잔가map!$B$14:$B$18,0),MATCH(차량DB!Y643,잔가map!$C$13:$AR$13,0)),"")</f>
        <v>0.57999999999999996</v>
      </c>
      <c r="AC643" s="527">
        <f>IFERROR(INDEX(잔가map!$C$14:$AR$18,MATCH(차량DB!$AC$5,잔가map!$B$14:$B$18,0),MATCH(차량DB!Y643,잔가map!$C$13:$AR$13,0)),"")</f>
        <v>0.5</v>
      </c>
      <c r="AD643" s="527">
        <f>IFERROR(INDEX(잔가map!$C$14:$AR$18,MATCH(차량DB!$AD$5,잔가map!$B$14:$B$18,0),MATCH(차량DB!Y643,잔가map!$C$13:$AR$13,0)),"")</f>
        <v>0.44000000000000006</v>
      </c>
      <c r="AE643" s="643"/>
      <c r="AF643" s="644"/>
      <c r="AG643" s="644"/>
      <c r="AH643" s="644"/>
      <c r="AI643" s="644"/>
      <c r="AJ643" s="644"/>
      <c r="AK643" s="547"/>
      <c r="AL643" s="576"/>
    </row>
    <row r="644" spans="5:38" x14ac:dyDescent="0.3">
      <c r="E644" s="293" t="s">
        <v>424</v>
      </c>
      <c r="F644" s="605" t="s">
        <v>545</v>
      </c>
      <c r="G644" s="294">
        <v>1969</v>
      </c>
      <c r="H644" s="295" t="s">
        <v>45</v>
      </c>
      <c r="I644" s="294">
        <v>47470000</v>
      </c>
      <c r="P644" s="295" t="s">
        <v>576</v>
      </c>
      <c r="R644" s="500">
        <v>0</v>
      </c>
      <c r="S644" s="639" t="s">
        <v>1262</v>
      </c>
      <c r="T644" s="640"/>
      <c r="U644" s="640"/>
      <c r="V644" s="640"/>
      <c r="W644" s="640"/>
      <c r="X644" s="640"/>
      <c r="Y644" s="553" t="s">
        <v>357</v>
      </c>
      <c r="Z644" s="527">
        <f>IFERROR(INDEX(잔가map!$C$14:$AR$18,MATCH(차량DB!$Z$5,잔가map!$B$14:$B$18,0),MATCH(차량DB!Y644,잔가map!$C$13:$AR$13,0)),"")</f>
        <v>0.75</v>
      </c>
      <c r="AA644" s="527">
        <f>IFERROR(INDEX(잔가map!$C$14:$AR$18,MATCH(차량DB!$AA$5,잔가map!$B$14:$B$18,0),MATCH(차량DB!Y644,잔가map!$C$13:$AR$13,0)),"")</f>
        <v>0.67</v>
      </c>
      <c r="AB644" s="527">
        <f>IFERROR(INDEX(잔가map!$C$14:$AR$18,MATCH(차량DB!$AB$5,잔가map!$B$14:$B$18,0),MATCH(차량DB!Y644,잔가map!$C$13:$AR$13,0)),"")</f>
        <v>0.57999999999999996</v>
      </c>
      <c r="AC644" s="527">
        <f>IFERROR(INDEX(잔가map!$C$14:$AR$18,MATCH(차량DB!$AC$5,잔가map!$B$14:$B$18,0),MATCH(차량DB!Y644,잔가map!$C$13:$AR$13,0)),"")</f>
        <v>0.5</v>
      </c>
      <c r="AD644" s="527">
        <f>IFERROR(INDEX(잔가map!$C$14:$AR$18,MATCH(차량DB!$AD$5,잔가map!$B$14:$B$18,0),MATCH(차량DB!Y644,잔가map!$C$13:$AR$13,0)),"")</f>
        <v>0.44000000000000006</v>
      </c>
      <c r="AE644" s="643"/>
      <c r="AF644" s="644"/>
      <c r="AG644" s="644"/>
      <c r="AH644" s="644"/>
      <c r="AI644" s="644"/>
      <c r="AJ644" s="644"/>
      <c r="AK644" s="547"/>
      <c r="AL644" s="576"/>
    </row>
    <row r="645" spans="5:38" x14ac:dyDescent="0.3">
      <c r="E645" s="293" t="s">
        <v>424</v>
      </c>
      <c r="F645" s="605" t="s">
        <v>1093</v>
      </c>
      <c r="G645" s="294">
        <v>1969</v>
      </c>
      <c r="H645" s="295" t="s">
        <v>45</v>
      </c>
      <c r="I645" s="294">
        <v>55360000</v>
      </c>
      <c r="P645" s="295" t="s">
        <v>576</v>
      </c>
      <c r="R645" s="500">
        <v>0</v>
      </c>
      <c r="S645" s="639" t="s">
        <v>1266</v>
      </c>
      <c r="T645" s="640"/>
      <c r="U645" s="640"/>
      <c r="V645" s="640"/>
      <c r="W645" s="640"/>
      <c r="X645" s="640"/>
      <c r="Y645" s="553" t="s">
        <v>357</v>
      </c>
      <c r="Z645" s="527">
        <f>IFERROR(INDEX(잔가map!$C$14:$AR$18,MATCH(차량DB!$Z$5,잔가map!$B$14:$B$18,0),MATCH(차량DB!Y645,잔가map!$C$13:$AR$13,0)),"")</f>
        <v>0.75</v>
      </c>
      <c r="AA645" s="527">
        <f>IFERROR(INDEX(잔가map!$C$14:$AR$18,MATCH(차량DB!$AA$5,잔가map!$B$14:$B$18,0),MATCH(차량DB!Y645,잔가map!$C$13:$AR$13,0)),"")</f>
        <v>0.67</v>
      </c>
      <c r="AB645" s="527">
        <f>IFERROR(INDEX(잔가map!$C$14:$AR$18,MATCH(차량DB!$AB$5,잔가map!$B$14:$B$18,0),MATCH(차량DB!Y645,잔가map!$C$13:$AR$13,0)),"")</f>
        <v>0.57999999999999996</v>
      </c>
      <c r="AC645" s="527">
        <f>IFERROR(INDEX(잔가map!$C$14:$AR$18,MATCH(차량DB!$AC$5,잔가map!$B$14:$B$18,0),MATCH(차량DB!Y645,잔가map!$C$13:$AR$13,0)),"")</f>
        <v>0.5</v>
      </c>
      <c r="AD645" s="527">
        <f>IFERROR(INDEX(잔가map!$C$14:$AR$18,MATCH(차량DB!$AD$5,잔가map!$B$14:$B$18,0),MATCH(차량DB!Y645,잔가map!$C$13:$AR$13,0)),"")</f>
        <v>0.44000000000000006</v>
      </c>
      <c r="AE645" s="643"/>
      <c r="AF645" s="644"/>
      <c r="AG645" s="644"/>
      <c r="AH645" s="644"/>
      <c r="AI645" s="644"/>
      <c r="AJ645" s="644"/>
      <c r="AK645" s="547"/>
      <c r="AL645" s="576"/>
    </row>
    <row r="646" spans="5:38" x14ac:dyDescent="0.3">
      <c r="E646" s="293" t="s">
        <v>424</v>
      </c>
      <c r="F646" s="605" t="s">
        <v>1094</v>
      </c>
      <c r="G646" s="294">
        <v>1999</v>
      </c>
      <c r="H646" s="295" t="s">
        <v>45</v>
      </c>
      <c r="I646" s="294">
        <v>62600000</v>
      </c>
      <c r="P646" s="295" t="s">
        <v>576</v>
      </c>
      <c r="R646" s="500">
        <v>0</v>
      </c>
      <c r="S646" s="639" t="s">
        <v>1262</v>
      </c>
      <c r="T646" s="640"/>
      <c r="U646" s="640"/>
      <c r="V646" s="640"/>
      <c r="W646" s="640"/>
      <c r="X646" s="640"/>
      <c r="Y646" s="553" t="s">
        <v>357</v>
      </c>
      <c r="Z646" s="527">
        <f>IFERROR(INDEX(잔가map!$C$14:$AR$18,MATCH(차량DB!$Z$5,잔가map!$B$14:$B$18,0),MATCH(차량DB!Y646,잔가map!$C$13:$AR$13,0)),"")</f>
        <v>0.75</v>
      </c>
      <c r="AA646" s="527">
        <f>IFERROR(INDEX(잔가map!$C$14:$AR$18,MATCH(차량DB!$AA$5,잔가map!$B$14:$B$18,0),MATCH(차량DB!Y646,잔가map!$C$13:$AR$13,0)),"")</f>
        <v>0.67</v>
      </c>
      <c r="AB646" s="527">
        <f>IFERROR(INDEX(잔가map!$C$14:$AR$18,MATCH(차량DB!$AB$5,잔가map!$B$14:$B$18,0),MATCH(차량DB!Y646,잔가map!$C$13:$AR$13,0)),"")</f>
        <v>0.57999999999999996</v>
      </c>
      <c r="AC646" s="527">
        <f>IFERROR(INDEX(잔가map!$C$14:$AR$18,MATCH(차량DB!$AC$5,잔가map!$B$14:$B$18,0),MATCH(차량DB!Y646,잔가map!$C$13:$AR$13,0)),"")</f>
        <v>0.5</v>
      </c>
      <c r="AD646" s="527">
        <f>IFERROR(INDEX(잔가map!$C$14:$AR$18,MATCH(차량DB!$AD$5,잔가map!$B$14:$B$18,0),MATCH(차량DB!Y646,잔가map!$C$13:$AR$13,0)),"")</f>
        <v>0.44000000000000006</v>
      </c>
      <c r="AE646" s="643"/>
      <c r="AF646" s="644"/>
      <c r="AG646" s="644"/>
      <c r="AH646" s="644"/>
      <c r="AI646" s="644"/>
      <c r="AJ646" s="644"/>
      <c r="AK646" s="547"/>
      <c r="AL646" s="576"/>
    </row>
    <row r="647" spans="5:38" x14ac:dyDescent="0.3">
      <c r="E647" s="293" t="s">
        <v>424</v>
      </c>
      <c r="F647" s="605" t="s">
        <v>1095</v>
      </c>
      <c r="G647" s="294">
        <v>1999</v>
      </c>
      <c r="H647" s="295" t="s">
        <v>45</v>
      </c>
      <c r="I647" s="294">
        <v>68510000</v>
      </c>
      <c r="P647" s="295" t="s">
        <v>576</v>
      </c>
      <c r="R647" s="500">
        <v>0</v>
      </c>
      <c r="S647" s="639" t="s">
        <v>1262</v>
      </c>
      <c r="T647" s="640"/>
      <c r="U647" s="640"/>
      <c r="V647" s="640"/>
      <c r="W647" s="640"/>
      <c r="X647" s="640"/>
      <c r="Y647" s="553" t="s">
        <v>357</v>
      </c>
      <c r="Z647" s="527">
        <f>IFERROR(INDEX(잔가map!$C$14:$AR$18,MATCH(차량DB!$Z$5,잔가map!$B$14:$B$18,0),MATCH(차량DB!Y647,잔가map!$C$13:$AR$13,0)),"")</f>
        <v>0.75</v>
      </c>
      <c r="AA647" s="527">
        <f>IFERROR(INDEX(잔가map!$C$14:$AR$18,MATCH(차량DB!$AA$5,잔가map!$B$14:$B$18,0),MATCH(차량DB!Y647,잔가map!$C$13:$AR$13,0)),"")</f>
        <v>0.67</v>
      </c>
      <c r="AB647" s="527">
        <f>IFERROR(INDEX(잔가map!$C$14:$AR$18,MATCH(차량DB!$AB$5,잔가map!$B$14:$B$18,0),MATCH(차량DB!Y647,잔가map!$C$13:$AR$13,0)),"")</f>
        <v>0.57999999999999996</v>
      </c>
      <c r="AC647" s="527">
        <f>IFERROR(INDEX(잔가map!$C$14:$AR$18,MATCH(차량DB!$AC$5,잔가map!$B$14:$B$18,0),MATCH(차량DB!Y647,잔가map!$C$13:$AR$13,0)),"")</f>
        <v>0.5</v>
      </c>
      <c r="AD647" s="527">
        <f>IFERROR(INDEX(잔가map!$C$14:$AR$18,MATCH(차량DB!$AD$5,잔가map!$B$14:$B$18,0),MATCH(차량DB!Y647,잔가map!$C$13:$AR$13,0)),"")</f>
        <v>0.44000000000000006</v>
      </c>
      <c r="AE647" s="643"/>
      <c r="AF647" s="644"/>
      <c r="AG647" s="644"/>
      <c r="AH647" s="644"/>
      <c r="AI647" s="644"/>
      <c r="AJ647" s="644"/>
      <c r="AK647" s="547"/>
      <c r="AL647" s="576"/>
    </row>
    <row r="648" spans="5:38" x14ac:dyDescent="0.3">
      <c r="E648" s="293" t="s">
        <v>424</v>
      </c>
      <c r="F648" s="605" t="s">
        <v>1096</v>
      </c>
      <c r="G648" s="294">
        <v>1969</v>
      </c>
      <c r="H648" s="295" t="s">
        <v>45</v>
      </c>
      <c r="I648" s="294">
        <v>72460000</v>
      </c>
      <c r="P648" s="295" t="s">
        <v>576</v>
      </c>
      <c r="R648" s="500">
        <v>0</v>
      </c>
      <c r="S648" s="639" t="s">
        <v>1264</v>
      </c>
      <c r="T648" s="640"/>
      <c r="U648" s="640"/>
      <c r="V648" s="640"/>
      <c r="W648" s="640"/>
      <c r="X648" s="640"/>
      <c r="Y648" s="553" t="s">
        <v>357</v>
      </c>
      <c r="Z648" s="527">
        <f>IFERROR(INDEX(잔가map!$C$14:$AR$18,MATCH(차량DB!$Z$5,잔가map!$B$14:$B$18,0),MATCH(차량DB!Y648,잔가map!$C$13:$AR$13,0)),"")</f>
        <v>0.75</v>
      </c>
      <c r="AA648" s="527">
        <f>IFERROR(INDEX(잔가map!$C$14:$AR$18,MATCH(차량DB!$AA$5,잔가map!$B$14:$B$18,0),MATCH(차량DB!Y648,잔가map!$C$13:$AR$13,0)),"")</f>
        <v>0.67</v>
      </c>
      <c r="AB648" s="527">
        <f>IFERROR(INDEX(잔가map!$C$14:$AR$18,MATCH(차량DB!$AB$5,잔가map!$B$14:$B$18,0),MATCH(차량DB!Y648,잔가map!$C$13:$AR$13,0)),"")</f>
        <v>0.57999999999999996</v>
      </c>
      <c r="AC648" s="527">
        <f>IFERROR(INDEX(잔가map!$C$14:$AR$18,MATCH(차량DB!$AC$5,잔가map!$B$14:$B$18,0),MATCH(차량DB!Y648,잔가map!$C$13:$AR$13,0)),"")</f>
        <v>0.5</v>
      </c>
      <c r="AD648" s="527">
        <f>IFERROR(INDEX(잔가map!$C$14:$AR$18,MATCH(차량DB!$AD$5,잔가map!$B$14:$B$18,0),MATCH(차량DB!Y648,잔가map!$C$13:$AR$13,0)),"")</f>
        <v>0.44000000000000006</v>
      </c>
      <c r="AE648" s="643"/>
      <c r="AF648" s="644"/>
      <c r="AG648" s="644"/>
      <c r="AH648" s="644"/>
      <c r="AI648" s="644"/>
      <c r="AJ648" s="644"/>
      <c r="AK648" s="547"/>
      <c r="AL648" s="576"/>
    </row>
    <row r="649" spans="5:38" x14ac:dyDescent="0.3">
      <c r="E649" s="293" t="s">
        <v>424</v>
      </c>
      <c r="F649" s="605" t="s">
        <v>1097</v>
      </c>
      <c r="G649" s="294">
        <v>1969</v>
      </c>
      <c r="H649" s="295" t="s">
        <v>45</v>
      </c>
      <c r="I649" s="294">
        <v>86130000</v>
      </c>
      <c r="P649" s="295" t="s">
        <v>576</v>
      </c>
      <c r="R649" s="500">
        <v>0</v>
      </c>
      <c r="S649" s="639" t="s">
        <v>1262</v>
      </c>
      <c r="T649" s="640"/>
      <c r="U649" s="640"/>
      <c r="V649" s="640"/>
      <c r="W649" s="640"/>
      <c r="X649" s="640"/>
      <c r="Y649" s="553" t="s">
        <v>357</v>
      </c>
      <c r="Z649" s="527">
        <f>IFERROR(INDEX(잔가map!$C$14:$AR$18,MATCH(차량DB!$Z$5,잔가map!$B$14:$B$18,0),MATCH(차량DB!Y649,잔가map!$C$13:$AR$13,0)),"")</f>
        <v>0.75</v>
      </c>
      <c r="AA649" s="527">
        <f>IFERROR(INDEX(잔가map!$C$14:$AR$18,MATCH(차량DB!$AA$5,잔가map!$B$14:$B$18,0),MATCH(차량DB!Y649,잔가map!$C$13:$AR$13,0)),"")</f>
        <v>0.67</v>
      </c>
      <c r="AB649" s="527">
        <f>IFERROR(INDEX(잔가map!$C$14:$AR$18,MATCH(차량DB!$AB$5,잔가map!$B$14:$B$18,0),MATCH(차량DB!Y649,잔가map!$C$13:$AR$13,0)),"")</f>
        <v>0.57999999999999996</v>
      </c>
      <c r="AC649" s="527">
        <f>IFERROR(INDEX(잔가map!$C$14:$AR$18,MATCH(차량DB!$AC$5,잔가map!$B$14:$B$18,0),MATCH(차량DB!Y649,잔가map!$C$13:$AR$13,0)),"")</f>
        <v>0.5</v>
      </c>
      <c r="AD649" s="527">
        <f>IFERROR(INDEX(잔가map!$C$14:$AR$18,MATCH(차량DB!$AD$5,잔가map!$B$14:$B$18,0),MATCH(차량DB!Y649,잔가map!$C$13:$AR$13,0)),"")</f>
        <v>0.44000000000000006</v>
      </c>
      <c r="AE649" s="643"/>
      <c r="AF649" s="644"/>
      <c r="AG649" s="644"/>
      <c r="AH649" s="644"/>
      <c r="AI649" s="644"/>
      <c r="AJ649" s="644"/>
      <c r="AK649" s="547"/>
      <c r="AL649" s="576"/>
    </row>
    <row r="650" spans="5:38" x14ac:dyDescent="0.3">
      <c r="E650" s="293" t="s">
        <v>424</v>
      </c>
      <c r="F650" s="605" t="s">
        <v>1098</v>
      </c>
      <c r="G650" s="294">
        <v>1969</v>
      </c>
      <c r="H650" s="295" t="s">
        <v>45</v>
      </c>
      <c r="I650" s="294">
        <v>54570000</v>
      </c>
      <c r="P650" s="295" t="s">
        <v>576</v>
      </c>
      <c r="R650" s="500">
        <v>0</v>
      </c>
      <c r="S650" s="639"/>
      <c r="T650" s="640"/>
      <c r="U650" s="640"/>
      <c r="V650" s="640"/>
      <c r="W650" s="640"/>
      <c r="X650" s="640"/>
      <c r="Y650" s="553" t="s">
        <v>359</v>
      </c>
      <c r="Z650" s="527">
        <f>IFERROR(INDEX(잔가map!$C$14:$AR$18,MATCH(차량DB!$Z$5,잔가map!$B$14:$B$18,0),MATCH(차량DB!Y650,잔가map!$C$13:$AR$13,0)),"")</f>
        <v>0.72</v>
      </c>
      <c r="AA650" s="527">
        <f>IFERROR(INDEX(잔가map!$C$14:$AR$18,MATCH(차량DB!$AA$5,잔가map!$B$14:$B$18,0),MATCH(차량DB!Y650,잔가map!$C$13:$AR$13,0)),"")</f>
        <v>0.64</v>
      </c>
      <c r="AB650" s="527">
        <f>IFERROR(INDEX(잔가map!$C$14:$AR$18,MATCH(차량DB!$AB$5,잔가map!$B$14:$B$18,0),MATCH(차량DB!Y650,잔가map!$C$13:$AR$13,0)),"")</f>
        <v>0.54999999999999993</v>
      </c>
      <c r="AC650" s="527">
        <f>IFERROR(INDEX(잔가map!$C$14:$AR$18,MATCH(차량DB!$AC$5,잔가map!$B$14:$B$18,0),MATCH(차량DB!Y650,잔가map!$C$13:$AR$13,0)),"")</f>
        <v>0.47000000000000003</v>
      </c>
      <c r="AD650" s="527">
        <f>IFERROR(INDEX(잔가map!$C$14:$AR$18,MATCH(차량DB!$AD$5,잔가map!$B$14:$B$18,0),MATCH(차량DB!Y650,잔가map!$C$13:$AR$13,0)),"")</f>
        <v>0.41000000000000003</v>
      </c>
      <c r="AE650" s="643"/>
      <c r="AF650" s="644"/>
      <c r="AG650" s="644"/>
      <c r="AH650" s="644"/>
      <c r="AI650" s="644"/>
      <c r="AJ650" s="644"/>
      <c r="AK650" s="547"/>
      <c r="AL650" s="576"/>
    </row>
    <row r="651" spans="5:38" x14ac:dyDescent="0.3">
      <c r="E651" s="293" t="s">
        <v>424</v>
      </c>
      <c r="F651" s="605" t="s">
        <v>1099</v>
      </c>
      <c r="G651" s="294">
        <v>1969</v>
      </c>
      <c r="H651" s="295" t="s">
        <v>45</v>
      </c>
      <c r="I651" s="294">
        <v>60780000</v>
      </c>
      <c r="P651" s="295" t="s">
        <v>576</v>
      </c>
      <c r="R651" s="500">
        <v>0</v>
      </c>
      <c r="S651" s="639"/>
      <c r="T651" s="640"/>
      <c r="U651" s="640"/>
      <c r="V651" s="640"/>
      <c r="W651" s="640"/>
      <c r="X651" s="640"/>
      <c r="Y651" s="553" t="s">
        <v>359</v>
      </c>
      <c r="Z651" s="527">
        <f>IFERROR(INDEX(잔가map!$C$14:$AR$18,MATCH(차량DB!$Z$5,잔가map!$B$14:$B$18,0),MATCH(차량DB!Y651,잔가map!$C$13:$AR$13,0)),"")</f>
        <v>0.72</v>
      </c>
      <c r="AA651" s="527">
        <f>IFERROR(INDEX(잔가map!$C$14:$AR$18,MATCH(차량DB!$AA$5,잔가map!$B$14:$B$18,0),MATCH(차량DB!Y651,잔가map!$C$13:$AR$13,0)),"")</f>
        <v>0.64</v>
      </c>
      <c r="AB651" s="527">
        <f>IFERROR(INDEX(잔가map!$C$14:$AR$18,MATCH(차량DB!$AB$5,잔가map!$B$14:$B$18,0),MATCH(차량DB!Y651,잔가map!$C$13:$AR$13,0)),"")</f>
        <v>0.54999999999999993</v>
      </c>
      <c r="AC651" s="527">
        <f>IFERROR(INDEX(잔가map!$C$14:$AR$18,MATCH(차량DB!$AC$5,잔가map!$B$14:$B$18,0),MATCH(차량DB!Y651,잔가map!$C$13:$AR$13,0)),"")</f>
        <v>0.47000000000000003</v>
      </c>
      <c r="AD651" s="527">
        <f>IFERROR(INDEX(잔가map!$C$14:$AR$18,MATCH(차량DB!$AD$5,잔가map!$B$14:$B$18,0),MATCH(차량DB!Y651,잔가map!$C$13:$AR$13,0)),"")</f>
        <v>0.41000000000000003</v>
      </c>
      <c r="AE651" s="643"/>
      <c r="AF651" s="644"/>
      <c r="AG651" s="644"/>
      <c r="AH651" s="644"/>
      <c r="AI651" s="644"/>
      <c r="AJ651" s="644"/>
      <c r="AK651" s="547"/>
      <c r="AL651" s="576"/>
    </row>
    <row r="652" spans="5:38" x14ac:dyDescent="0.3">
      <c r="E652" s="293" t="s">
        <v>424</v>
      </c>
      <c r="F652" s="605" t="s">
        <v>1100</v>
      </c>
      <c r="G652" s="294">
        <v>1969</v>
      </c>
      <c r="H652" s="295" t="s">
        <v>45</v>
      </c>
      <c r="I652" s="294">
        <v>70070000</v>
      </c>
      <c r="P652" s="295" t="s">
        <v>576</v>
      </c>
      <c r="R652" s="500">
        <v>0</v>
      </c>
      <c r="S652" s="639"/>
      <c r="T652" s="640"/>
      <c r="U652" s="640"/>
      <c r="V652" s="640"/>
      <c r="W652" s="640"/>
      <c r="X652" s="640"/>
      <c r="Y652" s="553" t="s">
        <v>359</v>
      </c>
      <c r="Z652" s="527">
        <f>IFERROR(INDEX(잔가map!$C$14:$AR$18,MATCH(차량DB!$Z$5,잔가map!$B$14:$B$18,0),MATCH(차량DB!Y652,잔가map!$C$13:$AR$13,0)),"")</f>
        <v>0.72</v>
      </c>
      <c r="AA652" s="527">
        <f>IFERROR(INDEX(잔가map!$C$14:$AR$18,MATCH(차량DB!$AA$5,잔가map!$B$14:$B$18,0),MATCH(차량DB!Y652,잔가map!$C$13:$AR$13,0)),"")</f>
        <v>0.64</v>
      </c>
      <c r="AB652" s="527">
        <f>IFERROR(INDEX(잔가map!$C$14:$AR$18,MATCH(차량DB!$AB$5,잔가map!$B$14:$B$18,0),MATCH(차량DB!Y652,잔가map!$C$13:$AR$13,0)),"")</f>
        <v>0.54999999999999993</v>
      </c>
      <c r="AC652" s="527">
        <f>IFERROR(INDEX(잔가map!$C$14:$AR$18,MATCH(차량DB!$AC$5,잔가map!$B$14:$B$18,0),MATCH(차량DB!Y652,잔가map!$C$13:$AR$13,0)),"")</f>
        <v>0.47000000000000003</v>
      </c>
      <c r="AD652" s="527">
        <f>IFERROR(INDEX(잔가map!$C$14:$AR$18,MATCH(차량DB!$AD$5,잔가map!$B$14:$B$18,0),MATCH(차량DB!Y652,잔가map!$C$13:$AR$13,0)),"")</f>
        <v>0.41000000000000003</v>
      </c>
      <c r="AE652" s="643"/>
      <c r="AF652" s="644"/>
      <c r="AG652" s="644"/>
      <c r="AH652" s="644"/>
      <c r="AI652" s="644"/>
      <c r="AJ652" s="644"/>
      <c r="AK652" s="547"/>
      <c r="AL652" s="576"/>
    </row>
    <row r="653" spans="5:38" x14ac:dyDescent="0.3">
      <c r="E653" s="293" t="s">
        <v>424</v>
      </c>
      <c r="F653" s="605" t="s">
        <v>1101</v>
      </c>
      <c r="G653" s="294">
        <v>1969</v>
      </c>
      <c r="H653" s="295" t="s">
        <v>674</v>
      </c>
      <c r="I653" s="294">
        <v>75690000</v>
      </c>
      <c r="P653" s="295" t="s">
        <v>576</v>
      </c>
      <c r="R653" s="500">
        <v>0</v>
      </c>
      <c r="S653" s="639"/>
      <c r="T653" s="640"/>
      <c r="U653" s="640"/>
      <c r="V653" s="640"/>
      <c r="W653" s="640"/>
      <c r="X653" s="640"/>
      <c r="Y653" s="553" t="s">
        <v>359</v>
      </c>
      <c r="Z653" s="527">
        <f>IFERROR(INDEX(잔가map!$C$14:$AR$18,MATCH(차량DB!$Z$5,잔가map!$B$14:$B$18,0),MATCH(차량DB!Y653,잔가map!$C$13:$AR$13,0)),"")</f>
        <v>0.72</v>
      </c>
      <c r="AA653" s="527">
        <f>IFERROR(INDEX(잔가map!$C$14:$AR$18,MATCH(차량DB!$AA$5,잔가map!$B$14:$B$18,0),MATCH(차량DB!Y653,잔가map!$C$13:$AR$13,0)),"")</f>
        <v>0.64</v>
      </c>
      <c r="AB653" s="527">
        <f>IFERROR(INDEX(잔가map!$C$14:$AR$18,MATCH(차량DB!$AB$5,잔가map!$B$14:$B$18,0),MATCH(차량DB!Y653,잔가map!$C$13:$AR$13,0)),"")</f>
        <v>0.54999999999999993</v>
      </c>
      <c r="AC653" s="527">
        <f>IFERROR(INDEX(잔가map!$C$14:$AR$18,MATCH(차량DB!$AC$5,잔가map!$B$14:$B$18,0),MATCH(차량DB!Y653,잔가map!$C$13:$AR$13,0)),"")</f>
        <v>0.47000000000000003</v>
      </c>
      <c r="AD653" s="527">
        <f>IFERROR(INDEX(잔가map!$C$14:$AR$18,MATCH(차량DB!$AD$5,잔가map!$B$14:$B$18,0),MATCH(차량DB!Y653,잔가map!$C$13:$AR$13,0)),"")</f>
        <v>0.41000000000000003</v>
      </c>
      <c r="AE653" s="643"/>
      <c r="AF653" s="644"/>
      <c r="AG653" s="644"/>
      <c r="AH653" s="644"/>
      <c r="AI653" s="644"/>
      <c r="AJ653" s="644"/>
      <c r="AK653" s="547"/>
      <c r="AL653" s="576"/>
    </row>
    <row r="654" spans="5:38" x14ac:dyDescent="0.3">
      <c r="E654" s="293" t="s">
        <v>424</v>
      </c>
      <c r="F654" s="605" t="s">
        <v>1102</v>
      </c>
      <c r="G654" s="294">
        <v>1969</v>
      </c>
      <c r="H654" s="295" t="s">
        <v>674</v>
      </c>
      <c r="I654" s="294">
        <v>79640000</v>
      </c>
      <c r="P654" s="295" t="s">
        <v>576</v>
      </c>
      <c r="R654" s="500">
        <v>0</v>
      </c>
      <c r="S654" s="639"/>
      <c r="T654" s="640"/>
      <c r="U654" s="640"/>
      <c r="V654" s="640"/>
      <c r="W654" s="640"/>
      <c r="X654" s="640"/>
      <c r="Y654" s="553" t="s">
        <v>359</v>
      </c>
      <c r="Z654" s="527">
        <f>IFERROR(INDEX(잔가map!$C$14:$AR$18,MATCH(차량DB!$Z$5,잔가map!$B$14:$B$18,0),MATCH(차량DB!Y654,잔가map!$C$13:$AR$13,0)),"")</f>
        <v>0.72</v>
      </c>
      <c r="AA654" s="527">
        <f>IFERROR(INDEX(잔가map!$C$14:$AR$18,MATCH(차량DB!$AA$5,잔가map!$B$14:$B$18,0),MATCH(차량DB!Y654,잔가map!$C$13:$AR$13,0)),"")</f>
        <v>0.64</v>
      </c>
      <c r="AB654" s="527">
        <f>IFERROR(INDEX(잔가map!$C$14:$AR$18,MATCH(차량DB!$AB$5,잔가map!$B$14:$B$18,0),MATCH(차량DB!Y654,잔가map!$C$13:$AR$13,0)),"")</f>
        <v>0.54999999999999993</v>
      </c>
      <c r="AC654" s="527">
        <f>IFERROR(INDEX(잔가map!$C$14:$AR$18,MATCH(차량DB!$AC$5,잔가map!$B$14:$B$18,0),MATCH(차량DB!Y654,잔가map!$C$13:$AR$13,0)),"")</f>
        <v>0.47000000000000003</v>
      </c>
      <c r="AD654" s="527">
        <f>IFERROR(INDEX(잔가map!$C$14:$AR$18,MATCH(차량DB!$AD$5,잔가map!$B$14:$B$18,0),MATCH(차량DB!Y654,잔가map!$C$13:$AR$13,0)),"")</f>
        <v>0.41000000000000003</v>
      </c>
      <c r="AE654" s="643"/>
      <c r="AF654" s="644"/>
      <c r="AG654" s="644"/>
      <c r="AH654" s="644"/>
      <c r="AI654" s="644"/>
      <c r="AJ654" s="644"/>
      <c r="AK654" s="547"/>
      <c r="AL654" s="576"/>
    </row>
    <row r="655" spans="5:38" x14ac:dyDescent="0.3">
      <c r="E655" s="293" t="s">
        <v>1109</v>
      </c>
      <c r="F655" s="298" t="s">
        <v>1107</v>
      </c>
      <c r="G655" s="294">
        <v>1</v>
      </c>
      <c r="H655" s="295" t="s">
        <v>45</v>
      </c>
      <c r="P655" s="295" t="s">
        <v>576</v>
      </c>
      <c r="R655" s="500">
        <v>0</v>
      </c>
      <c r="S655" s="639"/>
      <c r="T655" s="640"/>
      <c r="U655" s="640"/>
      <c r="V655" s="640"/>
      <c r="W655" s="640"/>
      <c r="X655" s="640"/>
      <c r="Y655" s="553"/>
      <c r="Z655" s="527" t="str">
        <f>IFERROR(INDEX(잔가map!$C$14:$AR$18,MATCH(차량DB!$Z$5,잔가map!$B$14:$B$18,0),MATCH(차량DB!Y655,잔가map!$C$13:$AR$13,0)),"")</f>
        <v/>
      </c>
      <c r="AA655" s="527" t="str">
        <f>IFERROR(INDEX(잔가map!$C$14:$AR$18,MATCH(차량DB!$AA$5,잔가map!$B$14:$B$18,0),MATCH(차량DB!Y655,잔가map!$C$13:$AR$13,0)),"")</f>
        <v/>
      </c>
      <c r="AB655" s="527" t="str">
        <f>IFERROR(INDEX(잔가map!$C$14:$AR$18,MATCH(차량DB!$AB$5,잔가map!$B$14:$B$18,0),MATCH(차량DB!Y655,잔가map!$C$13:$AR$13,0)),"")</f>
        <v/>
      </c>
      <c r="AC655" s="527" t="str">
        <f>IFERROR(INDEX(잔가map!$C$14:$AR$18,MATCH(차량DB!$AC$5,잔가map!$B$14:$B$18,0),MATCH(차량DB!Y655,잔가map!$C$13:$AR$13,0)),"")</f>
        <v/>
      </c>
      <c r="AD655" s="527" t="str">
        <f>IFERROR(INDEX(잔가map!$C$14:$AR$18,MATCH(차량DB!$AD$5,잔가map!$B$14:$B$18,0),MATCH(차량DB!Y655,잔가map!$C$13:$AR$13,0)),"")</f>
        <v/>
      </c>
      <c r="AE655" s="643"/>
      <c r="AF655" s="644"/>
      <c r="AG655" s="644"/>
      <c r="AH655" s="644"/>
      <c r="AI655" s="644"/>
      <c r="AJ655" s="644"/>
      <c r="AK655" s="547"/>
      <c r="AL655" s="576"/>
    </row>
  </sheetData>
  <sortState ref="F4:P77">
    <sortCondition ref="F4:F77"/>
  </sortState>
  <phoneticPr fontId="2" type="noConversion"/>
  <conditionalFormatting sqref="F538:F1048576 F440:F536 F419:F436 F1:F417">
    <cfRule type="duplicateValues" dxfId="80" priority="42"/>
    <cfRule type="duplicateValues" dxfId="79" priority="43"/>
  </conditionalFormatting>
  <conditionalFormatting sqref="F437:F438">
    <cfRule type="duplicateValues" dxfId="78" priority="38"/>
    <cfRule type="duplicateValues" dxfId="77" priority="39"/>
  </conditionalFormatting>
  <conditionalFormatting sqref="F538:F1048576 F440:F536 F419:F438 F1:F417">
    <cfRule type="duplicateValues" dxfId="76" priority="37"/>
  </conditionalFormatting>
  <conditionalFormatting sqref="F538:F1048576 F419:F536 F1:F417">
    <cfRule type="duplicateValues" dxfId="75" priority="31"/>
  </conditionalFormatting>
  <conditionalFormatting sqref="F538:F1048576 F419:F536 F1:F417">
    <cfRule type="duplicateValues" dxfId="74" priority="23"/>
    <cfRule type="duplicateValues" dxfId="73" priority="24"/>
  </conditionalFormatting>
  <conditionalFormatting sqref="F537">
    <cfRule type="duplicateValues" dxfId="72" priority="19"/>
    <cfRule type="duplicateValues" dxfId="71" priority="20"/>
  </conditionalFormatting>
  <conditionalFormatting sqref="F537">
    <cfRule type="duplicateValues" dxfId="70" priority="18"/>
  </conditionalFormatting>
  <conditionalFormatting sqref="F537">
    <cfRule type="duplicateValues" dxfId="69" priority="17"/>
  </conditionalFormatting>
  <conditionalFormatting sqref="F537">
    <cfRule type="duplicateValues" dxfId="68" priority="15"/>
    <cfRule type="duplicateValues" dxfId="67" priority="16"/>
  </conditionalFormatting>
  <conditionalFormatting sqref="F179">
    <cfRule type="duplicateValues" dxfId="66" priority="916"/>
  </conditionalFormatting>
  <conditionalFormatting sqref="F361:F362">
    <cfRule type="duplicateValues" dxfId="65" priority="917"/>
  </conditionalFormatting>
  <conditionalFormatting sqref="F399">
    <cfRule type="duplicateValues" dxfId="64" priority="918"/>
  </conditionalFormatting>
  <conditionalFormatting sqref="F237">
    <cfRule type="duplicateValues" dxfId="63" priority="919"/>
  </conditionalFormatting>
  <conditionalFormatting sqref="F224 F220:F221">
    <cfRule type="duplicateValues" dxfId="62" priority="921"/>
  </conditionalFormatting>
  <conditionalFormatting sqref="F202:F203">
    <cfRule type="duplicateValues" dxfId="61" priority="923"/>
  </conditionalFormatting>
  <conditionalFormatting sqref="F240">
    <cfRule type="duplicateValues" dxfId="60" priority="927"/>
  </conditionalFormatting>
  <conditionalFormatting sqref="F138">
    <cfRule type="duplicateValues" dxfId="59" priority="928"/>
  </conditionalFormatting>
  <conditionalFormatting sqref="F190">
    <cfRule type="duplicateValues" dxfId="58" priority="930"/>
  </conditionalFormatting>
  <conditionalFormatting sqref="F186:F187">
    <cfRule type="duplicateValues" dxfId="57" priority="931"/>
  </conditionalFormatting>
  <conditionalFormatting sqref="F255">
    <cfRule type="duplicateValues" dxfId="56" priority="932"/>
  </conditionalFormatting>
  <conditionalFormatting sqref="F351:F353">
    <cfRule type="duplicateValues" dxfId="55" priority="933"/>
  </conditionalFormatting>
  <conditionalFormatting sqref="F401:F407">
    <cfRule type="duplicateValues" dxfId="54" priority="934"/>
  </conditionalFormatting>
  <conditionalFormatting sqref="F262">
    <cfRule type="duplicateValues" dxfId="53" priority="935"/>
  </conditionalFormatting>
  <conditionalFormatting sqref="F129">
    <cfRule type="duplicateValues" dxfId="52" priority="937"/>
  </conditionalFormatting>
  <conditionalFormatting sqref="F35">
    <cfRule type="duplicateValues" dxfId="51" priority="939"/>
  </conditionalFormatting>
  <conditionalFormatting sqref="F245:F246">
    <cfRule type="duplicateValues" dxfId="50" priority="940"/>
  </conditionalFormatting>
  <conditionalFormatting sqref="F251">
    <cfRule type="duplicateValues" dxfId="49" priority="941"/>
  </conditionalFormatting>
  <conditionalFormatting sqref="F256">
    <cfRule type="duplicateValues" dxfId="48" priority="942"/>
  </conditionalFormatting>
  <conditionalFormatting sqref="F343">
    <cfRule type="duplicateValues" dxfId="47" priority="943"/>
  </conditionalFormatting>
  <conditionalFormatting sqref="F391">
    <cfRule type="duplicateValues" dxfId="46" priority="944"/>
  </conditionalFormatting>
  <conditionalFormatting sqref="F538:F1048576 F443:F536 F440 F1:F221 F419:F436 F224:F417">
    <cfRule type="duplicateValues" dxfId="45" priority="945"/>
  </conditionalFormatting>
  <conditionalFormatting sqref="F222:F223">
    <cfRule type="duplicateValues" dxfId="44" priority="951"/>
  </conditionalFormatting>
  <conditionalFormatting sqref="F265">
    <cfRule type="duplicateValues" dxfId="43" priority="954"/>
  </conditionalFormatting>
  <conditionalFormatting sqref="F454:F459">
    <cfRule type="duplicateValues" dxfId="42" priority="956"/>
  </conditionalFormatting>
  <conditionalFormatting sqref="F236">
    <cfRule type="duplicateValues" dxfId="41" priority="958"/>
  </conditionalFormatting>
  <conditionalFormatting sqref="F538:F1048576 F460:F536 F180:F185 F360 F400 F204:F213 F173:F178 F191 F188:F189 F195:F201 F259 F125:F128 F344:F350 F261 F241:F244 F392:F398 F440 F363:F390 F252:F254 F443:F453 F139:F171 F1:F34 F225:F231 F96:F120 F238 F316:F342 F36:F89 F408:F417 F130:F137 F430:F436 F354:F358 F419:F428 F266:F312">
    <cfRule type="duplicateValues" dxfId="40" priority="960"/>
  </conditionalFormatting>
  <conditionalFormatting sqref="F441:F442">
    <cfRule type="duplicateValues" dxfId="39" priority="993"/>
  </conditionalFormatting>
  <conditionalFormatting sqref="F313:F315">
    <cfRule type="duplicateValues" dxfId="38" priority="997"/>
  </conditionalFormatting>
  <conditionalFormatting sqref="F234">
    <cfRule type="duplicateValues" dxfId="37" priority="998"/>
  </conditionalFormatting>
  <conditionalFormatting sqref="F235">
    <cfRule type="duplicateValues" dxfId="36" priority="1000"/>
  </conditionalFormatting>
  <conditionalFormatting sqref="F232:F236">
    <cfRule type="duplicateValues" dxfId="35" priority="1002"/>
  </conditionalFormatting>
  <conditionalFormatting sqref="F352">
    <cfRule type="duplicateValues" dxfId="34" priority="1005"/>
  </conditionalFormatting>
  <conditionalFormatting sqref="F90:F95">
    <cfRule type="duplicateValues" dxfId="33" priority="1006"/>
  </conditionalFormatting>
  <conditionalFormatting sqref="F172">
    <cfRule type="duplicateValues" dxfId="32" priority="1007"/>
  </conditionalFormatting>
  <conditionalFormatting sqref="F192">
    <cfRule type="duplicateValues" dxfId="31" priority="1008"/>
  </conditionalFormatting>
  <conditionalFormatting sqref="F193:F194">
    <cfRule type="duplicateValues" dxfId="30" priority="1009"/>
  </conditionalFormatting>
  <conditionalFormatting sqref="F220:F221">
    <cfRule type="duplicateValues" dxfId="29" priority="1011"/>
  </conditionalFormatting>
  <conditionalFormatting sqref="F216:F219">
    <cfRule type="duplicateValues" dxfId="28" priority="1012"/>
  </conditionalFormatting>
  <conditionalFormatting sqref="F239">
    <cfRule type="duplicateValues" dxfId="27" priority="1013"/>
  </conditionalFormatting>
  <conditionalFormatting sqref="F247:F250">
    <cfRule type="duplicateValues" dxfId="26" priority="1014"/>
  </conditionalFormatting>
  <conditionalFormatting sqref="F257:F258">
    <cfRule type="duplicateValues" dxfId="25" priority="1015"/>
  </conditionalFormatting>
  <conditionalFormatting sqref="F260">
    <cfRule type="duplicateValues" dxfId="24" priority="1016"/>
  </conditionalFormatting>
  <conditionalFormatting sqref="F263:F264">
    <cfRule type="duplicateValues" dxfId="23" priority="1017"/>
  </conditionalFormatting>
  <conditionalFormatting sqref="F359">
    <cfRule type="duplicateValues" dxfId="22" priority="1018"/>
  </conditionalFormatting>
  <conditionalFormatting sqref="F437:F438">
    <cfRule type="duplicateValues" dxfId="21" priority="1019"/>
  </conditionalFormatting>
  <conditionalFormatting sqref="F402:F403">
    <cfRule type="duplicateValues" dxfId="20" priority="14"/>
  </conditionalFormatting>
  <conditionalFormatting sqref="F441:F442">
    <cfRule type="duplicateValues" dxfId="19" priority="12"/>
  </conditionalFormatting>
  <conditionalFormatting sqref="F441:F442">
    <cfRule type="duplicateValues" dxfId="18" priority="13"/>
  </conditionalFormatting>
  <conditionalFormatting sqref="F438">
    <cfRule type="duplicateValues" dxfId="17" priority="10"/>
    <cfRule type="duplicateValues" dxfId="16" priority="11"/>
  </conditionalFormatting>
  <conditionalFormatting sqref="F438">
    <cfRule type="duplicateValues" dxfId="15" priority="9"/>
  </conditionalFormatting>
  <conditionalFormatting sqref="F439">
    <cfRule type="duplicateValues" dxfId="14" priority="1037"/>
    <cfRule type="duplicateValues" dxfId="13" priority="1038"/>
  </conditionalFormatting>
  <conditionalFormatting sqref="F439">
    <cfRule type="duplicateValues" dxfId="12" priority="1039"/>
  </conditionalFormatting>
  <conditionalFormatting sqref="F121:F124">
    <cfRule type="duplicateValues" dxfId="11" priority="1056"/>
  </conditionalFormatting>
  <conditionalFormatting sqref="F204:F205">
    <cfRule type="duplicateValues" dxfId="10" priority="1109"/>
  </conditionalFormatting>
  <conditionalFormatting sqref="F214:F215">
    <cfRule type="duplicateValues" dxfId="9" priority="1232"/>
  </conditionalFormatting>
  <conditionalFormatting sqref="F429">
    <cfRule type="duplicateValues" dxfId="8" priority="1284"/>
  </conditionalFormatting>
  <conditionalFormatting sqref="F418">
    <cfRule type="duplicateValues" dxfId="7" priority="5"/>
    <cfRule type="duplicateValues" dxfId="6" priority="6"/>
  </conditionalFormatting>
  <conditionalFormatting sqref="F418">
    <cfRule type="duplicateValues" dxfId="5" priority="4"/>
  </conditionalFormatting>
  <conditionalFormatting sqref="F418">
    <cfRule type="duplicateValues" dxfId="4" priority="3"/>
  </conditionalFormatting>
  <conditionalFormatting sqref="F418">
    <cfRule type="duplicateValues" dxfId="3" priority="1"/>
    <cfRule type="duplicateValues" dxfId="2" priority="2"/>
  </conditionalFormatting>
  <conditionalFormatting sqref="F418">
    <cfRule type="duplicateValues" dxfId="1" priority="7"/>
  </conditionalFormatting>
  <conditionalFormatting sqref="F418">
    <cfRule type="duplicateValues" dxfId="0" priority="8"/>
  </conditionalFormatting>
  <dataValidations count="1">
    <dataValidation type="list" allowBlank="1" showInputMessage="1" showErrorMessage="1" sqref="H6:H737">
      <formula1>차종구분</formula1>
    </dataValidation>
  </dataValidations>
  <pageMargins left="0.7" right="0.7" top="0.75" bottom="0.75" header="0.3" footer="0.3"/>
  <pageSetup paperSize="9" scale="97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R18"/>
  <sheetViews>
    <sheetView topLeftCell="P1" zoomScale="85" zoomScaleNormal="85" workbookViewId="0">
      <selection activeCell="B7" sqref="B7"/>
    </sheetView>
  </sheetViews>
  <sheetFormatPr defaultRowHeight="16.5" x14ac:dyDescent="0.3"/>
  <cols>
    <col min="1" max="1" width="3.75" customWidth="1"/>
  </cols>
  <sheetData>
    <row r="1" spans="1:44" x14ac:dyDescent="0.3">
      <c r="A1" t="s">
        <v>1194</v>
      </c>
    </row>
    <row r="2" spans="1:44" ht="38.25" customHeight="1" x14ac:dyDescent="0.3">
      <c r="B2" s="609" t="s">
        <v>1193</v>
      </c>
      <c r="C2" s="610" t="s">
        <v>356</v>
      </c>
      <c r="D2" s="610" t="s">
        <v>353</v>
      </c>
      <c r="E2" s="610" t="s">
        <v>352</v>
      </c>
      <c r="F2" s="610" t="s">
        <v>355</v>
      </c>
      <c r="G2" s="610" t="s">
        <v>357</v>
      </c>
      <c r="H2" s="610" t="s">
        <v>358</v>
      </c>
      <c r="I2" s="610" t="s">
        <v>364</v>
      </c>
      <c r="J2" s="610" t="s">
        <v>359</v>
      </c>
      <c r="K2" s="610" t="s">
        <v>362</v>
      </c>
      <c r="L2" s="610" t="s">
        <v>365</v>
      </c>
      <c r="M2" s="610" t="s">
        <v>360</v>
      </c>
      <c r="N2" s="610" t="s">
        <v>363</v>
      </c>
      <c r="O2" s="610" t="s">
        <v>366</v>
      </c>
      <c r="P2" s="610" t="s">
        <v>354</v>
      </c>
      <c r="Q2" s="610" t="s">
        <v>367</v>
      </c>
      <c r="R2" s="610" t="s">
        <v>361</v>
      </c>
      <c r="S2" s="610" t="s">
        <v>695</v>
      </c>
      <c r="T2" s="610" t="s">
        <v>696</v>
      </c>
      <c r="U2" s="610" t="s">
        <v>697</v>
      </c>
      <c r="V2" s="610" t="s">
        <v>698</v>
      </c>
      <c r="W2" s="610" t="s">
        <v>699</v>
      </c>
      <c r="X2" s="610" t="s">
        <v>700</v>
      </c>
      <c r="Y2" s="610" t="s">
        <v>1195</v>
      </c>
      <c r="Z2" s="610" t="s">
        <v>1196</v>
      </c>
      <c r="AA2" s="610" t="s">
        <v>1197</v>
      </c>
      <c r="AB2" s="610" t="s">
        <v>1198</v>
      </c>
      <c r="AC2" s="613">
        <v>27</v>
      </c>
      <c r="AD2" s="613">
        <v>28</v>
      </c>
      <c r="AE2" s="613">
        <v>29</v>
      </c>
      <c r="AF2" s="613">
        <v>30</v>
      </c>
      <c r="AG2" s="613">
        <v>31</v>
      </c>
    </row>
    <row r="3" spans="1:44" ht="38.25" customHeight="1" x14ac:dyDescent="0.3">
      <c r="B3" s="611">
        <v>12</v>
      </c>
      <c r="C3" s="612">
        <v>0.85</v>
      </c>
      <c r="D3" s="612">
        <f>C3-1%</f>
        <v>0.84</v>
      </c>
      <c r="E3" s="612">
        <f t="shared" ref="E3:AG7" si="0">D3-1%</f>
        <v>0.83</v>
      </c>
      <c r="F3" s="612">
        <f t="shared" si="0"/>
        <v>0.82</v>
      </c>
      <c r="G3" s="612">
        <f t="shared" si="0"/>
        <v>0.80999999999999994</v>
      </c>
      <c r="H3" s="612">
        <f t="shared" si="0"/>
        <v>0.79999999999999993</v>
      </c>
      <c r="I3" s="612">
        <f t="shared" si="0"/>
        <v>0.78999999999999992</v>
      </c>
      <c r="J3" s="612">
        <f t="shared" si="0"/>
        <v>0.77999999999999992</v>
      </c>
      <c r="K3" s="612">
        <f t="shared" si="0"/>
        <v>0.76999999999999991</v>
      </c>
      <c r="L3" s="612">
        <f t="shared" si="0"/>
        <v>0.7599999999999999</v>
      </c>
      <c r="M3" s="612">
        <f t="shared" si="0"/>
        <v>0.74999999999999989</v>
      </c>
      <c r="N3" s="612">
        <f t="shared" si="0"/>
        <v>0.73999999999999988</v>
      </c>
      <c r="O3" s="612">
        <f t="shared" si="0"/>
        <v>0.72999999999999987</v>
      </c>
      <c r="P3" s="612">
        <f t="shared" si="0"/>
        <v>0.71999999999999986</v>
      </c>
      <c r="Q3" s="612">
        <f t="shared" si="0"/>
        <v>0.70999999999999985</v>
      </c>
      <c r="R3" s="612">
        <f t="shared" si="0"/>
        <v>0.69999999999999984</v>
      </c>
      <c r="S3" s="612">
        <f t="shared" si="0"/>
        <v>0.68999999999999984</v>
      </c>
      <c r="T3" s="612">
        <f t="shared" si="0"/>
        <v>0.67999999999999983</v>
      </c>
      <c r="U3" s="612">
        <f t="shared" si="0"/>
        <v>0.66999999999999982</v>
      </c>
      <c r="V3" s="612">
        <f t="shared" si="0"/>
        <v>0.65999999999999981</v>
      </c>
      <c r="W3" s="612">
        <f t="shared" si="0"/>
        <v>0.6499999999999998</v>
      </c>
      <c r="X3" s="612">
        <f t="shared" si="0"/>
        <v>0.63999999999999979</v>
      </c>
      <c r="Y3" s="612">
        <f t="shared" si="0"/>
        <v>0.62999999999999978</v>
      </c>
      <c r="Z3" s="612">
        <f t="shared" si="0"/>
        <v>0.61999999999999977</v>
      </c>
      <c r="AA3" s="612">
        <f t="shared" si="0"/>
        <v>0.60999999999999976</v>
      </c>
      <c r="AB3" s="612">
        <f t="shared" si="0"/>
        <v>0.59999999999999976</v>
      </c>
      <c r="AC3" s="614">
        <f t="shared" si="0"/>
        <v>0.58999999999999975</v>
      </c>
      <c r="AD3" s="614">
        <f t="shared" si="0"/>
        <v>0.57999999999999974</v>
      </c>
      <c r="AE3" s="614">
        <f t="shared" si="0"/>
        <v>0.56999999999999973</v>
      </c>
      <c r="AF3" s="614">
        <f t="shared" si="0"/>
        <v>0.55999999999999972</v>
      </c>
      <c r="AG3" s="614">
        <f t="shared" si="0"/>
        <v>0.54999999999999971</v>
      </c>
    </row>
    <row r="4" spans="1:44" ht="38.25" customHeight="1" x14ac:dyDescent="0.3">
      <c r="B4" s="611">
        <v>24</v>
      </c>
      <c r="C4" s="612">
        <v>0.77</v>
      </c>
      <c r="D4" s="612">
        <f>C4-1%</f>
        <v>0.76</v>
      </c>
      <c r="E4" s="612">
        <f t="shared" si="0"/>
        <v>0.75</v>
      </c>
      <c r="F4" s="612">
        <f t="shared" si="0"/>
        <v>0.74</v>
      </c>
      <c r="G4" s="612">
        <f t="shared" si="0"/>
        <v>0.73</v>
      </c>
      <c r="H4" s="612">
        <f t="shared" si="0"/>
        <v>0.72</v>
      </c>
      <c r="I4" s="612">
        <f t="shared" si="0"/>
        <v>0.71</v>
      </c>
      <c r="J4" s="612">
        <f t="shared" si="0"/>
        <v>0.7</v>
      </c>
      <c r="K4" s="612">
        <f t="shared" si="0"/>
        <v>0.69</v>
      </c>
      <c r="L4" s="612">
        <f t="shared" si="0"/>
        <v>0.67999999999999994</v>
      </c>
      <c r="M4" s="612">
        <f t="shared" si="0"/>
        <v>0.66999999999999993</v>
      </c>
      <c r="N4" s="612">
        <f t="shared" si="0"/>
        <v>0.65999999999999992</v>
      </c>
      <c r="O4" s="612">
        <f t="shared" si="0"/>
        <v>0.64999999999999991</v>
      </c>
      <c r="P4" s="612">
        <f t="shared" si="0"/>
        <v>0.6399999999999999</v>
      </c>
      <c r="Q4" s="612">
        <f t="shared" si="0"/>
        <v>0.62999999999999989</v>
      </c>
      <c r="R4" s="612">
        <f t="shared" si="0"/>
        <v>0.61999999999999988</v>
      </c>
      <c r="S4" s="612">
        <f t="shared" si="0"/>
        <v>0.60999999999999988</v>
      </c>
      <c r="T4" s="612">
        <f t="shared" si="0"/>
        <v>0.59999999999999987</v>
      </c>
      <c r="U4" s="612">
        <f t="shared" si="0"/>
        <v>0.58999999999999986</v>
      </c>
      <c r="V4" s="612">
        <f t="shared" si="0"/>
        <v>0.57999999999999985</v>
      </c>
      <c r="W4" s="612">
        <f t="shared" si="0"/>
        <v>0.56999999999999984</v>
      </c>
      <c r="X4" s="612">
        <f t="shared" si="0"/>
        <v>0.55999999999999983</v>
      </c>
      <c r="Y4" s="612">
        <f t="shared" si="0"/>
        <v>0.54999999999999982</v>
      </c>
      <c r="Z4" s="612">
        <f t="shared" si="0"/>
        <v>0.53999999999999981</v>
      </c>
      <c r="AA4" s="612">
        <f t="shared" si="0"/>
        <v>0.5299999999999998</v>
      </c>
      <c r="AB4" s="612">
        <f t="shared" si="0"/>
        <v>0.5199999999999998</v>
      </c>
      <c r="AC4" s="614">
        <f t="shared" si="0"/>
        <v>0.50999999999999979</v>
      </c>
      <c r="AD4" s="614">
        <f t="shared" si="0"/>
        <v>0.49999999999999978</v>
      </c>
      <c r="AE4" s="614">
        <f t="shared" si="0"/>
        <v>0.48999999999999977</v>
      </c>
      <c r="AF4" s="614">
        <f t="shared" si="0"/>
        <v>0.47999999999999976</v>
      </c>
      <c r="AG4" s="614">
        <f t="shared" si="0"/>
        <v>0.46999999999999975</v>
      </c>
    </row>
    <row r="5" spans="1:44" ht="38.25" customHeight="1" x14ac:dyDescent="0.3">
      <c r="B5" s="611">
        <v>36</v>
      </c>
      <c r="C5" s="612">
        <v>0.68</v>
      </c>
      <c r="D5" s="612">
        <f>C5-1%</f>
        <v>0.67</v>
      </c>
      <c r="E5" s="612">
        <f t="shared" si="0"/>
        <v>0.66</v>
      </c>
      <c r="F5" s="612">
        <f t="shared" si="0"/>
        <v>0.65</v>
      </c>
      <c r="G5" s="612">
        <f t="shared" si="0"/>
        <v>0.64</v>
      </c>
      <c r="H5" s="612">
        <f t="shared" si="0"/>
        <v>0.63</v>
      </c>
      <c r="I5" s="612">
        <f t="shared" si="0"/>
        <v>0.62</v>
      </c>
      <c r="J5" s="612">
        <f t="shared" si="0"/>
        <v>0.61</v>
      </c>
      <c r="K5" s="612">
        <f t="shared" si="0"/>
        <v>0.6</v>
      </c>
      <c r="L5" s="612">
        <f t="shared" si="0"/>
        <v>0.59</v>
      </c>
      <c r="M5" s="612">
        <f t="shared" si="0"/>
        <v>0.57999999999999996</v>
      </c>
      <c r="N5" s="612">
        <f t="shared" si="0"/>
        <v>0.56999999999999995</v>
      </c>
      <c r="O5" s="612">
        <f t="shared" si="0"/>
        <v>0.55999999999999994</v>
      </c>
      <c r="P5" s="612">
        <f t="shared" si="0"/>
        <v>0.54999999999999993</v>
      </c>
      <c r="Q5" s="612">
        <f t="shared" si="0"/>
        <v>0.53999999999999992</v>
      </c>
      <c r="R5" s="612">
        <f t="shared" si="0"/>
        <v>0.52999999999999992</v>
      </c>
      <c r="S5" s="612">
        <f t="shared" si="0"/>
        <v>0.51999999999999991</v>
      </c>
      <c r="T5" s="612">
        <f t="shared" si="0"/>
        <v>0.5099999999999999</v>
      </c>
      <c r="U5" s="612">
        <f t="shared" si="0"/>
        <v>0.49999999999999989</v>
      </c>
      <c r="V5" s="612">
        <f t="shared" si="0"/>
        <v>0.48999999999999988</v>
      </c>
      <c r="W5" s="612">
        <f t="shared" si="0"/>
        <v>0.47999999999999987</v>
      </c>
      <c r="X5" s="612">
        <f t="shared" si="0"/>
        <v>0.46999999999999986</v>
      </c>
      <c r="Y5" s="612">
        <f t="shared" si="0"/>
        <v>0.45999999999999985</v>
      </c>
      <c r="Z5" s="612">
        <f t="shared" si="0"/>
        <v>0.44999999999999984</v>
      </c>
      <c r="AA5" s="612">
        <f t="shared" si="0"/>
        <v>0.43999999999999984</v>
      </c>
      <c r="AB5" s="612">
        <f t="shared" si="0"/>
        <v>0.42999999999999983</v>
      </c>
      <c r="AC5" s="614">
        <f t="shared" si="0"/>
        <v>0.41999999999999982</v>
      </c>
      <c r="AD5" s="614">
        <f t="shared" si="0"/>
        <v>0.40999999999999981</v>
      </c>
      <c r="AE5" s="614">
        <f t="shared" si="0"/>
        <v>0.3999999999999998</v>
      </c>
      <c r="AF5" s="614">
        <f t="shared" si="0"/>
        <v>0.38999999999999979</v>
      </c>
      <c r="AG5" s="614">
        <f t="shared" si="0"/>
        <v>0.37999999999999978</v>
      </c>
    </row>
    <row r="6" spans="1:44" ht="38.25" customHeight="1" x14ac:dyDescent="0.3">
      <c r="B6" s="611">
        <v>48</v>
      </c>
      <c r="C6" s="612">
        <v>0.6</v>
      </c>
      <c r="D6" s="612">
        <f>C6-1%</f>
        <v>0.59</v>
      </c>
      <c r="E6" s="612">
        <f t="shared" si="0"/>
        <v>0.57999999999999996</v>
      </c>
      <c r="F6" s="612">
        <f t="shared" si="0"/>
        <v>0.56999999999999995</v>
      </c>
      <c r="G6" s="612">
        <f t="shared" si="0"/>
        <v>0.55999999999999994</v>
      </c>
      <c r="H6" s="612">
        <f t="shared" si="0"/>
        <v>0.54999999999999993</v>
      </c>
      <c r="I6" s="612">
        <f t="shared" si="0"/>
        <v>0.53999999999999992</v>
      </c>
      <c r="J6" s="612">
        <f t="shared" si="0"/>
        <v>0.52999999999999992</v>
      </c>
      <c r="K6" s="612">
        <f t="shared" si="0"/>
        <v>0.51999999999999991</v>
      </c>
      <c r="L6" s="612">
        <f t="shared" si="0"/>
        <v>0.5099999999999999</v>
      </c>
      <c r="M6" s="612">
        <f t="shared" si="0"/>
        <v>0.49999999999999989</v>
      </c>
      <c r="N6" s="612">
        <f t="shared" si="0"/>
        <v>0.48999999999999988</v>
      </c>
      <c r="O6" s="612">
        <f t="shared" si="0"/>
        <v>0.47999999999999987</v>
      </c>
      <c r="P6" s="612">
        <f t="shared" si="0"/>
        <v>0.46999999999999986</v>
      </c>
      <c r="Q6" s="612">
        <f t="shared" si="0"/>
        <v>0.45999999999999985</v>
      </c>
      <c r="R6" s="612">
        <f t="shared" si="0"/>
        <v>0.44999999999999984</v>
      </c>
      <c r="S6" s="612">
        <f t="shared" si="0"/>
        <v>0.43999999999999984</v>
      </c>
      <c r="T6" s="612">
        <f t="shared" si="0"/>
        <v>0.42999999999999983</v>
      </c>
      <c r="U6" s="612">
        <f t="shared" si="0"/>
        <v>0.41999999999999982</v>
      </c>
      <c r="V6" s="612">
        <f t="shared" si="0"/>
        <v>0.40999999999999981</v>
      </c>
      <c r="W6" s="612">
        <f t="shared" si="0"/>
        <v>0.3999999999999998</v>
      </c>
      <c r="X6" s="612">
        <f t="shared" si="0"/>
        <v>0.38999999999999979</v>
      </c>
      <c r="Y6" s="612">
        <f t="shared" si="0"/>
        <v>0.37999999999999978</v>
      </c>
      <c r="Z6" s="612">
        <f t="shared" si="0"/>
        <v>0.36999999999999977</v>
      </c>
      <c r="AA6" s="612">
        <f t="shared" si="0"/>
        <v>0.35999999999999976</v>
      </c>
      <c r="AB6" s="612">
        <f t="shared" si="0"/>
        <v>0.34999999999999976</v>
      </c>
      <c r="AC6" s="614">
        <f t="shared" si="0"/>
        <v>0.33999999999999975</v>
      </c>
      <c r="AD6" s="614">
        <f t="shared" si="0"/>
        <v>0.32999999999999974</v>
      </c>
      <c r="AE6" s="614">
        <f t="shared" si="0"/>
        <v>0.31999999999999973</v>
      </c>
      <c r="AF6" s="614">
        <f t="shared" si="0"/>
        <v>0.30999999999999972</v>
      </c>
      <c r="AG6" s="614">
        <f t="shared" si="0"/>
        <v>0.29999999999999971</v>
      </c>
    </row>
    <row r="7" spans="1:44" ht="38.25" customHeight="1" x14ac:dyDescent="0.3">
      <c r="B7" s="611">
        <v>60</v>
      </c>
      <c r="C7" s="612">
        <v>0.54</v>
      </c>
      <c r="D7" s="612">
        <f>C7-1%</f>
        <v>0.53</v>
      </c>
      <c r="E7" s="612">
        <f t="shared" si="0"/>
        <v>0.52</v>
      </c>
      <c r="F7" s="612">
        <f t="shared" si="0"/>
        <v>0.51</v>
      </c>
      <c r="G7" s="612">
        <f t="shared" si="0"/>
        <v>0.5</v>
      </c>
      <c r="H7" s="612">
        <f t="shared" si="0"/>
        <v>0.49</v>
      </c>
      <c r="I7" s="612">
        <f t="shared" si="0"/>
        <v>0.48</v>
      </c>
      <c r="J7" s="612">
        <f t="shared" si="0"/>
        <v>0.47</v>
      </c>
      <c r="K7" s="612">
        <f t="shared" si="0"/>
        <v>0.45999999999999996</v>
      </c>
      <c r="L7" s="612">
        <f t="shared" si="0"/>
        <v>0.44999999999999996</v>
      </c>
      <c r="M7" s="612">
        <f t="shared" si="0"/>
        <v>0.43999999999999995</v>
      </c>
      <c r="N7" s="612">
        <f t="shared" si="0"/>
        <v>0.42999999999999994</v>
      </c>
      <c r="O7" s="612">
        <f t="shared" si="0"/>
        <v>0.41999999999999993</v>
      </c>
      <c r="P7" s="612">
        <f t="shared" si="0"/>
        <v>0.40999999999999992</v>
      </c>
      <c r="Q7" s="612">
        <f t="shared" si="0"/>
        <v>0.39999999999999991</v>
      </c>
      <c r="R7" s="612">
        <f t="shared" si="0"/>
        <v>0.3899999999999999</v>
      </c>
      <c r="S7" s="612">
        <f t="shared" si="0"/>
        <v>0.37999999999999989</v>
      </c>
      <c r="T7" s="612">
        <f t="shared" si="0"/>
        <v>0.36999999999999988</v>
      </c>
      <c r="U7" s="612">
        <f t="shared" si="0"/>
        <v>0.35999999999999988</v>
      </c>
      <c r="V7" s="612">
        <f t="shared" si="0"/>
        <v>0.34999999999999987</v>
      </c>
      <c r="W7" s="612">
        <f t="shared" si="0"/>
        <v>0.33999999999999986</v>
      </c>
      <c r="X7" s="612">
        <f t="shared" si="0"/>
        <v>0.32999999999999985</v>
      </c>
      <c r="Y7" s="612">
        <f t="shared" si="0"/>
        <v>0.31999999999999984</v>
      </c>
      <c r="Z7" s="612">
        <f t="shared" si="0"/>
        <v>0.30999999999999983</v>
      </c>
      <c r="AA7" s="612">
        <f t="shared" si="0"/>
        <v>0.29999999999999982</v>
      </c>
      <c r="AB7" s="612">
        <f t="shared" si="0"/>
        <v>0.28999999999999981</v>
      </c>
      <c r="AC7" s="614">
        <f t="shared" si="0"/>
        <v>0.2799999999999998</v>
      </c>
      <c r="AD7" s="614">
        <f t="shared" si="0"/>
        <v>0.2699999999999998</v>
      </c>
      <c r="AE7" s="614">
        <f t="shared" si="0"/>
        <v>0.25999999999999979</v>
      </c>
      <c r="AF7" s="614">
        <f t="shared" si="0"/>
        <v>0.24999999999999978</v>
      </c>
      <c r="AG7" s="614">
        <f t="shared" si="0"/>
        <v>0.23999999999999977</v>
      </c>
    </row>
    <row r="12" spans="1:44" x14ac:dyDescent="0.3">
      <c r="A12" t="s">
        <v>1333</v>
      </c>
    </row>
    <row r="13" spans="1:44" ht="30" customHeight="1" x14ac:dyDescent="0.3">
      <c r="B13" s="634" t="s">
        <v>1350</v>
      </c>
      <c r="C13" s="631" t="s">
        <v>1334</v>
      </c>
      <c r="D13" s="631" t="s">
        <v>1335</v>
      </c>
      <c r="E13" s="631" t="s">
        <v>1336</v>
      </c>
      <c r="F13" s="631" t="s">
        <v>1337</v>
      </c>
      <c r="G13" s="631" t="s">
        <v>1338</v>
      </c>
      <c r="H13" s="631" t="s">
        <v>1339</v>
      </c>
      <c r="I13" s="631" t="s">
        <v>1340</v>
      </c>
      <c r="J13" s="631" t="s">
        <v>1341</v>
      </c>
      <c r="K13" s="631" t="s">
        <v>356</v>
      </c>
      <c r="L13" s="631" t="s">
        <v>353</v>
      </c>
      <c r="M13" s="632" t="s">
        <v>352</v>
      </c>
      <c r="N13" s="632" t="s">
        <v>355</v>
      </c>
      <c r="O13" s="632" t="s">
        <v>357</v>
      </c>
      <c r="P13" s="632" t="s">
        <v>358</v>
      </c>
      <c r="Q13" s="632" t="s">
        <v>364</v>
      </c>
      <c r="R13" s="632" t="s">
        <v>359</v>
      </c>
      <c r="S13" s="632" t="s">
        <v>362</v>
      </c>
      <c r="T13" s="633" t="s">
        <v>365</v>
      </c>
      <c r="U13" s="632" t="s">
        <v>360</v>
      </c>
      <c r="V13" s="632" t="s">
        <v>363</v>
      </c>
      <c r="W13" s="633" t="s">
        <v>366</v>
      </c>
      <c r="X13" s="632" t="s">
        <v>354</v>
      </c>
      <c r="Y13" s="633" t="s">
        <v>367</v>
      </c>
      <c r="Z13" s="633" t="s">
        <v>361</v>
      </c>
      <c r="AA13" s="632" t="s">
        <v>695</v>
      </c>
      <c r="AB13" s="632" t="s">
        <v>696</v>
      </c>
      <c r="AC13" s="632" t="s">
        <v>697</v>
      </c>
      <c r="AD13" s="632" t="s">
        <v>698</v>
      </c>
      <c r="AE13" s="632" t="s">
        <v>699</v>
      </c>
      <c r="AF13" s="633" t="s">
        <v>700</v>
      </c>
      <c r="AG13" s="632" t="s">
        <v>1195</v>
      </c>
      <c r="AH13" s="632" t="s">
        <v>1196</v>
      </c>
      <c r="AI13" s="633" t="s">
        <v>1197</v>
      </c>
      <c r="AJ13" s="632" t="s">
        <v>1198</v>
      </c>
      <c r="AK13" s="632" t="s">
        <v>1342</v>
      </c>
      <c r="AL13" s="632" t="s">
        <v>1343</v>
      </c>
      <c r="AM13" s="632" t="s">
        <v>1344</v>
      </c>
      <c r="AN13" s="632" t="s">
        <v>1345</v>
      </c>
      <c r="AO13" s="632" t="s">
        <v>1346</v>
      </c>
      <c r="AP13" s="632" t="s">
        <v>1347</v>
      </c>
      <c r="AQ13" s="632" t="s">
        <v>1348</v>
      </c>
      <c r="AR13" s="632" t="s">
        <v>1349</v>
      </c>
    </row>
    <row r="14" spans="1:44" ht="30" customHeight="1" x14ac:dyDescent="0.3">
      <c r="B14" s="634">
        <v>12</v>
      </c>
      <c r="C14" s="635">
        <v>0.83499999999999996</v>
      </c>
      <c r="D14" s="635">
        <v>0.83</v>
      </c>
      <c r="E14" s="635">
        <v>0.82499999999999996</v>
      </c>
      <c r="F14" s="635">
        <v>0.82</v>
      </c>
      <c r="G14" s="635">
        <v>0.81499999999999995</v>
      </c>
      <c r="H14" s="635">
        <v>0.81</v>
      </c>
      <c r="I14" s="635">
        <v>0.80500000000000005</v>
      </c>
      <c r="J14" s="635">
        <v>0.8</v>
      </c>
      <c r="K14" s="635">
        <v>0.79</v>
      </c>
      <c r="L14" s="635">
        <v>0.78</v>
      </c>
      <c r="M14" s="635">
        <v>0.77</v>
      </c>
      <c r="N14" s="635">
        <v>0.76</v>
      </c>
      <c r="O14" s="635">
        <v>0.75</v>
      </c>
      <c r="P14" s="635">
        <v>0.74</v>
      </c>
      <c r="Q14" s="635">
        <v>0.73</v>
      </c>
      <c r="R14" s="635">
        <v>0.72</v>
      </c>
      <c r="S14" s="635">
        <v>0.71</v>
      </c>
      <c r="T14" s="636">
        <v>0.7</v>
      </c>
      <c r="U14" s="635">
        <v>0.69</v>
      </c>
      <c r="V14" s="635">
        <v>0.67999999999999994</v>
      </c>
      <c r="W14" s="636">
        <v>0.66999999999999993</v>
      </c>
      <c r="X14" s="635">
        <v>0.65999999999999992</v>
      </c>
      <c r="Y14" s="636">
        <v>0.64999999999999991</v>
      </c>
      <c r="Z14" s="636">
        <v>0.6399999999999999</v>
      </c>
      <c r="AA14" s="635">
        <v>0.62999999999999989</v>
      </c>
      <c r="AB14" s="635">
        <v>0.61999999999999988</v>
      </c>
      <c r="AC14" s="635">
        <v>0.60999999999999988</v>
      </c>
      <c r="AD14" s="635">
        <v>0.59999999999999987</v>
      </c>
      <c r="AE14" s="635">
        <v>0.58999999999999986</v>
      </c>
      <c r="AF14" s="636">
        <v>0.57999999999999985</v>
      </c>
      <c r="AG14" s="635">
        <v>0.56999999999999984</v>
      </c>
      <c r="AH14" s="635">
        <v>0.55999999999999983</v>
      </c>
      <c r="AI14" s="636">
        <v>0.54999999999999982</v>
      </c>
      <c r="AJ14" s="635">
        <v>0.53999999999999981</v>
      </c>
      <c r="AK14" s="635">
        <v>0.5299999999999998</v>
      </c>
      <c r="AL14" s="635">
        <v>0.5199999999999998</v>
      </c>
      <c r="AM14" s="635">
        <v>0.50999999999999979</v>
      </c>
      <c r="AN14" s="635">
        <v>0.49999999999999978</v>
      </c>
      <c r="AO14" s="635">
        <v>0.48999999999999977</v>
      </c>
      <c r="AP14" s="635">
        <v>0.47999999999999976</v>
      </c>
      <c r="AQ14" s="635">
        <v>0.46999999999999975</v>
      </c>
      <c r="AR14" s="635">
        <v>0.45999999999999974</v>
      </c>
    </row>
    <row r="15" spans="1:44" ht="30" customHeight="1" x14ac:dyDescent="0.3">
      <c r="B15" s="634">
        <v>24</v>
      </c>
      <c r="C15" s="635">
        <v>0.755</v>
      </c>
      <c r="D15" s="635">
        <v>0.75</v>
      </c>
      <c r="E15" s="635">
        <v>0.745</v>
      </c>
      <c r="F15" s="635">
        <v>0.74</v>
      </c>
      <c r="G15" s="635">
        <v>0.73499999999999999</v>
      </c>
      <c r="H15" s="635">
        <v>0.73</v>
      </c>
      <c r="I15" s="635">
        <v>0.72499999999999998</v>
      </c>
      <c r="J15" s="635">
        <v>0.72</v>
      </c>
      <c r="K15" s="635">
        <v>0.71000000000000008</v>
      </c>
      <c r="L15" s="635">
        <v>0.70000000000000007</v>
      </c>
      <c r="M15" s="635">
        <v>0.69000000000000006</v>
      </c>
      <c r="N15" s="635">
        <v>0.68</v>
      </c>
      <c r="O15" s="635">
        <v>0.67</v>
      </c>
      <c r="P15" s="635">
        <v>0.66</v>
      </c>
      <c r="Q15" s="635">
        <v>0.65</v>
      </c>
      <c r="R15" s="635">
        <v>0.64</v>
      </c>
      <c r="S15" s="635">
        <v>0.63</v>
      </c>
      <c r="T15" s="636">
        <v>0.62</v>
      </c>
      <c r="U15" s="635">
        <v>0.61</v>
      </c>
      <c r="V15" s="635">
        <v>0.6</v>
      </c>
      <c r="W15" s="636">
        <v>0.59</v>
      </c>
      <c r="X15" s="635">
        <v>0.57999999999999996</v>
      </c>
      <c r="Y15" s="636">
        <v>0.56999999999999995</v>
      </c>
      <c r="Z15" s="636">
        <v>0.55999999999999994</v>
      </c>
      <c r="AA15" s="635">
        <v>0.54999999999999993</v>
      </c>
      <c r="AB15" s="635">
        <v>0.53999999999999992</v>
      </c>
      <c r="AC15" s="635">
        <v>0.52999999999999992</v>
      </c>
      <c r="AD15" s="635">
        <v>0.51999999999999991</v>
      </c>
      <c r="AE15" s="635">
        <v>0.5099999999999999</v>
      </c>
      <c r="AF15" s="636">
        <v>0.49999999999999989</v>
      </c>
      <c r="AG15" s="635">
        <v>0.48999999999999988</v>
      </c>
      <c r="AH15" s="635">
        <v>0.47999999999999987</v>
      </c>
      <c r="AI15" s="636">
        <v>0.46999999999999986</v>
      </c>
      <c r="AJ15" s="635">
        <v>0.45999999999999985</v>
      </c>
      <c r="AK15" s="635">
        <v>0.44999999999999984</v>
      </c>
      <c r="AL15" s="635">
        <v>0.43999999999999984</v>
      </c>
      <c r="AM15" s="635">
        <v>0.42999999999999983</v>
      </c>
      <c r="AN15" s="635">
        <v>0.41999999999999982</v>
      </c>
      <c r="AO15" s="635">
        <v>0.40999999999999981</v>
      </c>
      <c r="AP15" s="635">
        <v>0.3999999999999998</v>
      </c>
      <c r="AQ15" s="635">
        <v>0.38999999999999979</v>
      </c>
      <c r="AR15" s="635">
        <v>0.37999999999999978</v>
      </c>
    </row>
    <row r="16" spans="1:44" ht="30" customHeight="1" x14ac:dyDescent="0.3">
      <c r="B16" s="634">
        <v>36</v>
      </c>
      <c r="C16" s="635">
        <v>0.66500000000000004</v>
      </c>
      <c r="D16" s="635">
        <v>0.66</v>
      </c>
      <c r="E16" s="635">
        <v>0.65500000000000003</v>
      </c>
      <c r="F16" s="635">
        <v>0.65</v>
      </c>
      <c r="G16" s="635">
        <v>0.64500000000000002</v>
      </c>
      <c r="H16" s="635">
        <v>0.64</v>
      </c>
      <c r="I16" s="635">
        <v>0.63500000000000001</v>
      </c>
      <c r="J16" s="635">
        <v>0.63</v>
      </c>
      <c r="K16" s="635">
        <v>0.62</v>
      </c>
      <c r="L16" s="635">
        <v>0.61</v>
      </c>
      <c r="M16" s="635">
        <v>0.6</v>
      </c>
      <c r="N16" s="635">
        <v>0.59</v>
      </c>
      <c r="O16" s="635">
        <v>0.57999999999999996</v>
      </c>
      <c r="P16" s="635">
        <v>0.56999999999999995</v>
      </c>
      <c r="Q16" s="635">
        <v>0.55999999999999994</v>
      </c>
      <c r="R16" s="635">
        <v>0.54999999999999993</v>
      </c>
      <c r="S16" s="635">
        <v>0.53999999999999992</v>
      </c>
      <c r="T16" s="636">
        <v>0.52999999999999992</v>
      </c>
      <c r="U16" s="635">
        <v>0.51999999999999991</v>
      </c>
      <c r="V16" s="635">
        <v>0.5099999999999999</v>
      </c>
      <c r="W16" s="636">
        <v>0.49999999999999989</v>
      </c>
      <c r="X16" s="635">
        <v>0.48999999999999988</v>
      </c>
      <c r="Y16" s="636">
        <v>0.47999999999999987</v>
      </c>
      <c r="Z16" s="636">
        <v>0.46999999999999986</v>
      </c>
      <c r="AA16" s="635">
        <v>0.45999999999999985</v>
      </c>
      <c r="AB16" s="635">
        <v>0.44999999999999984</v>
      </c>
      <c r="AC16" s="635">
        <v>0.43999999999999984</v>
      </c>
      <c r="AD16" s="635">
        <v>0.42999999999999983</v>
      </c>
      <c r="AE16" s="635">
        <v>0.41999999999999982</v>
      </c>
      <c r="AF16" s="636">
        <v>0.40999999999999981</v>
      </c>
      <c r="AG16" s="635">
        <v>0.3999999999999998</v>
      </c>
      <c r="AH16" s="635">
        <v>0.38999999999999979</v>
      </c>
      <c r="AI16" s="636">
        <v>0.37999999999999978</v>
      </c>
      <c r="AJ16" s="635">
        <v>0.36999999999999977</v>
      </c>
      <c r="AK16" s="635">
        <v>0.35999999999999976</v>
      </c>
      <c r="AL16" s="635">
        <v>0.34999999999999976</v>
      </c>
      <c r="AM16" s="635">
        <v>0.33999999999999975</v>
      </c>
      <c r="AN16" s="635">
        <v>0.32999999999999974</v>
      </c>
      <c r="AO16" s="635">
        <v>0.31999999999999973</v>
      </c>
      <c r="AP16" s="635">
        <v>0.30999999999999972</v>
      </c>
      <c r="AQ16" s="635">
        <v>0.29999999999999971</v>
      </c>
      <c r="AR16" s="635">
        <v>0.2899999999999997</v>
      </c>
    </row>
    <row r="17" spans="2:44" ht="30" customHeight="1" x14ac:dyDescent="0.3">
      <c r="B17" s="634">
        <v>48</v>
      </c>
      <c r="C17" s="635">
        <v>0.58499999999999996</v>
      </c>
      <c r="D17" s="635">
        <v>0.57999999999999996</v>
      </c>
      <c r="E17" s="635">
        <v>0.57499999999999996</v>
      </c>
      <c r="F17" s="635">
        <v>0.56999999999999995</v>
      </c>
      <c r="G17" s="635">
        <v>0.56499999999999995</v>
      </c>
      <c r="H17" s="635">
        <v>0.56000000000000005</v>
      </c>
      <c r="I17" s="635">
        <v>0.55500000000000005</v>
      </c>
      <c r="J17" s="635">
        <v>0.55000000000000004</v>
      </c>
      <c r="K17" s="635">
        <v>0.54</v>
      </c>
      <c r="L17" s="635">
        <v>0.53</v>
      </c>
      <c r="M17" s="635">
        <v>0.52</v>
      </c>
      <c r="N17" s="635">
        <v>0.51</v>
      </c>
      <c r="O17" s="635">
        <v>0.5</v>
      </c>
      <c r="P17" s="635">
        <v>0.49000000000000005</v>
      </c>
      <c r="Q17" s="635">
        <v>0.48000000000000004</v>
      </c>
      <c r="R17" s="635">
        <v>0.47000000000000003</v>
      </c>
      <c r="S17" s="635">
        <v>0.46</v>
      </c>
      <c r="T17" s="636">
        <v>0.45</v>
      </c>
      <c r="U17" s="635">
        <v>0.44</v>
      </c>
      <c r="V17" s="635">
        <v>0.43</v>
      </c>
      <c r="W17" s="636">
        <v>0.42</v>
      </c>
      <c r="X17" s="635">
        <v>0.41</v>
      </c>
      <c r="Y17" s="636">
        <v>0.39999999999999997</v>
      </c>
      <c r="Z17" s="636">
        <v>0.38999999999999996</v>
      </c>
      <c r="AA17" s="635">
        <v>0.37999999999999995</v>
      </c>
      <c r="AB17" s="635">
        <v>0.36999999999999994</v>
      </c>
      <c r="AC17" s="635">
        <v>0.35999999999999993</v>
      </c>
      <c r="AD17" s="635">
        <v>0.34999999999999992</v>
      </c>
      <c r="AE17" s="635">
        <v>0.33999999999999991</v>
      </c>
      <c r="AF17" s="636">
        <v>0.3299999999999999</v>
      </c>
      <c r="AG17" s="635">
        <v>0.3199999999999999</v>
      </c>
      <c r="AH17" s="635">
        <v>0.30999999999999989</v>
      </c>
      <c r="AI17" s="636">
        <v>0.29999999999999988</v>
      </c>
      <c r="AJ17" s="635">
        <v>0.28999999999999987</v>
      </c>
      <c r="AK17" s="635">
        <v>0.27999999999999986</v>
      </c>
      <c r="AL17" s="635">
        <v>0.26999999999999985</v>
      </c>
      <c r="AM17" s="635">
        <v>0.25999999999999984</v>
      </c>
      <c r="AN17" s="635">
        <v>0.24999999999999983</v>
      </c>
      <c r="AO17" s="635">
        <v>0.23999999999999982</v>
      </c>
      <c r="AP17" s="635">
        <v>0.22999999999999982</v>
      </c>
      <c r="AQ17" s="635">
        <v>0.21999999999999981</v>
      </c>
      <c r="AR17" s="635">
        <v>0.2099999999999998</v>
      </c>
    </row>
    <row r="18" spans="2:44" ht="30" customHeight="1" x14ac:dyDescent="0.3">
      <c r="B18" s="634">
        <v>60</v>
      </c>
      <c r="C18" s="635">
        <v>0.52500000000000002</v>
      </c>
      <c r="D18" s="635">
        <v>0.52</v>
      </c>
      <c r="E18" s="635">
        <v>0.51500000000000001</v>
      </c>
      <c r="F18" s="635">
        <v>0.51</v>
      </c>
      <c r="G18" s="635">
        <v>0.505</v>
      </c>
      <c r="H18" s="635">
        <v>0.5</v>
      </c>
      <c r="I18" s="635">
        <v>0.495</v>
      </c>
      <c r="J18" s="635">
        <v>0.49</v>
      </c>
      <c r="K18" s="635">
        <v>0.48000000000000009</v>
      </c>
      <c r="L18" s="635">
        <v>0.47000000000000008</v>
      </c>
      <c r="M18" s="635">
        <v>0.46000000000000008</v>
      </c>
      <c r="N18" s="635">
        <v>0.45000000000000007</v>
      </c>
      <c r="O18" s="635">
        <v>0.44000000000000006</v>
      </c>
      <c r="P18" s="635">
        <v>0.43000000000000005</v>
      </c>
      <c r="Q18" s="635">
        <v>0.42000000000000004</v>
      </c>
      <c r="R18" s="635">
        <v>0.41000000000000003</v>
      </c>
      <c r="S18" s="635">
        <v>0.4</v>
      </c>
      <c r="T18" s="636">
        <v>0.39</v>
      </c>
      <c r="U18" s="635">
        <v>0.38</v>
      </c>
      <c r="V18" s="635">
        <v>0.37</v>
      </c>
      <c r="W18" s="636">
        <v>0.36</v>
      </c>
      <c r="X18" s="635">
        <v>0.35</v>
      </c>
      <c r="Y18" s="636">
        <v>0.33999999999999997</v>
      </c>
      <c r="Z18" s="636">
        <v>0.32999999999999996</v>
      </c>
      <c r="AA18" s="635">
        <v>0.31999999999999995</v>
      </c>
      <c r="AB18" s="635">
        <v>0.30999999999999994</v>
      </c>
      <c r="AC18" s="635">
        <v>0.29999999999999993</v>
      </c>
      <c r="AD18" s="635">
        <v>0.28999999999999992</v>
      </c>
      <c r="AE18" s="635">
        <v>0.27999999999999992</v>
      </c>
      <c r="AF18" s="636">
        <v>0.26999999999999991</v>
      </c>
      <c r="AG18" s="635">
        <v>0.2599999999999999</v>
      </c>
      <c r="AH18" s="635">
        <v>0.24999999999999989</v>
      </c>
      <c r="AI18" s="636">
        <v>0.23999999999999988</v>
      </c>
      <c r="AJ18" s="635">
        <v>0.22999999999999987</v>
      </c>
      <c r="AK18" s="635">
        <v>0.21999999999999986</v>
      </c>
      <c r="AL18" s="635">
        <v>0.20999999999999985</v>
      </c>
      <c r="AM18" s="635">
        <v>0.19999999999999984</v>
      </c>
      <c r="AN18" s="635">
        <v>0.18999999999999984</v>
      </c>
      <c r="AO18" s="635">
        <v>0.17999999999999983</v>
      </c>
      <c r="AP18" s="635">
        <v>0.16999999999999982</v>
      </c>
      <c r="AQ18" s="635">
        <v>0.15999999999999981</v>
      </c>
      <c r="AR18" s="635">
        <v>0.1499999999999998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1"/>
  </sheetPr>
  <dimension ref="A1"/>
  <sheetViews>
    <sheetView workbookViewId="0">
      <selection activeCell="M11" sqref="M11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"/>
  <sheetViews>
    <sheetView showWhiteSpace="0" zoomScale="70" zoomScaleNormal="100" workbookViewId="0">
      <selection activeCell="Q28" sqref="Q28"/>
    </sheetView>
  </sheetViews>
  <sheetFormatPr defaultRowHeight="16.5" x14ac:dyDescent="0.3"/>
  <sheetData/>
  <sheetProtection algorithmName="SHA-512" hashValue="cOWDVSCwPwtx53JliKatdSAxBbTd46g3mpPKw09AcLDhk+kvZ5WncP0qJ9s3ASoDY1M63gwJ5Cv00IsheVtHqg==" saltValue="JXLrNL7WUt1fap0LKW5DFA==" spinCount="100000" sheet="1" objects="1" scenarios="1"/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1:G24"/>
  <sheetViews>
    <sheetView showGridLines="0" showRowColHeaders="0" view="pageBreakPreview" zoomScale="85" zoomScaleNormal="85" zoomScaleSheetLayoutView="85" workbookViewId="0">
      <selection activeCell="J23" sqref="J23"/>
    </sheetView>
  </sheetViews>
  <sheetFormatPr defaultRowHeight="16.5" x14ac:dyDescent="0.3"/>
  <cols>
    <col min="2" max="7" width="14.125" customWidth="1"/>
  </cols>
  <sheetData>
    <row r="1" spans="2:7" x14ac:dyDescent="0.3">
      <c r="B1" s="598"/>
      <c r="C1" s="598"/>
      <c r="D1" s="598"/>
      <c r="E1" s="598"/>
      <c r="F1" s="598"/>
      <c r="G1" s="598"/>
    </row>
    <row r="2" spans="2:7" ht="27" customHeight="1" x14ac:dyDescent="0.3">
      <c r="B2" s="1063" t="s">
        <v>608</v>
      </c>
      <c r="C2" s="1063"/>
      <c r="D2" s="1063"/>
      <c r="E2" s="1063"/>
      <c r="F2" s="1063"/>
      <c r="G2" s="1063"/>
    </row>
    <row r="3" spans="2:7" ht="27" customHeight="1" x14ac:dyDescent="0.3">
      <c r="B3" s="600"/>
      <c r="C3" s="598"/>
      <c r="D3" s="598"/>
      <c r="E3" s="598"/>
      <c r="F3" s="598"/>
      <c r="G3" s="598"/>
    </row>
    <row r="4" spans="2:7" ht="27" customHeight="1" x14ac:dyDescent="0.3">
      <c r="B4" s="1062" t="s">
        <v>742</v>
      </c>
      <c r="C4" s="1062"/>
      <c r="D4" s="598"/>
      <c r="E4" s="598"/>
      <c r="F4" s="598"/>
      <c r="G4" s="598"/>
    </row>
    <row r="5" spans="2:7" ht="27" customHeight="1" x14ac:dyDescent="0.3">
      <c r="B5" s="601"/>
      <c r="C5" s="598"/>
      <c r="D5" s="598"/>
      <c r="E5" s="598"/>
      <c r="F5" s="598"/>
      <c r="G5" s="598"/>
    </row>
    <row r="6" spans="2:7" ht="27" customHeight="1" x14ac:dyDescent="0.3">
      <c r="B6" s="1064" t="s">
        <v>683</v>
      </c>
      <c r="C6" s="1064"/>
      <c r="D6" s="1064"/>
      <c r="E6" s="1064"/>
      <c r="F6" s="1064"/>
      <c r="G6" s="1064"/>
    </row>
    <row r="7" spans="2:7" ht="27" customHeight="1" x14ac:dyDescent="0.3">
      <c r="B7" s="1064" t="s">
        <v>614</v>
      </c>
      <c r="C7" s="1064"/>
      <c r="D7" s="1064"/>
      <c r="E7" s="1064"/>
      <c r="F7" s="1064"/>
      <c r="G7" s="1064"/>
    </row>
    <row r="8" spans="2:7" ht="27" customHeight="1" x14ac:dyDescent="0.3">
      <c r="B8" s="1064" t="s">
        <v>615</v>
      </c>
      <c r="C8" s="1064"/>
      <c r="D8" s="1064"/>
      <c r="E8" s="1064"/>
      <c r="F8" s="1064"/>
      <c r="G8" s="1064"/>
    </row>
    <row r="9" spans="2:7" ht="27" customHeight="1" x14ac:dyDescent="0.3">
      <c r="B9" s="602"/>
      <c r="C9" s="602"/>
      <c r="D9" s="602"/>
      <c r="E9" s="602"/>
      <c r="F9" s="602"/>
      <c r="G9" s="602"/>
    </row>
    <row r="10" spans="2:7" ht="27" customHeight="1" x14ac:dyDescent="0.3">
      <c r="B10" s="601"/>
      <c r="C10" s="598"/>
      <c r="D10" s="598"/>
      <c r="E10" s="598"/>
      <c r="F10" s="598"/>
      <c r="G10" s="598"/>
    </row>
    <row r="11" spans="2:7" ht="27" customHeight="1" x14ac:dyDescent="0.3">
      <c r="B11" s="1059" t="s">
        <v>609</v>
      </c>
      <c r="C11" s="1060"/>
      <c r="D11" s="1060"/>
      <c r="E11" s="1060"/>
      <c r="F11" s="1060"/>
      <c r="G11" s="1060"/>
    </row>
    <row r="12" spans="2:7" ht="27" customHeight="1" x14ac:dyDescent="0.3">
      <c r="B12" s="603"/>
      <c r="C12" s="598"/>
      <c r="D12" s="598"/>
      <c r="E12" s="598"/>
      <c r="F12" s="598"/>
      <c r="G12" s="598"/>
    </row>
    <row r="13" spans="2:7" ht="27" customHeight="1" x14ac:dyDescent="0.3">
      <c r="B13" s="601"/>
      <c r="C13" s="601"/>
      <c r="D13" s="601"/>
      <c r="E13" s="601"/>
      <c r="F13" s="601"/>
      <c r="G13" s="598"/>
    </row>
    <row r="14" spans="2:7" ht="27" customHeight="1" x14ac:dyDescent="0.3">
      <c r="B14" s="1061" t="s">
        <v>610</v>
      </c>
      <c r="C14" s="1061"/>
      <c r="D14" s="1061"/>
      <c r="E14" s="601"/>
      <c r="F14" s="601"/>
      <c r="G14" s="598"/>
    </row>
    <row r="15" spans="2:7" ht="27" customHeight="1" x14ac:dyDescent="0.3">
      <c r="B15" s="1058" t="s">
        <v>611</v>
      </c>
      <c r="C15" s="1058"/>
      <c r="D15" s="1058" t="s">
        <v>612</v>
      </c>
      <c r="E15" s="1058"/>
      <c r="F15" s="1058" t="s">
        <v>613</v>
      </c>
      <c r="G15" s="1058"/>
    </row>
    <row r="16" spans="2:7" ht="27" customHeight="1" x14ac:dyDescent="0.3">
      <c r="B16" s="1058"/>
      <c r="C16" s="1058"/>
      <c r="D16" s="1058"/>
      <c r="E16" s="1058"/>
      <c r="F16" s="1058"/>
      <c r="G16" s="1058"/>
    </row>
    <row r="17" spans="2:7" ht="27" customHeight="1" x14ac:dyDescent="0.3">
      <c r="B17" s="601"/>
      <c r="C17" s="601"/>
      <c r="D17" s="601"/>
      <c r="E17" s="601"/>
      <c r="F17" s="601"/>
      <c r="G17" s="598"/>
    </row>
    <row r="18" spans="2:7" ht="27" customHeight="1" x14ac:dyDescent="0.3">
      <c r="B18" s="601"/>
      <c r="C18" s="601"/>
      <c r="D18" s="601"/>
      <c r="E18" s="601"/>
      <c r="F18" s="601"/>
      <c r="G18" s="598"/>
    </row>
    <row r="19" spans="2:7" ht="27" customHeight="1" x14ac:dyDescent="0.3">
      <c r="B19" s="601"/>
      <c r="C19" s="601"/>
      <c r="D19" s="601"/>
      <c r="E19" s="601"/>
      <c r="F19" s="601"/>
      <c r="G19" s="598"/>
    </row>
    <row r="20" spans="2:7" ht="27" customHeight="1" x14ac:dyDescent="0.3">
      <c r="B20" s="601"/>
      <c r="C20" s="601"/>
      <c r="D20" s="601"/>
      <c r="E20" s="601"/>
      <c r="F20" s="601"/>
      <c r="G20" s="598"/>
    </row>
    <row r="21" spans="2:7" ht="27" customHeight="1" x14ac:dyDescent="0.3">
      <c r="B21" s="601"/>
      <c r="C21" s="601"/>
      <c r="D21" s="601"/>
      <c r="E21" s="601"/>
      <c r="F21" s="601"/>
      <c r="G21" s="598"/>
    </row>
    <row r="22" spans="2:7" ht="27" customHeight="1" x14ac:dyDescent="0.3">
      <c r="B22" s="601"/>
      <c r="C22" s="601"/>
      <c r="D22" s="601"/>
      <c r="E22" s="601" t="s">
        <v>744</v>
      </c>
      <c r="F22" s="601"/>
      <c r="G22" s="599" t="s">
        <v>743</v>
      </c>
    </row>
    <row r="23" spans="2:7" ht="27" customHeight="1" x14ac:dyDescent="0.3">
      <c r="B23" s="601"/>
      <c r="C23" s="601"/>
      <c r="D23" s="601"/>
      <c r="E23" s="601"/>
      <c r="F23" s="601"/>
      <c r="G23" s="598"/>
    </row>
    <row r="24" spans="2:7" ht="17.25" x14ac:dyDescent="0.3">
      <c r="B24" s="601"/>
      <c r="C24" s="601"/>
      <c r="D24" s="601"/>
      <c r="E24" s="601" t="s">
        <v>745</v>
      </c>
      <c r="F24" s="601"/>
      <c r="G24" s="599" t="s">
        <v>743</v>
      </c>
    </row>
  </sheetData>
  <mergeCells count="13">
    <mergeCell ref="B4:C4"/>
    <mergeCell ref="B2:G2"/>
    <mergeCell ref="B6:G6"/>
    <mergeCell ref="B7:G7"/>
    <mergeCell ref="B8:G8"/>
    <mergeCell ref="B16:C16"/>
    <mergeCell ref="D16:E16"/>
    <mergeCell ref="F16:G16"/>
    <mergeCell ref="B11:G11"/>
    <mergeCell ref="B14:D14"/>
    <mergeCell ref="B15:C15"/>
    <mergeCell ref="D15:E15"/>
    <mergeCell ref="F15:G15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"/>
  <sheetViews>
    <sheetView showGridLines="0" zoomScale="85" zoomScaleNormal="85" workbookViewId="0">
      <selection activeCell="N25" sqref="N25"/>
    </sheetView>
  </sheetViews>
  <sheetFormatPr defaultRowHeight="16.5" x14ac:dyDescent="0.3"/>
  <sheetData/>
  <sheetProtection algorithmName="SHA-512" hashValue="CWQp69lpYNZZ35yvR5uDND4cDZcyjmnACvO8gc5fCv6lZSo7fxfsVXBQf0NKgE5lRUSdH+/1l9GPzdkD6Joo+Q==" saltValue="xPPQcdqJIdn6IcrufQ2vHw==" spinCount="100000" sheet="1" objects="1" scenarios="1"/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2"/>
  <sheetViews>
    <sheetView view="pageBreakPreview" zoomScaleNormal="100" zoomScaleSheetLayoutView="100" workbookViewId="0">
      <selection activeCell="G16" sqref="G15:G16"/>
    </sheetView>
  </sheetViews>
  <sheetFormatPr defaultRowHeight="16.5" x14ac:dyDescent="0.3"/>
  <cols>
    <col min="8" max="8" width="3.125" customWidth="1"/>
  </cols>
  <sheetData>
    <row r="32" ht="8.4499999999999993" customHeight="1" x14ac:dyDescent="0.3"/>
  </sheetData>
  <sheetProtection algorithmName="SHA-512" hashValue="qH2UBqGtxDimv051wSwYR3xjfsBtnal6O4AfjwmIP3dPy2cZKfXiW62J35vTXpyHke7Fz7LhPnT2Edq7oNz1OQ==" saltValue="1Of7b1ma76UYltibGqYEGw==" spinCount="100000" sheet="1" objects="1" scenarios="1"/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104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view="pageBreakPreview" zoomScale="85" zoomScaleNormal="100" zoomScaleSheetLayoutView="85" workbookViewId="0">
      <selection activeCell="Q34" sqref="Q34"/>
    </sheetView>
  </sheetViews>
  <sheetFormatPr defaultRowHeight="16.5" x14ac:dyDescent="0.3"/>
  <cols>
    <col min="8" max="8" width="2" customWidth="1"/>
    <col min="10" max="10" width="11.5" customWidth="1"/>
  </cols>
  <sheetData/>
  <sheetProtection algorithmName="SHA-512" hashValue="9KjQDZkKLeYRCAn4gbKM7NaaKV7vt5DccRLJ1uoCT9P71/X14pdnLZ8KNmkEmZxKHVjONFJHF40Sz0hTZKoAkA==" saltValue="mdwjdzbNGnfyCVcvOaqEHw==" spinCount="100000" sheet="1" objects="1" scenarios="1"/>
  <phoneticPr fontId="2" type="noConversion"/>
  <printOptions horizontalCentered="1" verticalCentered="1"/>
  <pageMargins left="0.39370078740157483" right="0.39370078740157483" top="0.39370078740157483" bottom="0.39370078740157483" header="0" footer="0"/>
  <pageSetup paperSize="9" scale="10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46</vt:i4>
      </vt:variant>
    </vt:vector>
  </HeadingPairs>
  <TitlesOfParts>
    <vt:vector size="61" baseType="lpstr">
      <vt:lpstr>에이전트수수료입력</vt:lpstr>
      <vt:lpstr>펀딩신청서</vt:lpstr>
      <vt:lpstr>운용리스</vt:lpstr>
      <vt:lpstr>금융리스</vt:lpstr>
      <vt:lpstr>할부오토론</vt:lpstr>
      <vt:lpstr>유입경로확인서(작성필수)</vt:lpstr>
      <vt:lpstr>견적관리자용</vt:lpstr>
      <vt:lpstr>차량DB</vt:lpstr>
      <vt:lpstr>잔가map</vt:lpstr>
      <vt:lpstr>부속서류</vt:lpstr>
      <vt:lpstr>CM등록서류</vt:lpstr>
      <vt:lpstr>공채확인서</vt:lpstr>
      <vt:lpstr>위임장_연대보증인미입보시</vt:lpstr>
      <vt:lpstr>본사사업자등록증(세금계산서,보험)</vt:lpstr>
      <vt:lpstr>지점사업자등록증(차량등록용)</vt:lpstr>
      <vt:lpstr>ASTON_MARTIN</vt:lpstr>
      <vt:lpstr>Audi</vt:lpstr>
      <vt:lpstr>Bentley</vt:lpstr>
      <vt:lpstr>Benz</vt:lpstr>
      <vt:lpstr>BMW</vt:lpstr>
      <vt:lpstr>Brand</vt:lpstr>
      <vt:lpstr>Cadillac</vt:lpstr>
      <vt:lpstr>Chevrolet</vt:lpstr>
      <vt:lpstr>Citroen</vt:lpstr>
      <vt:lpstr>Ferrari</vt:lpstr>
      <vt:lpstr>Ford</vt:lpstr>
      <vt:lpstr>Honda</vt:lpstr>
      <vt:lpstr>Jaguar_Landrover</vt:lpstr>
      <vt:lpstr>Jeep</vt:lpstr>
      <vt:lpstr>Lamborghini</vt:lpstr>
      <vt:lpstr>Lexus</vt:lpstr>
      <vt:lpstr>Lincoln</vt:lpstr>
      <vt:lpstr>Maserati</vt:lpstr>
      <vt:lpstr>McLaren</vt:lpstr>
      <vt:lpstr>MINI</vt:lpstr>
      <vt:lpstr>Peugeot</vt:lpstr>
      <vt:lpstr>Porsche</vt:lpstr>
      <vt:lpstr>견적관리자용!Print_Area</vt:lpstr>
      <vt:lpstr>공채확인서!Print_Area</vt:lpstr>
      <vt:lpstr>금융리스!Print_Area</vt:lpstr>
      <vt:lpstr>'본사사업자등록증(세금계산서,보험)'!Print_Area</vt:lpstr>
      <vt:lpstr>운용리스!Print_Area</vt:lpstr>
      <vt:lpstr>위임장_연대보증인미입보시!Print_Area</vt:lpstr>
      <vt:lpstr>'유입경로확인서(작성필수)'!Print_Area</vt:lpstr>
      <vt:lpstr>'지점사업자등록증(차량등록용)'!Print_Area</vt:lpstr>
      <vt:lpstr>차량DB!Print_Area</vt:lpstr>
      <vt:lpstr>펀딩신청서!Print_Area</vt:lpstr>
      <vt:lpstr>할부오토론!Print_Area</vt:lpstr>
      <vt:lpstr>Rolls_Royce</vt:lpstr>
      <vt:lpstr>Tesla</vt:lpstr>
      <vt:lpstr>Toyota</vt:lpstr>
      <vt:lpstr>Volkswagen</vt:lpstr>
      <vt:lpstr>Volvo</vt:lpstr>
      <vt:lpstr>부가서비스</vt:lpstr>
      <vt:lpstr>약정주행거리</vt:lpstr>
      <vt:lpstr>제휴사</vt:lpstr>
      <vt:lpstr>제휴사_Audi</vt:lpstr>
      <vt:lpstr>제휴사_vw</vt:lpstr>
      <vt:lpstr>제휴사_잔가보장</vt:lpstr>
      <vt:lpstr>주행거리_보장</vt:lpstr>
      <vt:lpstr>차종구분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</dc:creator>
  <cp:lastModifiedBy>2018009</cp:lastModifiedBy>
  <cp:lastPrinted>2025-09-26T04:34:14Z</cp:lastPrinted>
  <dcterms:created xsi:type="dcterms:W3CDTF">2019-10-04T03:56:22Z</dcterms:created>
  <dcterms:modified xsi:type="dcterms:W3CDTF">2025-10-16T05:59:40Z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Aibm9kZUNvdW50IjogMiwgIm5vZGUxIiA6IHsiZHNkIjoiMDEwMDAwMDAwMDAwMjYzMCIsImxvZ1RpbWUiOiIyMDI1LTEwLTE2VDA1OjI5OjQ4WiIsInBJRCI6MSwicHJvY2Vzc0lkIjo0ODkyLCJwcm9jZXNzTmFtZSI6IkVYQ0VMLkVYRSIsInRyYWNlSWQiOiI1MDYzMEYxOTQxM0E0REFEOTY2QUJFQjg2RkFDNTY4MCIsInVzZXJDb2RlIjoiMjAxODAwOSJ9LCJub2RlMiIgOiB7ImRzZCI6IjAxMDAwMDAwMDAwMDI2MzAiLCJsb2dUaW1lIjoiMjAyNS0xMC0xNlQwNToyOTo0OFoiLCJwSUQiOjEsInByb2Nlc3NJZCI6NDg5MiwicHJvY2Vzc05hbWUiOiJFWENFTC5FWEUiLCJ0cmFjZUlkIjoiNTA2MzBGMTk0MTNBNERBRDk2NkFCRUI4NkZBQzU2ODAiLCJ1c2VyQ29kZSI6IjIwMTgwMDkifSwibm9kZTMiIDogeyJkc2QiOiIwMTAwMDAwMDAwMDAyNjMwIiwibG9nVGltZSI6IjIwMjUtMTAtMTZUMDU6Mjk6NDhaIiwicElEIjoxLCJwcm9jZXNzSWQiOjQ4OTIsInByb2Nlc3NOYW1lIjoiRVhDRUwuRVhFIiwidHJhY2VJZCI6IjUwNjMwRjE5NDEzQTREQUQ5NjZBQkVCODZGQUM1NjgwIiwidXNlckNvZGUiOiIyMDE4MDA5In0sIm5vZGU0IiA6IHsiZHNkIjoiMDEwMDAwMDAwMDAwMjYzMCIsImxvZ1RpbWUiOiIyMDI1LTEwLTE2VDA1OjI5OjQ4WiIsInBJRCI6MSwicHJvY2Vzc0lkIjo0ODkyLCJwcm9jZXNzTmFtZSI6IkVYQ0VMLkVYRSIsInRyYWNlSWQiOiI1MDYzMEYxOTQxM0E0REFEOTY2QUJFQjg2RkFDNTY4MCIsInVzZXJDb2RlIjoiMjAxODAwOSJ9LCJub2RlNSIgOiB7ICJ1c2VyQ29kZSIgOiAiMjAxODAwOSIsICJ0cmFjZUlkIiA6ICIwNkI4RDA0MkUzMERFNkUyQjYzMjlGMUM5NzlEMzVBMSIsICJkc2QiIDogIjAwMDAwMDAwMDAwMDAwMDAiLCAicElEIiA6ICIyMDQ4IiwgImxvZ1RpbWUiIDogIjIwMjUtMTAtMTZUMDY6MTI6MDNaIiB9fQ==</vt:lpwstr>
  </property>
</Properties>
</file>